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F2B44175-5F9B-49C4-8384-961A2E7ACC9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640" windowHeight="10200" tabRatio="905"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9" i="3" l="1"/>
  <c r="E20" i="4"/>
  <c r="F18" i="4"/>
  <c r="I23" i="4"/>
  <c r="F39" i="4"/>
  <c r="S39" i="4"/>
  <c r="S66" i="4"/>
  <c r="S49" i="4"/>
  <c r="S50" i="4"/>
  <c r="F49" i="4"/>
  <c r="E77" i="4"/>
  <c r="S82" i="4"/>
  <c r="S84" i="4"/>
  <c r="I87" i="4"/>
  <c r="E86" i="4"/>
  <c r="E85" i="4"/>
  <c r="I82" i="4"/>
  <c r="I80" i="4"/>
  <c r="C41" i="4"/>
  <c r="I41" i="4" s="1"/>
  <c r="AC864" i="3"/>
  <c r="C57" i="4"/>
  <c r="F57" i="4" s="1"/>
  <c r="C48" i="4"/>
  <c r="S48" i="4" s="1"/>
  <c r="C50" i="4"/>
  <c r="F50" i="4" s="1"/>
  <c r="C66" i="4"/>
  <c r="F66" i="4" s="1"/>
  <c r="C80" i="4"/>
  <c r="C89" i="4"/>
  <c r="S89" i="4" s="1"/>
  <c r="C83" i="4"/>
  <c r="S83" i="4" s="1"/>
  <c r="C81" i="4"/>
  <c r="S81" i="4" s="1"/>
  <c r="C92" i="4"/>
  <c r="S92" i="4" s="1"/>
  <c r="C91" i="4"/>
  <c r="S91" i="4" s="1"/>
  <c r="C39" i="4"/>
  <c r="C38" i="4"/>
  <c r="S38" i="4" s="1"/>
  <c r="C77" i="4"/>
  <c r="S77" i="4" s="1"/>
  <c r="C76" i="4"/>
  <c r="F76" i="4" s="1"/>
  <c r="C18" i="4"/>
  <c r="C23" i="4"/>
  <c r="S23" i="4" s="1"/>
  <c r="C20" i="4"/>
  <c r="C19" i="4"/>
  <c r="S19" i="4" s="1"/>
  <c r="S18" i="4"/>
  <c r="S20" i="4"/>
  <c r="S21" i="4"/>
  <c r="S22" i="4"/>
  <c r="S24" i="4"/>
  <c r="S17" i="4"/>
  <c r="C65" i="4"/>
  <c r="F65" i="4" s="1"/>
  <c r="F56" i="4"/>
  <c r="F55" i="4"/>
  <c r="F45" i="4"/>
  <c r="F44" i="4"/>
  <c r="C47" i="4"/>
  <c r="E47" i="4" s="1"/>
  <c r="F43" i="4"/>
  <c r="C43" i="4"/>
  <c r="C26" i="4"/>
  <c r="S26" i="4" s="1"/>
  <c r="C13" i="4"/>
  <c r="H13" i="4" s="1"/>
  <c r="C72" i="4"/>
  <c r="E72" i="4" s="1"/>
  <c r="L18" i="4"/>
  <c r="T90" i="4"/>
  <c r="C90" i="4"/>
  <c r="E90" i="4" s="1"/>
  <c r="E98" i="4"/>
  <c r="C98" i="4"/>
  <c r="C9" i="4"/>
  <c r="T9" i="4" s="1"/>
  <c r="C4" i="4"/>
  <c r="E91" i="4" l="1"/>
  <c r="S76" i="4"/>
  <c r="F48" i="4"/>
  <c r="I38" i="4"/>
  <c r="F23" i="4"/>
  <c r="F26" i="4"/>
  <c r="I83" i="4"/>
  <c r="I81" i="4"/>
  <c r="I89" i="4"/>
  <c r="E92" i="4"/>
  <c r="S41" i="4"/>
  <c r="E19" i="4"/>
  <c r="AA893" i="3"/>
  <c r="AG631" i="3"/>
  <c r="AE555" i="3"/>
  <c r="AG620" i="3"/>
  <c r="H18" i="4" s="1"/>
  <c r="E18" i="4" s="1"/>
  <c r="AG621" i="3"/>
  <c r="AG622" i="3"/>
  <c r="J43" i="4" s="1"/>
  <c r="AG623" i="3"/>
  <c r="AG625" i="3"/>
  <c r="M98" i="4" s="1"/>
  <c r="AG626" i="3"/>
  <c r="N98" i="4" s="1"/>
  <c r="AG627" i="3"/>
  <c r="O4" i="4" s="1"/>
  <c r="K4" i="4" s="1"/>
  <c r="K9" i="4" s="1"/>
  <c r="AG619" i="3"/>
  <c r="G9" i="4" s="1"/>
  <c r="C626" i="3"/>
  <c r="C627" i="3"/>
  <c r="C625" i="3"/>
  <c r="AE549" i="3"/>
  <c r="C620" i="3"/>
  <c r="C621" i="3"/>
  <c r="C622" i="3"/>
  <c r="C623" i="3"/>
  <c r="C619" i="3"/>
  <c r="P618" i="3"/>
  <c r="E9" i="4" l="1"/>
  <c r="AA910" i="3"/>
  <c r="Q386" i="3"/>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D25" i="13"/>
  <c r="C25" i="13"/>
  <c r="J11" i="13"/>
  <c r="J63" i="13"/>
  <c r="J96" i="13" s="1"/>
  <c r="J105" i="13" s="1"/>
  <c r="J107" i="13" s="1"/>
  <c r="D11" i="13"/>
  <c r="C11" i="13"/>
  <c r="C8" i="13"/>
  <c r="D8" i="13"/>
  <c r="T104" i="4"/>
  <c r="H104" i="13" s="1"/>
  <c r="R103" i="4"/>
  <c r="R102" i="4"/>
  <c r="R101" i="4"/>
  <c r="R100" i="4"/>
  <c r="R99" i="4"/>
  <c r="R98" i="4"/>
  <c r="R94" i="4"/>
  <c r="R93" i="4"/>
  <c r="R92" i="4"/>
  <c r="R91" i="4"/>
  <c r="R90" i="4"/>
  <c r="R89" i="4"/>
  <c r="R87" i="4"/>
  <c r="R86" i="4"/>
  <c r="S86" i="4" s="1"/>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D16" i="11"/>
  <c r="B18" i="11"/>
  <c r="C18" i="11"/>
  <c r="B19" i="11"/>
  <c r="C19" i="11"/>
  <c r="D19" i="11" s="1"/>
  <c r="B20" i="11"/>
  <c r="C20" i="11"/>
  <c r="B21" i="11"/>
  <c r="C21" i="11"/>
  <c r="D21" i="11" s="1"/>
  <c r="B22" i="11"/>
  <c r="C22" i="11"/>
  <c r="B23" i="11"/>
  <c r="C23" i="11"/>
  <c r="B24" i="11"/>
  <c r="C24" i="11"/>
  <c r="B25" i="11"/>
  <c r="C25" i="11"/>
  <c r="D25" i="11" s="1"/>
  <c r="B27" i="11"/>
  <c r="C27" i="11"/>
  <c r="B29" i="11"/>
  <c r="B30" i="11"/>
  <c r="B31" i="11"/>
  <c r="B32" i="11"/>
  <c r="B33" i="11"/>
  <c r="B34" i="11"/>
  <c r="B35" i="11"/>
  <c r="B36" i="11"/>
  <c r="C29" i="11"/>
  <c r="D29" i="11" s="1"/>
  <c r="C30" i="11"/>
  <c r="C31" i="11"/>
  <c r="C32" i="11"/>
  <c r="C33" i="11"/>
  <c r="C34" i="11"/>
  <c r="C35" i="11"/>
  <c r="D35" i="11" s="1"/>
  <c r="C36" i="11"/>
  <c r="B39" i="11"/>
  <c r="C39" i="11"/>
  <c r="C40" i="11"/>
  <c r="B40" i="11"/>
  <c r="B42" i="11"/>
  <c r="C42" i="11"/>
  <c r="B44" i="11"/>
  <c r="C44" i="11"/>
  <c r="B45" i="11"/>
  <c r="C45" i="11"/>
  <c r="B46" i="11"/>
  <c r="B47" i="11"/>
  <c r="B48" i="11"/>
  <c r="B49" i="11"/>
  <c r="B50" i="11"/>
  <c r="B51" i="11"/>
  <c r="B52" i="11"/>
  <c r="B53" i="11"/>
  <c r="C46" i="11"/>
  <c r="C47" i="11"/>
  <c r="D47" i="11" s="1"/>
  <c r="C48" i="11"/>
  <c r="C49" i="11"/>
  <c r="C50" i="11"/>
  <c r="D50" i="11" s="1"/>
  <c r="C51" i="11"/>
  <c r="D51" i="11" s="1"/>
  <c r="C52" i="11"/>
  <c r="D52" i="11" s="1"/>
  <c r="C53" i="11"/>
  <c r="B56" i="11"/>
  <c r="C56" i="11"/>
  <c r="B57" i="11"/>
  <c r="C57" i="11"/>
  <c r="B58" i="11"/>
  <c r="C58" i="11"/>
  <c r="B59" i="11"/>
  <c r="C59" i="11"/>
  <c r="B60" i="11"/>
  <c r="C60" i="11"/>
  <c r="B61" i="11"/>
  <c r="C61" i="11"/>
  <c r="B62" i="11"/>
  <c r="C62" i="11"/>
  <c r="B66" i="11"/>
  <c r="B67" i="11"/>
  <c r="B68" i="11"/>
  <c r="C66" i="11"/>
  <c r="C67" i="11"/>
  <c r="B70" i="11"/>
  <c r="C70" i="11"/>
  <c r="B71" i="11"/>
  <c r="C71" i="11"/>
  <c r="B72" i="11"/>
  <c r="C72" i="11"/>
  <c r="D72" i="11" s="1"/>
  <c r="B73" i="11"/>
  <c r="C73" i="11"/>
  <c r="B74" i="11"/>
  <c r="C74" i="11"/>
  <c r="D74" i="11" s="1"/>
  <c r="B81" i="11"/>
  <c r="C81" i="11"/>
  <c r="D81" i="11" s="1"/>
  <c r="B82" i="11"/>
  <c r="C82" i="11"/>
  <c r="C83" i="11"/>
  <c r="C84" i="11"/>
  <c r="C85" i="11"/>
  <c r="C86" i="11"/>
  <c r="C87" i="11"/>
  <c r="C88" i="11"/>
  <c r="C89" i="11"/>
  <c r="D89" i="11" s="1"/>
  <c r="C90" i="11"/>
  <c r="C91" i="11"/>
  <c r="C92" i="11"/>
  <c r="C93" i="11"/>
  <c r="C94" i="11"/>
  <c r="C95" i="11"/>
  <c r="B83" i="11"/>
  <c r="B84" i="11"/>
  <c r="B85" i="11"/>
  <c r="B86" i="11"/>
  <c r="D86" i="11" s="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B8" i="4" s="1"/>
  <c r="D11" i="4"/>
  <c r="D25" i="4"/>
  <c r="B25" i="4" s="1"/>
  <c r="D36" i="4"/>
  <c r="D40" i="4"/>
  <c r="B40" i="4" s="1"/>
  <c r="D53" i="4"/>
  <c r="D62" i="4"/>
  <c r="D67" i="4"/>
  <c r="D74" i="4"/>
  <c r="B74" i="4" s="1"/>
  <c r="D95" i="4"/>
  <c r="D104" i="4"/>
  <c r="B104" i="4" s="1"/>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63" i="4" s="1"/>
  <c r="J96" i="4" s="1"/>
  <c r="J105" i="4" s="1"/>
  <c r="J11" i="4"/>
  <c r="J25" i="4"/>
  <c r="J36" i="4"/>
  <c r="J40" i="4"/>
  <c r="J53" i="4"/>
  <c r="J62" i="4"/>
  <c r="J67" i="4"/>
  <c r="J74" i="4"/>
  <c r="J95" i="4"/>
  <c r="J104" i="4"/>
  <c r="K8" i="4"/>
  <c r="K11" i="4"/>
  <c r="K12" i="4" s="1"/>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s="1"/>
  <c r="Y712" i="3"/>
  <c r="AI712" i="3"/>
  <c r="Y713" i="3"/>
  <c r="Y714" i="3"/>
  <c r="AI714" i="3" s="1"/>
  <c r="Y715" i="3"/>
  <c r="Y716" i="3"/>
  <c r="AI716" i="3" s="1"/>
  <c r="Y717" i="3"/>
  <c r="AI717" i="3"/>
  <c r="Y718" i="3"/>
  <c r="AI718" i="3" s="1"/>
  <c r="Y719" i="3"/>
  <c r="AI719" i="3" s="1"/>
  <c r="Y720" i="3"/>
  <c r="AI720" i="3"/>
  <c r="Y721" i="3"/>
  <c r="AI721" i="3"/>
  <c r="Y722" i="3"/>
  <c r="AI722" i="3" s="1"/>
  <c r="Y723" i="3"/>
  <c r="AI723" i="3" s="1"/>
  <c r="Y724" i="3"/>
  <c r="AI724" i="3" s="1"/>
  <c r="Y725" i="3"/>
  <c r="AI725" i="3"/>
  <c r="Y726" i="3"/>
  <c r="AI726" i="3"/>
  <c r="Y727" i="3"/>
  <c r="AI727" i="3" s="1"/>
  <c r="Y728" i="3"/>
  <c r="AI728" i="3"/>
  <c r="Y729" i="3"/>
  <c r="Y730" i="3"/>
  <c r="AI730" i="3"/>
  <c r="Y731" i="3"/>
  <c r="AI731" i="3" s="1"/>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6" i="11"/>
  <c r="D32" i="11"/>
  <c r="D15" i="11"/>
  <c r="D71" i="11"/>
  <c r="D18" i="11"/>
  <c r="D102" i="11"/>
  <c r="D60" i="11"/>
  <c r="D8" i="11"/>
  <c r="D56" i="11"/>
  <c r="C75" i="11"/>
  <c r="D75" i="11" s="1"/>
  <c r="D61" i="11"/>
  <c r="C63" i="11"/>
  <c r="D53" i="11"/>
  <c r="D10" i="11"/>
  <c r="D101" i="11"/>
  <c r="D90" i="11"/>
  <c r="D44" i="11"/>
  <c r="B75" i="11"/>
  <c r="D70" i="11"/>
  <c r="D57" i="11"/>
  <c r="AG432" i="3"/>
  <c r="AI27" i="15" s="1"/>
  <c r="B63" i="11"/>
  <c r="C105" i="11"/>
  <c r="D100" i="11"/>
  <c r="D82" i="11"/>
  <c r="D7" i="11"/>
  <c r="D46" i="11"/>
  <c r="D12" i="13"/>
  <c r="J12" i="4"/>
  <c r="B53" i="4"/>
  <c r="D77" i="11"/>
  <c r="C37" i="11"/>
  <c r="B9" i="11"/>
  <c r="D20" i="11"/>
  <c r="D5" i="11"/>
  <c r="D14" i="11"/>
  <c r="D63" i="11" l="1"/>
  <c r="AI729" i="3"/>
  <c r="AI715" i="3"/>
  <c r="AI713" i="3"/>
  <c r="AI710" i="3"/>
  <c r="K63" i="4"/>
  <c r="L12" i="4"/>
  <c r="I12" i="4"/>
  <c r="D99" i="11"/>
  <c r="D91" i="11"/>
  <c r="C68" i="11"/>
  <c r="B41" i="11"/>
  <c r="D30" i="11"/>
  <c r="D27" i="11"/>
  <c r="B12" i="11"/>
  <c r="C12" i="13"/>
  <c r="F63" i="13"/>
  <c r="F96" i="13" s="1"/>
  <c r="F105" i="13" s="1"/>
  <c r="F107" i="13" s="1"/>
  <c r="C79" i="11"/>
  <c r="D33" i="11"/>
  <c r="C96" i="11"/>
  <c r="D84" i="11"/>
  <c r="D40" i="11"/>
  <c r="D42" i="11"/>
  <c r="B79" i="11"/>
  <c r="D79" i="11" s="1"/>
  <c r="D88" i="11"/>
  <c r="D62" i="11"/>
  <c r="D36" i="11"/>
  <c r="R36" i="4"/>
  <c r="R40" i="4"/>
  <c r="R62" i="4"/>
  <c r="K96" i="4"/>
  <c r="K105" i="4" s="1"/>
  <c r="D93" i="11"/>
  <c r="C41" i="11"/>
  <c r="D34" i="11"/>
  <c r="B37" i="11"/>
  <c r="D37" i="11" s="1"/>
  <c r="C9" i="11"/>
  <c r="D9" i="11" s="1"/>
  <c r="D63" i="13"/>
  <c r="D96" i="13" s="1"/>
  <c r="D105" i="13" s="1"/>
  <c r="G63" i="13"/>
  <c r="G96" i="13" s="1"/>
  <c r="G105" i="13" s="1"/>
  <c r="G107" i="13" s="1"/>
  <c r="P63" i="4"/>
  <c r="P96" i="4" s="1"/>
  <c r="P105" i="4" s="1"/>
  <c r="L63" i="4"/>
  <c r="L96" i="4" s="1"/>
  <c r="L105" i="4" s="1"/>
  <c r="Q12" i="4"/>
  <c r="H12" i="4"/>
  <c r="D73" i="11"/>
  <c r="R74" i="4"/>
  <c r="D78" i="11"/>
  <c r="B11" i="4"/>
  <c r="B12" i="4" s="1"/>
  <c r="D59" i="11"/>
  <c r="R8" i="4"/>
  <c r="M12" i="4"/>
  <c r="G63" i="4"/>
  <c r="G96" i="4" s="1"/>
  <c r="G105" i="4" s="1"/>
  <c r="D85" i="11"/>
  <c r="D68" i="11"/>
  <c r="B54" i="11"/>
  <c r="D41" i="11"/>
  <c r="D24" i="11"/>
  <c r="D22" i="11"/>
  <c r="R67" i="4"/>
  <c r="C63" i="13"/>
  <c r="C96" i="13" s="1"/>
  <c r="C105" i="13" s="1"/>
  <c r="R78" i="4"/>
  <c r="Q63" i="4"/>
  <c r="Q96" i="4" s="1"/>
  <c r="Q105" i="4" s="1"/>
  <c r="O12" i="4"/>
  <c r="I63" i="4"/>
  <c r="I96" i="4" s="1"/>
  <c r="I105" i="4" s="1"/>
  <c r="B36" i="4"/>
  <c r="C54" i="11"/>
  <c r="F63" i="4"/>
  <c r="F96" i="4" s="1"/>
  <c r="F105" i="4" s="1"/>
  <c r="N12" i="4"/>
  <c r="D103" i="11"/>
  <c r="D87" i="11"/>
  <c r="D83" i="11"/>
  <c r="D48" i="11"/>
  <c r="G12" i="4"/>
  <c r="R53" i="4"/>
  <c r="S63" i="4"/>
  <c r="E63" i="13" s="1"/>
  <c r="D63" i="4"/>
  <c r="D96" i="4" s="1"/>
  <c r="D105" i="4" s="1"/>
  <c r="O63" i="4"/>
  <c r="O96" i="4" s="1"/>
  <c r="O105" i="4" s="1"/>
  <c r="N63" i="4"/>
  <c r="N96" i="4" s="1"/>
  <c r="N105" i="4" s="1"/>
  <c r="M63" i="4"/>
  <c r="M96" i="4" s="1"/>
  <c r="M105" i="4" s="1"/>
  <c r="F12" i="4"/>
  <c r="D66" i="11"/>
  <c r="D45" i="11"/>
  <c r="C12" i="11"/>
  <c r="C13" i="11" s="1"/>
  <c r="R12" i="4"/>
  <c r="R104" i="4"/>
  <c r="B62" i="4"/>
  <c r="D12" i="4"/>
  <c r="R25" i="4"/>
  <c r="H63" i="4"/>
  <c r="H96" i="4" s="1"/>
  <c r="H105" i="4" s="1"/>
  <c r="E25" i="13"/>
  <c r="B26" i="11"/>
  <c r="R95" i="4"/>
  <c r="M38" i="7"/>
  <c r="B105" i="11"/>
  <c r="D105" i="11" s="1"/>
  <c r="D95" i="1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3" i="11" s="1"/>
  <c r="B64" i="11"/>
  <c r="D12" i="11"/>
  <c r="C12" i="4"/>
  <c r="B12" i="13" s="1"/>
  <c r="B63" i="4" l="1"/>
  <c r="D54" i="11"/>
  <c r="D26" i="11"/>
  <c r="S96" i="4"/>
  <c r="E96" i="13" s="1"/>
  <c r="R63" i="4"/>
  <c r="R96" i="4" s="1"/>
  <c r="R105" i="4" s="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AD955" i="3" s="1"/>
  <c r="AQ877"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Q888" i="3" l="1"/>
  <c r="B1012" i="3" s="1"/>
  <c r="AQ886" i="3"/>
  <c r="AD11" i="15"/>
  <c r="AD23" i="15" s="1"/>
  <c r="AD26" i="15" s="1"/>
  <c r="AD28" i="15" s="1"/>
  <c r="AI11" i="15"/>
  <c r="AI23" i="15" s="1"/>
  <c r="AI26" i="15" s="1"/>
  <c r="AI28" i="15" s="1"/>
  <c r="AD996" i="3"/>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<sst xmlns="http://schemas.openxmlformats.org/spreadsheetml/2006/main" count="3736" uniqueCount="1823">
  <si>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</si>
  <si>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</si>
  <si>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</si>
  <si>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</si>
  <si>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</si>
  <si>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</si>
  <si>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</si>
  <si>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</si>
  <si>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</si>
  <si>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</si>
  <si>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</si>
  <si>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</si>
  <si>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</si>
  <si>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</si>
  <si>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</si>
  <si>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</si>
  <si>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</si>
  <si>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</si>
  <si>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</si>
  <si>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</si>
  <si>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</si>
  <si>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</si>
  <si>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</si>
  <si>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</si>
  <si>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</si>
  <si>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</si>
  <si>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</si>
  <si>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</si>
  <si>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</si>
  <si>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</si>
  <si>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</si>
  <si>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</si>
  <si>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</si>
  <si>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</si>
  <si>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</si>
  <si>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</si>
  <si>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</si>
  <si>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</si>
  <si>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</si>
  <si>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</si>
  <si>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</si>
  <si>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</si>
  <si>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</si>
  <si>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</si>
  <si>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</si>
  <si>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</si>
  <si>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</si>
  <si>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</si>
  <si>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</si>
  <si>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</si>
  <si>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</si>
  <si>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</si>
  <si>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</si>
  <si>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</si>
  <si>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</si>
  <si>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</si>
  <si>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</si>
  <si>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</si>
  <si>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</si>
  <si>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</si>
  <si>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</si>
  <si>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</si>
  <si>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</si>
  <si>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</si>
  <si>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</si>
  <si>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</si>
  <si>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</si>
  <si>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</si>
  <si>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</si>
  <si>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</si>
  <si>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</si>
  <si>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</si>
  <si>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</si>
  <si>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</si>
  <si>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</si>
  <si>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</si>
  <si>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</si>
  <si>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</si>
  <si>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</si>
  <si>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</si>
  <si>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</si>
  <si>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</si>
  <si>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</si>
  <si>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</si>
  <si>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</si>
  <si>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</si>
  <si>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</si>
  <si>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</si>
  <si>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</si>
  <si>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</si>
  <si>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</si>
  <si>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</si>
  <si>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</si>
  <si>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</si>
  <si>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</si>
  <si>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</si>
  <si>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</si>
  <si>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</si>
  <si>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</si>
  <si>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</si>
  <si>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</si>
  <si>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</si>
  <si>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</si>
  <si>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</si>
  <si>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</si>
  <si>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</si>
  <si>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</si>
  <si>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</si>
  <si>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</si>
  <si>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</si>
  <si>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</si>
  <si>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</si>
  <si>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</si>
  <si>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</si>
  <si>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</si>
  <si>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</si>
  <si>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</si>
  <si>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</si>
  <si>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</si>
  <si>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</si>
  <si>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</si>
  <si>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</si>
  <si>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</si>
  <si>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</si>
  <si>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</si>
  <si>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</si>
  <si>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</si>
  <si>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</si>
  <si>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</si>
  <si>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</si>
  <si>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</si>
  <si>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</si>
  <si>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</si>
  <si>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</si>
  <si>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</si>
  <si>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</si>
  <si>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</si>
  <si>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</si>
  <si>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</si>
  <si>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</si>
  <si>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</si>
  <si>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</si>
  <si>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</si>
  <si>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</si>
  <si>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</si>
  <si>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</si>
  <si>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</si>
  <si>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</si>
  <si>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</si>
  <si>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</si>
  <si>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</si>
  <si>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</si>
  <si>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</si>
  <si>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</si>
  <si>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</si>
  <si>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</si>
  <si>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</si>
  <si>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</si>
  <si>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</si>
  <si>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</si>
  <si>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</si>
  <si>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</si>
  <si>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</si>
  <si>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</si>
  <si>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</si>
  <si>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</si>
  <si>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</si>
  <si>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</si>
  <si>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</si>
  <si>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</si>
  <si>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</si>
  <si>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</si>
  <si>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</si>
  <si>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</si>
  <si>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</si>
  <si>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</si>
  <si>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</si>
  <si>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</si>
  <si>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</si>
  <si>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</si>
  <si>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</si>
  <si>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</si>
  <si>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</si>
  <si>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</si>
  <si>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</si>
  <si>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</si>
  <si>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</si>
  <si>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</si>
  <si>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</si>
  <si>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</si>
  <si>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</si>
  <si>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</si>
  <si>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</si>
  <si>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</si>
  <si>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</si>
  <si>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</si>
  <si>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</si>
  <si>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</si>
  <si>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</si>
  <si>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</si>
  <si>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</si>
  <si>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</si>
  <si>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</si>
  <si>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</si>
  <si>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</si>
  <si>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</si>
  <si>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</si>
  <si>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</si>
  <si>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</si>
  <si>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</si>
  <si>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</si>
  <si>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</si>
  <si>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</si>
  <si>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</si>
  <si>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</si>
  <si>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</si>
  <si>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</si>
  <si>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</si>
  <si>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</si>
  <si>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</si>
  <si>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</si>
  <si>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</si>
  <si>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</si>
  <si>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</si>
  <si>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</si>
  <si>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</si>
  <si>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</si>
  <si>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</si>
  <si>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</si>
  <si>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</si>
  <si>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</si>
  <si>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</si>
  <si>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</si>
  <si>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</si>
  <si>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</si>
  <si>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</si>
  <si>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</si>
  <si>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</si>
  <si>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</si>
  <si>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</si>
  <si>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</si>
  <si>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</si>
  <si>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</si>
  <si>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</si>
  <si>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</si>
  <si>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</si>
  <si>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</si>
  <si>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</si>
  <si>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</si>
  <si>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</si>
  <si>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</si>
  <si>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</si>
  <si>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</si>
  <si>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</si>
  <si>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</si>
  <si>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</si>
  <si>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</si>
  <si>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</si>
  <si>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</si>
  <si>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</si>
  <si>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</si>
  <si>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</si>
  <si>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</si>
  <si>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</si>
  <si>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</si>
  <si>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</si>
  <si>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</si>
  <si>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</si>
  <si>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</si>
  <si>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</si>
  <si>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</si>
  <si>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</si>
  <si>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</si>
  <si>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</si>
  <si>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</si>
  <si>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</si>
  <si>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</si>
  <si>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</si>
  <si>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</si>
  <si>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</si>
  <si>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</si>
  <si>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</si>
  <si>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</si>
  <si>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</si>
  <si>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</si>
  <si>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</si>
  <si>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</si>
  <si>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</si>
  <si>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</si>
  <si>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</si>
  <si>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</si>
  <si>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</si>
  <si>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</si>
  <si>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</si>
  <si>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</si>
  <si>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</si>
  <si>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</si>
  <si>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</si>
  <si>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</si>
  <si>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</si>
  <si>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</si>
  <si>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</si>
  <si>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</si>
  <si>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</si>
  <si>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</si>
  <si>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</si>
  <si>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</si>
  <si>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</si>
  <si>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</si>
  <si>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</si>
  <si>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</si>
  <si>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</si>
  <si>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</si>
  <si>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</si>
  <si>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</si>
  <si>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</si>
  <si>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</si>
  <si>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</si>
  <si>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</si>
  <si>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</si>
  <si>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</si>
  <si>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</si>
  <si>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</si>
  <si>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</si>
  <si>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</si>
  <si>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</si>
  <si>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</si>
  <si>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</si>
  <si>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</si>
  <si>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</si>
  <si>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</si>
  <si>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</si>
  <si>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</si>
  <si>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</si>
  <si>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</si>
  <si>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</si>
  <si>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</si>
  <si>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</si>
  <si>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</si>
  <si>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</si>
  <si>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</si>
  <si>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</si>
  <si>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</si>
  <si>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</si>
  <si>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</si>
  <si>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</si>
  <si>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</si>
  <si>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</si>
  <si>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</si>
  <si>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</si>
  <si>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</si>
  <si>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</si>
  <si>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</si>
  <si>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</si>
  <si>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</si>
  <si>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</si>
  <si>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</si>
  <si>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</si>
  <si>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</si>
  <si>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</si>
  <si>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</si>
  <si>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</si>
  <si>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</si>
  <si>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</si>
  <si>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</si>
  <si>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</si>
  <si>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</si>
  <si>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</si>
  <si>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</si>
  <si>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</si>
  <si>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</si>
  <si>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</si>
  <si>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</si>
  <si>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</si>
  <si>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</si>
  <si>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</si>
  <si>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</si>
  <si>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</si>
  <si>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</si>
  <si>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</si>
  <si>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</si>
  <si>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</si>
  <si>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</si>
  <si>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</si>
  <si>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</si>
  <si>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</si>
  <si>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</si>
  <si>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</si>
  <si>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</si>
  <si>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</si>
  <si>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</si>
  <si>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</si>
  <si>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</si>
  <si>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</si>
  <si>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</si>
  <si>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</si>
  <si>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</si>
  <si>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</si>
  <si>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</si>
  <si>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</si>
  <si>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</si>
  <si>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</si>
  <si>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</si>
  <si>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</si>
  <si>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</si>
  <si>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</si>
  <si>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</si>
  <si>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</si>
  <si>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</si>
  <si>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</si>
  <si>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</si>
  <si>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</si>
  <si>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</si>
  <si>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</si>
  <si>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</si>
  <si>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</si>
  <si>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</si>
  <si>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</si>
  <si>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</si>
  <si>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</si>
  <si>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</si>
  <si>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</si>
  <si>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</si>
  <si>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</si>
  <si>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</si>
  <si>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</si>
  <si>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</si>
  <si>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</si>
  <si>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</si>
  <si>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</si>
  <si>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</si>
  <si>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</si>
  <si>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</si>
  <si>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</si>
  <si>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</si>
  <si>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</si>
  <si>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</si>
  <si>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</si>
  <si>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</si>
  <si>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</si>
  <si>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</si>
  <si>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</si>
  <si>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</si>
  <si>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</si>
  <si>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</si>
  <si>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</si>
  <si>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</si>
  <si>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</si>
  <si>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</si>
  <si>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</si>
  <si>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</si>
  <si>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</si>
  <si>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</si>
  <si>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</si>
  <si>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</si>
  <si>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</si>
  <si>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</si>
  <si>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</si>
  <si>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</si>
  <si>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</si>
  <si>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</si>
  <si>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</si>
  <si>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</si>
  <si>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</si>
  <si>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</si>
  <si>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</si>
  <si>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</si>
  <si>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</si>
  <si>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</si>
  <si>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</si>
  <si>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</si>
  <si>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</si>
  <si>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</si>
  <si>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</si>
  <si>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</si>
  <si>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</si>
  <si>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</si>
  <si>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</si>
  <si>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</si>
  <si>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</si>
  <si>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</si>
  <si>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</si>
  <si>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</si>
  <si>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</si>
  <si>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</si>
  <si>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</si>
  <si>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</si>
  <si>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</si>
  <si>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</si>
  <si>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</si>
  <si>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</si>
  <si>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</si>
  <si>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</si>
  <si>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</si>
  <si>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</si>
  <si>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</si>
  <si>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</si>
  <si>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</si>
  <si>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</si>
  <si>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</si>
  <si>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</si>
  <si>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</si>
  <si>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</si>
  <si>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</si>
  <si>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</si>
  <si>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</si>
  <si>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</si>
  <si>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</si>
  <si>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</si>
  <si>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</si>
  <si>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</si>
  <si>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</si>
  <si>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</si>
  <si>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</si>
  <si>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</si>
  <si>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</si>
  <si>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</si>
  <si>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</si>
  <si>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</si>
  <si>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</si>
  <si>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</si>
  <si>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</si>
  <si>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</si>
  <si>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</si>
  <si>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</si>
  <si>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</si>
  <si>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</si>
  <si>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</si>
  <si>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</si>
  <si>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</si>
  <si>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</si>
  <si>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</si>
  <si>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</si>
  <si>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</si>
  <si>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</si>
  <si>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</si>
  <si>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</si>
  <si>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</si>
  <si>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</si>
  <si>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</si>
  <si>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</si>
  <si>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</si>
  <si>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</si>
  <si>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</si>
  <si>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</si>
  <si>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</si>
  <si>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</si>
  <si>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</si>
  <si>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</si>
  <si>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</si>
  <si>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</si>
  <si>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</si>
  <si>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</si>
  <si>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</si>
  <si>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</si>
  <si>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</si>
  <si>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</si>
  <si>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</si>
  <si>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</si>
  <si>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</si>
  <si>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</si>
  <si>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</si>
  <si>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</si>
  <si>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</si>
  <si>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</si>
  <si>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</si>
  <si>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</si>
  <si>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</si>
  <si>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</si>
  <si>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</si>
  <si>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</si>
  <si>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</si>
  <si>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</si>
  <si>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</si>
  <si>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</si>
  <si>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</si>
  <si>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</si>
  <si>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</si>
  <si>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</si>
  <si>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</si>
  <si>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</si>
  <si>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</si>
  <si>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</si>
  <si>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</si>
  <si>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</si>
  <si>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</si>
  <si>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</si>
  <si>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</si>
  <si>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</si>
  <si>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</si>
  <si>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</si>
  <si>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</si>
  <si>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</si>
  <si>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</si>
  <si>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</si>
  <si>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</si>
  <si>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</si>
  <si>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</si>
  <si>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</si>
  <si>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</si>
  <si>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</si>
  <si>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</si>
  <si>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</si>
  <si>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</si>
  <si>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</si>
  <si>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</si>
  <si>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</si>
  <si>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</si>
  <si>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</si>
  <si>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</si>
  <si>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</si>
  <si>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</si>
  <si>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</si>
  <si>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</si>
  <si>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</si>
  <si>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</si>
  <si>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</si>
  <si>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</si>
  <si>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</si>
  <si>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</si>
  <si>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</si>
  <si>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</si>
  <si>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</si>
  <si>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</si>
  <si>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</si>
  <si>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</si>
  <si>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</si>
  <si>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</si>
  <si>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</si>
  <si>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</si>
  <si>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</si>
  <si>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</si>
  <si>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</si>
  <si>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</si>
  <si>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</si>
  <si>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</si>
  <si>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</si>
  <si>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</si>
  <si>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</si>
  <si>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</si>
  <si>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</si>
  <si>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</si>
  <si>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</si>
  <si>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</si>
  <si>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</si>
  <si>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</si>
  <si>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</si>
  <si>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</si>
  <si>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</si>
  <si>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</si>
  <si>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</si>
  <si>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</si>
  <si>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</si>
  <si>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</si>
  <si>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</si>
  <si>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</si>
  <si>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</si>
  <si>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</si>
  <si>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</si>
  <si>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</si>
  <si>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</si>
  <si>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</si>
  <si>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</si>
  <si>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</si>
  <si>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</si>
  <si>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</si>
  <si>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</si>
  <si>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</si>
  <si>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</si>
  <si>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</si>
  <si>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</si>
  <si>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</si>
  <si>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</si>
  <si>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</si>
  <si>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</si>
  <si>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</si>
  <si>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</si>
  <si>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</si>
  <si>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</si>
  <si>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</si>
  <si>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</si>
  <si>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</si>
  <si>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</si>
  <si>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</si>
  <si>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</si>
  <si>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</si>
  <si>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</si>
  <si>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</si>
  <si>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</si>
  <si>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</si>
  <si>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</si>
  <si>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</si>
  <si>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</si>
  <si>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</si>
  <si>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</si>
  <si>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</si>
  <si>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</si>
  <si>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</si>
  <si>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</si>
  <si>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</si>
  <si>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</si>
  <si>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</si>
  <si>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</si>
  <si>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</si>
  <si>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</si>
  <si>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</si>
  <si>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</si>
  <si>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</si>
  <si>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</si>
  <si>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</si>
  <si>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</si>
  <si>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</si>
  <si>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</si>
  <si>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</si>
  <si>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</si>
  <si>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</si>
  <si>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</si>
  <si>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</si>
  <si>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</si>
  <si>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</si>
  <si>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</si>
  <si>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</si>
  <si>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</si>
  <si>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</si>
  <si>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</si>
  <si>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</si>
  <si>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</si>
  <si>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</si>
  <si>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</si>
  <si>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</si>
  <si>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</si>
  <si>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</si>
  <si>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</si>
  <si>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</si>
  <si>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</si>
  <si>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</si>
  <si>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</si>
  <si>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</si>
  <si>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</si>
  <si>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</si>
  <si>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</si>
  <si>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</si>
  <si>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</si>
  <si>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</si>
  <si>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</si>
  <si>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</si>
  <si>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</si>
  <si>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</si>
  <si>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</si>
  <si>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</si>
  <si>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</si>
  <si>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</si>
  <si>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</si>
  <si>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</si>
  <si>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</si>
  <si>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</si>
  <si>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</si>
  <si>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</si>
  <si>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</si>
  <si>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</si>
  <si>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</si>
  <si>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</si>
  <si>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</si>
  <si>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</si>
  <si>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</si>
  <si>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</si>
  <si>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</si>
  <si>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</si>
  <si>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</si>
  <si>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</si>
  <si>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</si>
  <si>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</si>
  <si>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</si>
  <si>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</si>
  <si>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</si>
  <si>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</si>
  <si>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</si>
  <si>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</si>
  <si>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</si>
  <si>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</si>
  <si>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</si>
  <si>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</si>
  <si>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</si>
  <si>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</si>
  <si>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</si>
  <si>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</si>
  <si>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</si>
  <si>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</si>
  <si>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</si>
  <si>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</si>
  <si>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</si>
  <si>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</si>
  <si>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</si>
  <si>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</si>
  <si>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</si>
  <si>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</si>
  <si>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</si>
  <si>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</si>
  <si>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</si>
  <si>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</si>
  <si>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</si>
  <si>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</si>
  <si>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</si>
  <si>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</si>
  <si>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</si>
  <si>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</si>
  <si>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</si>
  <si>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</si>
  <si>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</si>
  <si>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</si>
  <si>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</si>
  <si>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</si>
  <si>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</si>
  <si>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</si>
  <si>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</si>
  <si>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</si>
  <si>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</si>
  <si>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</si>
  <si>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</si>
  <si>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</si>
  <si>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</si>
  <si>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</si>
  <si>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</si>
  <si>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</si>
  <si>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</si>
  <si>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</si>
  <si>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</si>
  <si>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</si>
  <si>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</si>
  <si>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</si>
  <si>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</si>
  <si>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</si>
  <si>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</si>
  <si>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</si>
  <si>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</si>
  <si>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</si>
  <si>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</si>
  <si>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</si>
  <si>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</si>
  <si>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</si>
  <si>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</si>
  <si>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</si>
  <si>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</si>
  <si>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</si>
  <si>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</si>
  <si>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</si>
  <si>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</si>
  <si>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</si>
  <si>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</si>
  <si>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</si>
  <si>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</si>
  <si>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</si>
  <si>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</si>
  <si>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</si>
  <si>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</si>
  <si>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</si>
  <si>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</si>
  <si>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</si>
  <si>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</si>
  <si>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</si>
  <si>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</si>
  <si>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</si>
  <si>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</si>
  <si>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</si>
  <si>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</si>
  <si>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</si>
  <si>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</si>
  <si>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</si>
  <si>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</si>
  <si>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</si>
  <si>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</si>
  <si>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</si>
  <si>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</si>
  <si>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</si>
  <si>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</si>
  <si>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</si>
  <si>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</si>
  <si>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</si>
  <si>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</si>
  <si>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</si>
  <si>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</si>
  <si>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</si>
  <si>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</si>
  <si>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</si>
  <si>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</si>
  <si>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</si>
  <si>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</si>
  <si>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</si>
  <si>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</si>
  <si>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</si>
  <si>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</si>
  <si>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</si>
  <si>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</si>
  <si>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</si>
  <si>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</si>
  <si>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</si>
  <si>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</si>
  <si>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</si>
  <si>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</si>
  <si>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</si>
  <si>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</si>
  <si>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</si>
  <si>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</si>
  <si>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</si>
  <si>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</si>
  <si>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</si>
  <si>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</si>
  <si>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</si>
  <si>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</si>
  <si>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</si>
  <si>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</si>
  <si>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</si>
  <si>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</si>
  <si>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</si>
  <si>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</si>
  <si>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</si>
  <si>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</si>
  <si>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</si>
  <si>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</si>
  <si>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</si>
  <si>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</si>
  <si>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</si>
  <si>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</si>
  <si>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</si>
  <si>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</si>
  <si>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</si>
  <si>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</si>
  <si>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</si>
  <si>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</si>
  <si>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</si>
  <si>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</si>
  <si>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</si>
  <si>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</si>
  <si>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</si>
  <si>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</si>
  <si>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</si>
  <si>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</si>
  <si>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</si>
  <si>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</si>
  <si>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</si>
  <si>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</si>
  <si>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</si>
  <si>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</si>
  <si>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</si>
  <si>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</si>
  <si>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</si>
  <si>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</si>
  <si>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</si>
  <si>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</si>
  <si>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</si>
  <si>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</si>
  <si>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</si>
  <si>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</si>
  <si>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</si>
  <si>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</si>
  <si>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</si>
  <si>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</si>
  <si>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</si>
  <si>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</si>
  <si>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</si>
  <si>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</si>
  <si>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</si>
  <si>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</si>
  <si>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</si>
  <si>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</si>
  <si>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</si>
  <si>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</si>
  <si>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</si>
  <si>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</si>
  <si>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</si>
  <si>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</si>
  <si>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</si>
  <si>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</si>
  <si>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</si>
  <si>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</si>
  <si>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</si>
  <si>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</si>
  <si>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</si>
  <si>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</si>
  <si>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</si>
  <si>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</si>
  <si>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</si>
  <si>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</si>
  <si>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</si>
  <si>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</si>
  <si>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</si>
  <si>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</si>
  <si>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</si>
  <si>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</si>
  <si>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</si>
  <si>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</si>
  <si>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</si>
  <si>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</si>
  <si>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</si>
  <si>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</si>
  <si>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</si>
  <si>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</si>
  <si>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</si>
  <si>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</si>
  <si>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</si>
  <si>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</si>
  <si>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</si>
  <si>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</si>
  <si>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</si>
  <si>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</si>
  <si>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</si>
  <si>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</si>
  <si>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</si>
  <si>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</si>
  <si>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</si>
  <si>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</si>
  <si>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</si>
  <si>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</si>
  <si>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</si>
  <si>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</si>
  <si>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</si>
  <si>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</si>
  <si>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</si>
  <si>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</si>
  <si>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</si>
  <si>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</si>
  <si>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</si>
  <si>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</si>
  <si>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</si>
  <si>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</si>
  <si>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</si>
  <si>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</si>
  <si>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</si>
  <si>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</si>
  <si>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</si>
  <si>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</si>
  <si>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</si>
  <si>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</si>
  <si>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</si>
  <si>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</si>
  <si>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</si>
  <si>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</si>
  <si>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</si>
  <si>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</si>
  <si>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</si>
  <si>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</si>
  <si>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</si>
  <si>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</si>
  <si>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</si>
  <si>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</si>
  <si>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</si>
  <si>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</si>
  <si>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</si>
  <si>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</si>
  <si>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</si>
  <si>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</si>
  <si>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</si>
  <si>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</si>
  <si>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</si>
  <si>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</si>
  <si>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</si>
  <si>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</si>
  <si>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</si>
  <si>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</si>
  <si>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</si>
  <si>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</si>
  <si>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</si>
  <si>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</si>
  <si>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</si>
  <si>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</si>
  <si>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</si>
  <si>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</si>
  <si>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</si>
  <si>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</si>
  <si>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</si>
  <si>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</si>
  <si>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</si>
  <si>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</si>
  <si>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</si>
  <si>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</si>
  <si>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</si>
  <si>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</si>
  <si>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</si>
  <si>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</si>
  <si>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</si>
  <si>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</si>
  <si>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</si>
  <si>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</si>
  <si>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</si>
  <si>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</si>
  <si>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</si>
  <si>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</si>
  <si>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</si>
  <si>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</si>
  <si>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</si>
  <si>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</si>
  <si>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</si>
  <si>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</si>
  <si>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</si>
  <si>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</si>
  <si>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</si>
  <si>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</si>
  <si>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</si>
  <si>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</si>
  <si>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</si>
  <si>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</si>
  <si>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</si>
  <si>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</si>
  <si>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</si>
  <si>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</si>
  <si>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</si>
  <si>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</si>
  <si>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</si>
  <si>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</si>
  <si>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</si>
  <si>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</si>
  <si>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</si>
  <si>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</si>
  <si>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</si>
  <si>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</si>
  <si>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</si>
  <si>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</si>
  <si>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</si>
  <si>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</si>
  <si>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</si>
  <si>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</si>
  <si>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</si>
  <si>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</si>
  <si>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</si>
  <si>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</si>
  <si>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</si>
  <si>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</si>
  <si>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</si>
  <si>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</si>
  <si>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</si>
  <si>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</si>
  <si>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</si>
  <si>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</si>
  <si>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</si>
  <si>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</si>
  <si>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</si>
  <si>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</si>
  <si>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</si>
  <si>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</si>
  <si>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</si>
  <si>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</si>
  <si>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</si>
  <si>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</si>
  <si>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</si>
  <si>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</si>
  <si>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</si>
  <si>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</si>
  <si>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</si>
  <si>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</si>
  <si>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</si>
  <si>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</si>
  <si>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</si>
  <si>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</si>
  <si>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</si>
  <si>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</si>
  <si>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</si>
  <si>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</si>
  <si>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</si>
  <si>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</si>
  <si>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</si>
  <si>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</si>
  <si>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</si>
  <si>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</si>
  <si>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</si>
  <si>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</si>
  <si>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</si>
  <si>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</si>
  <si>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</si>
  <si>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</si>
  <si>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</si>
  <si>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</si>
  <si>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</si>
  <si>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</si>
  <si>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</si>
  <si>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</si>
  <si>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</si>
  <si>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</si>
  <si>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</si>
  <si>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</si>
  <si>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</si>
  <si>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</si>
  <si>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</si>
  <si>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</si>
  <si>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</si>
  <si>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</si>
  <si>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</si>
  <si>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</si>
  <si>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</si>
  <si>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</si>
  <si>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</si>
  <si>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</si>
  <si>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</si>
  <si>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</si>
  <si>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</si>
  <si>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</si>
  <si>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</si>
  <si>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</si>
  <si>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</si>
  <si>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</si>
  <si>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</si>
  <si>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</si>
  <si>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</si>
  <si>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</si>
  <si>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</si>
  <si>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</si>
  <si>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</si>
  <si>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</si>
  <si>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</si>
  <si>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</si>
  <si>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</si>
  <si>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</si>
  <si>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</si>
  <si>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</si>
  <si>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</si>
  <si>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</si>
  <si>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</si>
  <si>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</si>
  <si>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</si>
  <si>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</si>
  <si>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</si>
  <si>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</si>
  <si>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</si>
  <si>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</si>
  <si>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</si>
  <si>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</si>
  <si>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</si>
  <si>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</si>
  <si>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</si>
  <si>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</si>
  <si>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</si>
  <si>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</si>
  <si>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</si>
  <si>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</si>
  <si>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</si>
  <si>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</si>
  <si>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</si>
  <si>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</si>
  <si>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</si>
  <si>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</si>
  <si>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</si>
  <si>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</si>
  <si>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</si>
  <si>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</si>
  <si>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</si>
  <si>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</si>
  <si>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</si>
  <si>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</si>
  <si>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</si>
  <si>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</si>
  <si>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</si>
  <si>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</si>
  <si>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</si>
  <si>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</si>
  <si>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</si>
  <si>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</si>
  <si>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</si>
  <si>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</si>
  <si>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</si>
  <si>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</si>
  <si>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</si>
  <si>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</si>
  <si>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</si>
  <si>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</si>
  <si>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</si>
  <si>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</si>
  <si>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</si>
  <si>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</si>
  <si>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</si>
  <si>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</si>
  <si>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</si>
  <si>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</si>
  <si>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</si>
  <si>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</si>
  <si>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</si>
  <si>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</si>
  <si>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</si>
  <si>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</si>
  <si>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</si>
  <si>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</si>
  <si>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</si>
  <si>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</si>
  <si>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</si>
  <si>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</si>
  <si>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</si>
  <si>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</si>
  <si>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</si>
  <si>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</si>
  <si>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</si>
  <si>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</si>
  <si>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</si>
  <si>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</si>
  <si>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</si>
  <si>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</si>
  <si>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</si>
  <si>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</si>
  <si>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</si>
  <si>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</si>
  <si>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</si>
  <si>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</si>
  <si>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</si>
  <si>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</si>
  <si>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</si>
  <si>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</si>
  <si>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</si>
  <si>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</si>
  <si>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</si>
  <si>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</si>
  <si>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</si>
  <si>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</si>
  <si>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</si>
  <si>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</si>
  <si>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</si>
  <si>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</si>
  <si>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</si>
  <si>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</si>
  <si>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</si>
  <si>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</si>
  <si>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</si>
  <si>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</si>
  <si>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</si>
  <si>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</si>
  <si>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</si>
  <si>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</si>
  <si>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</si>
  <si>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</si>
  <si>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</si>
  <si>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</si>
  <si>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</si>
  <si>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</si>
  <si>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</si>
  <si>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</si>
  <si>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</si>
  <si>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</si>
  <si>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</si>
  <si>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</si>
  <si>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</si>
  <si>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</si>
  <si>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</si>
  <si>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</si>
  <si>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</si>
  <si>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</si>
  <si>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</si>
  <si>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</si>
  <si>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</si>
  <si>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</si>
  <si>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</si>
  <si>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</si>
  <si>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</si>
  <si>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</si>
  <si>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</si>
  <si>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</si>
  <si>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</si>
  <si>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</si>
  <si>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</si>
  <si>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</si>
  <si>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</si>
  <si>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</si>
  <si>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</si>
  <si>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</si>
  <si>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</si>
  <si>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</si>
  <si>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</si>
  <si>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</si>
  <si>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</si>
  <si>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</si>
  <si>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</si>
  <si>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</si>
  <si>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</si>
  <si>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</si>
  <si>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</si>
  <si>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</si>
  <si>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</si>
  <si>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</si>
  <si>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</si>
  <si>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</si>
  <si>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</si>
  <si>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</si>
  <si>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</si>
  <si>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</si>
  <si>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</si>
  <si>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</si>
  <si>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</si>
  <si>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</si>
  <si>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</si>
  <si>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</si>
  <si>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</si>
  <si>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</si>
  <si>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</si>
  <si>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</si>
  <si>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</si>
  <si>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</si>
  <si>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</si>
  <si>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</si>
  <si>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</si>
  <si>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</si>
  <si>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</si>
  <si>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</si>
  <si>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</si>
  <si>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</si>
  <si>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</si>
  <si>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</si>
  <si>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</si>
  <si>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</si>
  <si>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</si>
  <si>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</si>
  <si>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</si>
  <si>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</si>
  <si>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</si>
  <si>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</si>
  <si>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</si>
  <si>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</si>
  <si>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</si>
  <si>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</si>
  <si>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</si>
  <si>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</si>
  <si>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</si>
  <si>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</si>
  <si>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</si>
  <si>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</si>
  <si>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</si>
  <si>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</si>
  <si>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</si>
  <si>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</si>
  <si>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</si>
  <si>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</si>
  <si>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</si>
  <si>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</si>
  <si>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</si>
  <si>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</si>
  <si>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</si>
  <si>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</si>
  <si>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</si>
  <si>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</si>
  <si>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</si>
  <si>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</si>
  <si>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</si>
  <si>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</si>
  <si>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</si>
  <si>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</si>
  <si>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</si>
  <si>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</si>
  <si>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</si>
  <si>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</si>
  <si>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</si>
  <si>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</si>
  <si>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</si>
  <si>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</si>
  <si>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</si>
  <si>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</si>
  <si>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</si>
  <si>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</si>
  <si>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</si>
  <si>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</si>
  <si>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</si>
  <si>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</si>
  <si>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</si>
  <si>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</si>
  <si>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</si>
  <si>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</si>
  <si>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</si>
  <si>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</si>
  <si>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</si>
  <si>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</si>
  <si>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</si>
  <si>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</si>
  <si>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</si>
  <si>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</si>
  <si>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</si>
  <si>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</si>
  <si>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</si>
  <si>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</si>
  <si>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</si>
  <si>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</si>
  <si>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</si>
  <si>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</si>
  <si>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</si>
  <si>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</si>
  <si>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</si>
  <si>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</si>
  <si>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</si>
  <si>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</si>
  <si>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</si>
  <si>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</si>
  <si>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</si>
  <si>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</si>
  <si>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</si>
  <si>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</si>
  <si>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</si>
  <si>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</si>
  <si>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</si>
  <si>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</si>
  <si>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</si>
  <si>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</si>
  <si>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</si>
  <si>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</si>
  <si>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</si>
  <si>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</si>
  <si>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</si>
  <si>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</si>
  <si>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</si>
  <si>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</si>
  <si>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</si>
  <si>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</si>
  <si>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</si>
  <si>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</si>
  <si>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</si>
  <si>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</si>
  <si>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</si>
  <si>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</si>
  <si>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</si>
  <si>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</si>
  <si>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</si>
  <si>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</si>
  <si>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</si>
  <si>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</si>
  <si>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</si>
  <si>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</si>
  <si>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</si>
  <si>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</si>
  <si>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</si>
  <si>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</si>
  <si>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</si>
  <si>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</si>
  <si>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</si>
  <si>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</si>
  <si>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</si>
  <si>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</si>
  <si>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</si>
  <si>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</si>
  <si>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</si>
  <si>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</si>
  <si>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</si>
  <si>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</si>
  <si>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</si>
  <si>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</si>
  <si>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</si>
  <si>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</si>
  <si>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</si>
  <si>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</si>
  <si>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</si>
  <si>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</si>
  <si>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</si>
  <si>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</si>
  <si>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</si>
  <si>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</si>
  <si>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</si>
  <si>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</si>
  <si>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</si>
  <si>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</si>
  <si>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</si>
  <si>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</si>
  <si>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</si>
  <si>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</si>
  <si>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</si>
  <si>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</si>
  <si>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</si>
  <si>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</si>
  <si>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</si>
  <si>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</si>
  <si>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</si>
  <si>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</si>
  <si>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</si>
  <si>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</si>
  <si>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</si>
  <si>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</si>
  <si>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</si>
  <si>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</si>
  <si>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</si>
  <si>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</si>
  <si>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</si>
  <si>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</si>
  <si>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</si>
  <si>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</si>
  <si>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</si>
  <si>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</si>
  <si>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</si>
  <si>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</si>
  <si>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</si>
  <si>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</si>
  <si>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</si>
  <si>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</si>
  <si>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</si>
  <si>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</si>
  <si>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</si>
  <si>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</si>
  <si>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</si>
  <si>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</si>
  <si>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</si>
  <si>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</si>
  <si>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</si>
  <si>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</si>
  <si>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</si>
  <si>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</si>
  <si>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</si>
  <si>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</si>
  <si>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</si>
  <si>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</si>
  <si>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</si>
  <si>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</si>
  <si>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</si>
  <si>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</si>
  <si>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</si>
  <si>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</si>
  <si>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</si>
  <si>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</si>
  <si>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</si>
  <si>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</si>
  <si>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</si>
  <si>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</si>
  <si>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</si>
  <si>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</si>
  <si>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</si>
  <si>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</si>
  <si>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</si>
  <si>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</si>
  <si>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</si>
  <si>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</si>
  <si>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</si>
  <si>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</si>
  <si>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</si>
  <si>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</si>
  <si>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</si>
  <si>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</si>
  <si>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</si>
  <si>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</si>
  <si>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</si>
  <si>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</si>
  <si>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</si>
  <si>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</si>
  <si>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</si>
  <si>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</si>
  <si>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</si>
  <si>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</si>
  <si>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</si>
  <si>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</si>
  <si>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</si>
  <si>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</si>
  <si>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</si>
  <si>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</si>
  <si>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</si>
  <si>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</si>
  <si>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</si>
  <si>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</si>
  <si>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</si>
  <si>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</si>
  <si>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</si>
  <si>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MP Willow Greenridge Associates, L.P.</t>
  </si>
  <si>
    <t xml:space="preserve">City of South San Francisco </t>
  </si>
  <si>
    <t>Mike Futrell</t>
  </si>
  <si>
    <t>400 Grand Avenue</t>
  </si>
  <si>
    <t>South San Francisco</t>
  </si>
  <si>
    <t>650-829-8502</t>
  </si>
  <si>
    <t>650-877-8500</t>
  </si>
  <si>
    <t>mike.futrell@ssf.net</t>
  </si>
  <si>
    <t xml:space="preserve">Jan M. Lindenthal </t>
  </si>
  <si>
    <t xml:space="preserve">Assistant Secretary </t>
  </si>
  <si>
    <t>CDLAC-TCAC Joint Application (submitting concurrently)</t>
  </si>
  <si>
    <t>1565 El Camino Real; 982, 986,990 Brusco Way; 344, 364, 383, 395 Susie Way; 976 Sandra Court; 986 Nora Way</t>
  </si>
  <si>
    <t xml:space="preserve">South San Francisco </t>
  </si>
  <si>
    <t>6019.01; 6018.00</t>
  </si>
  <si>
    <t xml:space="preserve">011-270-200; 011-264-020; 011-270-360;  011-270-100; 011-270-110; 011-270-120; 011-271-100; 011-270-300; 011-270-170; 010-440-670 </t>
  </si>
  <si>
    <t>303 Vintage Park Drive, Suite 250</t>
  </si>
  <si>
    <t xml:space="preserve">Foster City </t>
  </si>
  <si>
    <t>CA</t>
  </si>
  <si>
    <t>650-357-9776</t>
  </si>
  <si>
    <t>650-356-2900</t>
  </si>
  <si>
    <t>jlindenthal@midpen-housing.org</t>
  </si>
  <si>
    <t xml:space="preserve">MidPen Housing Corporation </t>
  </si>
  <si>
    <t>MP Greenridge LLC</t>
  </si>
  <si>
    <t>Managing GP</t>
  </si>
  <si>
    <t>Foster City</t>
  </si>
  <si>
    <t xml:space="preserve">Jeffrey Summerville </t>
  </si>
  <si>
    <t>650-235-7691</t>
  </si>
  <si>
    <t>jsummerville@midpen-housing.org</t>
  </si>
  <si>
    <t xml:space="preserve">Developer, Project Manager </t>
  </si>
  <si>
    <t>MidPen Housing Corporation</t>
  </si>
  <si>
    <t>303 Vintage Park Dr. Suite 250</t>
  </si>
  <si>
    <t>Foster City, CA 94404</t>
  </si>
  <si>
    <t>Jeffrey Summerville</t>
  </si>
  <si>
    <t>Gubb &amp; Barshay LLP</t>
  </si>
  <si>
    <t>505 14th St. #450</t>
  </si>
  <si>
    <t>Oakland, CA 94612</t>
  </si>
  <si>
    <t>Evan Gross</t>
  </si>
  <si>
    <t>415-781-6600</t>
  </si>
  <si>
    <t>415-781-6967</t>
  </si>
  <si>
    <t>egross@gubbandbarshay.com</t>
  </si>
  <si>
    <t>TWM Architect</t>
  </si>
  <si>
    <t>1011 C Street</t>
  </si>
  <si>
    <t>San Rafael, CA 94901</t>
  </si>
  <si>
    <t>Derek W. Dutton</t>
  </si>
  <si>
    <t>415-472-5770</t>
  </si>
  <si>
    <t>415-472-5846</t>
  </si>
  <si>
    <t>ddutton@twmarchitects.com</t>
  </si>
  <si>
    <t>BBI Construction</t>
  </si>
  <si>
    <t>1155 Third St. #230</t>
  </si>
  <si>
    <t>Oakland, CA 94607</t>
  </si>
  <si>
    <t>Chad Kipfer</t>
  </si>
  <si>
    <t>510-286-8200</t>
  </si>
  <si>
    <t>510-286-8210</t>
  </si>
  <si>
    <t>ckipfer@bbiconstruction.com</t>
  </si>
  <si>
    <t>Partner Energy</t>
  </si>
  <si>
    <t>680 Knox St. #150</t>
  </si>
  <si>
    <t>Los Angeles, CA 90502</t>
  </si>
  <si>
    <t>Christine Nguyen</t>
  </si>
  <si>
    <t>310-765-7292</t>
  </si>
  <si>
    <t>310-862-2399</t>
  </si>
  <si>
    <t>cnguyen@ptrenergy.com</t>
  </si>
  <si>
    <t>Novogradac &amp; Company LLP</t>
  </si>
  <si>
    <t>1000 SW Broadway, Suite 1680</t>
  </si>
  <si>
    <t>Portland, OR 97205</t>
  </si>
  <si>
    <t>Nicolo Pinoli, CPA</t>
  </si>
  <si>
    <t>503-821-2750</t>
  </si>
  <si>
    <t>Nicolo.Pinoli@novoco.com</t>
  </si>
  <si>
    <t>TBD</t>
  </si>
  <si>
    <t>California Housing Partnership</t>
  </si>
  <si>
    <t>369 Pine Street, Ste 300</t>
  </si>
  <si>
    <t>San Francisco, CA 94104</t>
  </si>
  <si>
    <t>Zorica Stancevic</t>
  </si>
  <si>
    <t>415-738-7793</t>
  </si>
  <si>
    <t>zstancevic@chpc.net</t>
  </si>
  <si>
    <t>M.E. Shay &amp; Co.</t>
  </si>
  <si>
    <t>1006 Fourth Street, 6th Floor</t>
  </si>
  <si>
    <t>Sacramento, CA 95814</t>
  </si>
  <si>
    <t>Mary Ellen Shay</t>
  </si>
  <si>
    <t>916-444-0288</t>
  </si>
  <si>
    <t>916-444-3408</t>
  </si>
  <si>
    <t>meshayco@gmail.com</t>
  </si>
  <si>
    <t>James G. Palmer Appraisals Inc.</t>
  </si>
  <si>
    <t>1285 West Shaw, Suite 108</t>
  </si>
  <si>
    <t>Fresno, CA 93711</t>
  </si>
  <si>
    <t>Gregg Palmer</t>
  </si>
  <si>
    <t>559-226-5020</t>
  </si>
  <si>
    <t>559-226-5063</t>
  </si>
  <si>
    <t>gregg@jgpinc.com</t>
  </si>
  <si>
    <t xml:space="preserve">AEI Consultants </t>
  </si>
  <si>
    <t>2500 Camino Diablo</t>
  </si>
  <si>
    <t>Walnut Creek, CA 94597</t>
  </si>
  <si>
    <t>Peter McIntyre</t>
  </si>
  <si>
    <t>925-746-6004</t>
  </si>
  <si>
    <t xml:space="preserve"> 925-746-6099</t>
  </si>
  <si>
    <t>pmcintyre@aeiconsultants.com</t>
  </si>
  <si>
    <t>California Municipal Finance Agency</t>
  </si>
  <si>
    <t>2111 Palomar Airport Road, Suite 320</t>
  </si>
  <si>
    <t>Carlsbad, CA 92011</t>
  </si>
  <si>
    <t xml:space="preserve">Anthony Stubbs </t>
  </si>
  <si>
    <t>(760) 930-1333</t>
  </si>
  <si>
    <t>(760) 683-3390</t>
  </si>
  <si>
    <t>astubbs@cmfa-ca.com</t>
  </si>
  <si>
    <t>MidPen Property Management Corporation</t>
  </si>
  <si>
    <t>Marvin Williams</t>
  </si>
  <si>
    <t>650-356-2904</t>
  </si>
  <si>
    <t>650-357-9766</t>
  </si>
  <si>
    <t>mwilliams@midpen-housing.org</t>
  </si>
  <si>
    <t>1968 &amp; 1999</t>
  </si>
  <si>
    <t xml:space="preserve">Multi-family apartments </t>
  </si>
  <si>
    <t>MP Greenridge Associates &amp; Willow Gardens Housing Associates</t>
  </si>
  <si>
    <t>Multifamily</t>
  </si>
  <si>
    <t>18-30 units per acre</t>
  </si>
  <si>
    <t>Project is zoned for intended use</t>
  </si>
  <si>
    <t>San Mateo Couty AHF 7.0</t>
  </si>
  <si>
    <t>San Mateo County CDBG</t>
  </si>
  <si>
    <t>City of South San Francisco</t>
  </si>
  <si>
    <t>City of South San Francisco - Assumed Loan</t>
  </si>
  <si>
    <t>San Mateo County AHF 7.0</t>
  </si>
  <si>
    <t>Seller Carryback Loan</t>
  </si>
  <si>
    <t>Deferred Developer Fee</t>
  </si>
  <si>
    <t>3003 Tasman Drive</t>
  </si>
  <si>
    <t>Santa Clara, CA 95054</t>
  </si>
  <si>
    <t>Katie Fisher</t>
  </si>
  <si>
    <t>415-545-9366</t>
  </si>
  <si>
    <t>Construction Loan</t>
  </si>
  <si>
    <t>PO Box 711</t>
  </si>
  <si>
    <t>South San Francisco, CA 94803-0711</t>
  </si>
  <si>
    <t>Deanna Talavera</t>
  </si>
  <si>
    <t>650-829-6631</t>
  </si>
  <si>
    <t>Residual Receipts Loan</t>
  </si>
  <si>
    <t>264 Harbor Blvd., Building A</t>
  </si>
  <si>
    <t>Belmont, CA 94002</t>
  </si>
  <si>
    <t>Ying Sham</t>
  </si>
  <si>
    <t>650-802-3348</t>
  </si>
  <si>
    <t>303 Vintage Park Dr Ste 250</t>
  </si>
  <si>
    <t>Jan M. Lindenthal</t>
  </si>
  <si>
    <t>650-356-2919</t>
  </si>
  <si>
    <t>Deferred Costs</t>
  </si>
  <si>
    <t>Capital Contribution</t>
  </si>
  <si>
    <t>Sponsor Loan</t>
  </si>
  <si>
    <t xml:space="preserve">San Mateo County Housing Authority </t>
  </si>
  <si>
    <t xml:space="preserve">Misc Admin, Office Expenses, Supplies </t>
  </si>
  <si>
    <t xml:space="preserve"> Healh Insurnace/ Benefits, payroll taxes-employer, etc</t>
  </si>
  <si>
    <t xml:space="preserve">Janitorial, Other Maintenance, Supplies </t>
  </si>
  <si>
    <t>Contracts</t>
  </si>
  <si>
    <t>100 West Broadway, Suite 100</t>
  </si>
  <si>
    <t>Glendale, CA 91210</t>
  </si>
  <si>
    <t xml:space="preserve">Aaron Smith </t>
  </si>
  <si>
    <t>818-550-9811</t>
  </si>
  <si>
    <t>Appraisal</t>
  </si>
  <si>
    <t>40%/60% Average Income</t>
  </si>
  <si>
    <t>Other (Specify below)</t>
  </si>
  <si>
    <t xml:space="preserve">Greenridge includes two-story garden apartment buildings and Willow Gardens includes two-story townhouse buildings. </t>
  </si>
  <si>
    <t>Equity</t>
  </si>
  <si>
    <t xml:space="preserve">LP Equity </t>
  </si>
  <si>
    <t>GP Capital Contribution - Developer Fee</t>
  </si>
  <si>
    <t>Variable</t>
  </si>
  <si>
    <t>Fixed</t>
  </si>
  <si>
    <t>GP Capital Contrubution</t>
  </si>
  <si>
    <t>Subordinate Loan Deferred/Accrued Interest</t>
  </si>
  <si>
    <t>Silicon Valley Bank TE Construction Loan</t>
  </si>
  <si>
    <t>CCRC TE Permanent Loan</t>
  </si>
  <si>
    <t>Costs deferred until Conversion</t>
  </si>
  <si>
    <t>Residual Reciepts Loan</t>
  </si>
  <si>
    <t>Developer Fee</t>
  </si>
  <si>
    <t>Capital Contribtution</t>
  </si>
  <si>
    <t>Tax Exempt Senior Loan</t>
  </si>
  <si>
    <t>30 Day LIBOR</t>
  </si>
  <si>
    <t>Other: Acquisition Legal/Title &amp; Escrow</t>
  </si>
  <si>
    <t>Other: 3rd Pty Construction Mgr</t>
  </si>
  <si>
    <t>Other: 3rd Pty Prevailing Wage Monitor</t>
  </si>
  <si>
    <t xml:space="preserve">Other: Sponsor/GP Legal </t>
  </si>
  <si>
    <t>Other CMFA Bond Issuer Fee:</t>
  </si>
  <si>
    <t xml:space="preserve">San Mateo County AHF </t>
  </si>
  <si>
    <t>City Housing Successor Agency Funds</t>
  </si>
  <si>
    <t>San Mateo County Affordable Housing Funds</t>
  </si>
  <si>
    <t xml:space="preserve">Willow Greenridge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</si>
</sst>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6" fontId="15"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6"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6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6</v>
      </c>
      <c r="C4" s="682">
        <f>Application!K709</f>
        <v>839</v>
      </c>
      <c r="D4" s="683"/>
      <c r="E4" s="493"/>
      <c r="F4" s="684">
        <f>E4*B4</f>
        <v>0</v>
      </c>
      <c r="G4" s="685"/>
      <c r="H4" s="682" t="str">
        <f>IF(E4=0," ",(E4-C4))</f>
        <v xml:space="preserve"> </v>
      </c>
      <c r="I4" s="684" t="str">
        <f>IF(E4=0," ",(H4*B4))</f>
        <v xml:space="preserve"> </v>
      </c>
      <c r="J4" s="335"/>
      <c r="K4" s="490"/>
    </row>
    <row r="5" spans="1:11">
      <c r="A5" s="682" t="str">
        <f>Application!B710</f>
        <v>3 Bedrooms</v>
      </c>
      <c r="B5" s="691">
        <f>Application!G710</f>
        <v>2</v>
      </c>
      <c r="C5" s="682">
        <f>Application!K710</f>
        <v>1126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4 Bedrooms</v>
      </c>
      <c r="B6" s="691">
        <f>Application!G711</f>
        <v>2</v>
      </c>
      <c r="C6" s="682">
        <f>Application!K711</f>
        <v>1038</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1279</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2</v>
      </c>
      <c r="C9" s="682">
        <f>Application!K714</f>
        <v>1392</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6</v>
      </c>
      <c r="C10" s="682">
        <f>Application!K715</f>
        <v>1426</v>
      </c>
      <c r="D10" s="683"/>
      <c r="E10" s="493"/>
      <c r="F10" s="684">
        <f t="shared" si="0"/>
        <v>0</v>
      </c>
      <c r="G10" s="685"/>
      <c r="H10" s="682" t="str">
        <f t="shared" si="1"/>
        <v xml:space="preserve"> </v>
      </c>
      <c r="I10" s="684" t="str">
        <f t="shared" si="2"/>
        <v xml:space="preserve"> </v>
      </c>
      <c r="J10" s="335"/>
      <c r="K10" s="490"/>
    </row>
    <row r="11" spans="1:11">
      <c r="A11" s="682" t="str">
        <f>Application!B716</f>
        <v>4 Bedrooms</v>
      </c>
      <c r="B11" s="691">
        <f>Application!G716</f>
        <v>1</v>
      </c>
      <c r="C11" s="682">
        <f>Application!K716</f>
        <v>1649</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3</v>
      </c>
      <c r="C13" s="682">
        <f>Application!K718</f>
        <v>1417</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1</v>
      </c>
      <c r="C14" s="682">
        <f>Application!K719</f>
        <v>1392</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1</v>
      </c>
      <c r="C17" s="682">
        <f>Application!K722</f>
        <v>1972</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1</v>
      </c>
      <c r="C18" s="682">
        <f>Application!K723</f>
        <v>2142</v>
      </c>
      <c r="D18" s="683"/>
      <c r="E18" s="493"/>
      <c r="F18" s="684">
        <f t="shared" si="0"/>
        <v>0</v>
      </c>
      <c r="G18" s="685"/>
      <c r="H18" s="682" t="str">
        <f t="shared" si="1"/>
        <v xml:space="preserve"> </v>
      </c>
      <c r="I18" s="684" t="str">
        <f t="shared" si="2"/>
        <v xml:space="preserve"> </v>
      </c>
      <c r="J18" s="335"/>
      <c r="K18" s="490"/>
    </row>
    <row r="19" spans="1:11">
      <c r="A19" s="682" t="str">
        <f>Application!B724</f>
        <v>4 Bedrooms</v>
      </c>
      <c r="B19" s="691">
        <f>Application!G724</f>
        <v>1</v>
      </c>
      <c r="C19" s="682">
        <f>Application!K724</f>
        <v>2620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t="str">
        <f>Application!B727</f>
        <v>2 Bedrooms</v>
      </c>
      <c r="B22" s="691">
        <f>Application!G727</f>
        <v>15</v>
      </c>
      <c r="C22" s="682">
        <f>Application!K727</f>
        <v>1406</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t="str">
        <f>Application!B729</f>
        <v>2 Bedrooms</v>
      </c>
      <c r="B24" s="691">
        <f>Application!G729</f>
        <v>12</v>
      </c>
      <c r="C24" s="682">
        <f>Application!K729</f>
        <v>1588</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t="str">
        <f>Application!B731</f>
        <v>2 Bedrooms</v>
      </c>
      <c r="B26" s="691">
        <f>Application!G731</f>
        <v>8</v>
      </c>
      <c r="C26" s="682">
        <f>Application!K731</f>
        <v>1694</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97379</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1999000</v>
      </c>
      <c r="C5" s="438">
        <f>'Sources and Uses Budget'!$C4</f>
        <v>1999000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1999000</v>
      </c>
      <c r="C9" s="442">
        <f>SUM(C5:C8)</f>
        <v>1999000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26001000</v>
      </c>
      <c r="C10" s="438">
        <f>'Sources and Uses Budget'!$C9</f>
        <v>26001000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26001000</v>
      </c>
      <c r="C12" s="442">
        <f>SUM(C10:C11)</f>
        <v>26001000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28000000</v>
      </c>
      <c r="C13" s="442">
        <f>SUM(C9+C12)</f>
        <v>28000000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100000</v>
      </c>
      <c r="C14" s="438">
        <f>'Sources and Uses Budget'!$C13</f>
        <v>100000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14679068</v>
      </c>
      <c r="C19" s="438">
        <f>'Sources and Uses Budget'!$C18</f>
        <v>14679068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926497</v>
      </c>
      <c r="C20" s="438">
        <f>'Sources and Uses Budget'!$C19</f>
        <v>926497</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783959</v>
      </c>
      <c r="C21" s="438">
        <f>'Sources and Uses Budget'!$C20</f>
        <v>783959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391980</v>
      </c>
      <c r="C24" s="438">
        <f>'Sources and Uses Budget'!$C23</f>
        <v>391980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16781504</v>
      </c>
      <c r="C26" s="442">
        <f>SUM(C18:C25)</f>
        <v>16781504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2305700</v>
      </c>
      <c r="C27" s="438">
        <f>'Sources and Uses Budget'!$C$26</f>
        <v>2305700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405000</v>
      </c>
      <c r="C39" s="438">
        <f>'Sources and Uses Budget'!$C38</f>
        <v>405000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143193</v>
      </c>
      <c r="C40" s="438">
        <f>'Sources and Uses Budget'!$C39</f>
        <v>143193</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548193</v>
      </c>
      <c r="C41" s="442">
        <f>SUM(C39:C40)</f>
        <v>548193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172647</v>
      </c>
      <c r="C42" s="438">
        <f>'Sources and Uses Budget'!$C41</f>
        <v>172647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2345246</v>
      </c>
      <c r="C44" s="438">
        <f>'Sources and Uses Budget'!$C43</f>
        <v>2345246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243180</v>
      </c>
      <c r="C45" s="438">
        <f>'Sources and Uses Budget'!$C44</f>
        <v>243180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40400</v>
      </c>
      <c r="C46" s="438">
        <f>'Sources and Uses Budget'!$C45</f>
        <v>40400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152484</v>
      </c>
      <c r="C48" s="438">
        <f>'Sources and Uses Budget'!$C47</f>
        <v>152484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214031</v>
      </c>
      <c r="C51" s="438">
        <f>'Sources and Uses Budget'!$C50</f>
        <v>214031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3020341</v>
      </c>
      <c r="C54" s="445">
        <f>SUM(C44:C53)</f>
        <v>3020341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42325</v>
      </c>
      <c r="C56" s="438">
        <f>'Sources and Uses Budget'!$C55</f>
        <v>42325</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14765</v>
      </c>
      <c r="C58" s="438">
        <f>'Sources and Uses Budget'!$C57</f>
        <v>14765</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72090</v>
      </c>
      <c r="C63" s="442">
        <f>SUM(C56:C62)</f>
        <v>72090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51000475</v>
      </c>
      <c r="C64" s="442">
        <f>SUM(C9+C12+C14+C15+C17+C26+C27+C37+C41+C42+C54+C63)</f>
        <v>51000475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40500</v>
      </c>
      <c r="C67" s="438">
        <f>'Sources and Uses Budget'!$C66</f>
        <v>40500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125500</v>
      </c>
      <c r="C68" s="442">
        <f>SUM(C66:C67)</f>
        <v>125500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268024</v>
      </c>
      <c r="C73" s="438">
        <f>'Sources and Uses Budget'!$C72</f>
        <v>268024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268024</v>
      </c>
      <c r="C75" s="442">
        <f>SUM(C70:C74)</f>
        <v>268024</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2131251</v>
      </c>
      <c r="C77" s="438">
        <f>'Sources and Uses Budget'!$C76</f>
        <v>2131251</v>
      </c>
      <c r="D77" s="442">
        <f t="shared" si="1"/>
        <v>0</v>
      </c>
      <c r="E77" s="440"/>
      <c r="F77" s="439"/>
      <c r="G77" s="577"/>
    </row>
    <row r="78" spans="1:253" s="571" customFormat="1">
      <c r="A78" s="893" t="s">
        <v>63</v>
      </c>
      <c r="B78" s="438">
        <f>'Sources and Uses Budget'!$C77</f>
        <v>404835</v>
      </c>
      <c r="C78" s="438">
        <f>'Sources and Uses Budget'!$C77</f>
        <v>404835</v>
      </c>
      <c r="D78" s="442">
        <f t="shared" ref="D78" si="2">C78-B78</f>
        <v>0</v>
      </c>
      <c r="E78" s="440"/>
      <c r="F78" s="439"/>
      <c r="G78" s="577"/>
    </row>
    <row r="79" spans="1:253" s="571" customFormat="1">
      <c r="A79" s="443" t="s">
        <v>1469</v>
      </c>
      <c r="B79" s="442">
        <f>SUM(B77:B78)</f>
        <v>2536086</v>
      </c>
      <c r="C79" s="442">
        <f>SUM(C77:C78)</f>
        <v>2536086</v>
      </c>
      <c r="D79" s="442">
        <f t="shared" si="1"/>
        <v>0</v>
      </c>
      <c r="E79" s="440"/>
      <c r="F79" s="439"/>
      <c r="G79" s="577"/>
    </row>
    <row r="80" spans="1:253" s="571" customFormat="1">
      <c r="A80" s="436" t="s">
        <v>844</v>
      </c>
      <c r="B80" s="436"/>
      <c r="C80" s="436"/>
      <c r="D80" s="436"/>
      <c r="E80" s="456"/>
      <c r="F80" s="436"/>
      <c r="G80" s="577"/>
    </row>
    <row r="81" spans="1:7" s="571" customFormat="1" ht="13.9" customHeight="1">
      <c r="A81" s="441" t="s">
        <v>845</v>
      </c>
      <c r="B81" s="438">
        <f>'Sources and Uses Budget'!$C80</f>
        <v>50817</v>
      </c>
      <c r="C81" s="438">
        <f>'Sources and Uses Budget'!$C80</f>
        <v>50817</v>
      </c>
      <c r="D81" s="442">
        <f t="shared" si="1"/>
        <v>0</v>
      </c>
      <c r="E81" s="440"/>
      <c r="F81" s="439"/>
      <c r="G81" s="577"/>
    </row>
    <row r="82" spans="1:7" s="571" customFormat="1">
      <c r="A82" s="441" t="s">
        <v>846</v>
      </c>
      <c r="B82" s="438">
        <f>'Sources and Uses Budget'!$C81</f>
        <v>32011</v>
      </c>
      <c r="C82" s="438">
        <f>'Sources and Uses Budget'!$C81</f>
        <v>32011</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200000</v>
      </c>
      <c r="C84" s="438">
        <f>'Sources and Uses Budget'!$C83</f>
        <v>200000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60000</v>
      </c>
      <c r="C86" s="438">
        <f>'Sources and Uses Budget'!$C85</f>
        <v>60000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5500</v>
      </c>
      <c r="C88" s="438">
        <f>'Sources and Uses Budget'!$C87</f>
        <v>5500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11000</v>
      </c>
      <c r="C90" s="438">
        <f>'Sources and Uses Budget'!$C89</f>
        <v>11000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174000</v>
      </c>
      <c r="C92" s="438">
        <f>'Sources and Uses Budget'!$C91</f>
        <v>174000</v>
      </c>
      <c r="D92" s="442">
        <f t="shared" si="1"/>
        <v>0</v>
      </c>
      <c r="E92" s="440"/>
      <c r="F92" s="439"/>
      <c r="G92" s="577"/>
    </row>
    <row r="93" spans="1:7" s="571" customFormat="1">
      <c r="A93" s="444" t="s">
        <v>37</v>
      </c>
      <c r="B93" s="438">
        <f>'Sources and Uses Budget'!$C92</f>
        <v>50000</v>
      </c>
      <c r="C93" s="438">
        <f>'Sources and Uses Budget'!$C92</f>
        <v>50000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668328</v>
      </c>
      <c r="C96" s="442">
        <f>SUM(C81:C95)</f>
        <v>668328</v>
      </c>
      <c r="D96" s="442">
        <f t="shared" si="1"/>
        <v>0</v>
      </c>
      <c r="E96" s="440"/>
      <c r="F96" s="439"/>
      <c r="G96" s="577"/>
    </row>
    <row r="97" spans="1:7" s="571" customFormat="1">
      <c r="A97" s="443" t="s">
        <v>854</v>
      </c>
      <c r="B97" s="442">
        <f>SUM(B64+B68+B75+B79+B96)</f>
        <v>54598413</v>
      </c>
      <c r="C97" s="442">
        <f>SUM(C64+C68+C75+C79+C96)</f>
        <v>54598413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6774353</v>
      </c>
      <c r="C99" s="438">
        <f>'Sources and Uses Budget'!$C98</f>
        <v>6774353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6774353</v>
      </c>
      <c r="C105" s="442">
        <f>SUM(C99:C104)</f>
        <v>6774353</v>
      </c>
      <c r="D105" s="442">
        <f t="shared" si="1"/>
        <v>0</v>
      </c>
      <c r="E105" s="440"/>
      <c r="F105" s="439"/>
      <c r="G105" s="575"/>
    </row>
    <row r="106" spans="1:7" s="570" customFormat="1">
      <c r="A106" s="443" t="s">
        <v>862</v>
      </c>
      <c r="B106" s="445">
        <f>SUM(B97+B105)</f>
        <v>61372766</v>
      </c>
      <c r="C106" s="445">
        <f>SUM(C97+C105)</f>
        <v>61372766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6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6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6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6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9" customHeight="1">
      <c r="A124" s="303"/>
      <c r="B124" s="303"/>
      <c r="C124" s="304"/>
      <c r="D124" s="961"/>
      <c r="E124" s="961"/>
      <c r="F124" s="961"/>
      <c r="G124" s="305"/>
    </row>
    <row r="125" spans="1:11" customFormat="1" ht="13.9" customHeight="1">
      <c r="A125" s="135"/>
      <c r="B125" s="700"/>
      <c r="C125" s="10"/>
      <c r="D125" s="961"/>
      <c r="E125" s="961"/>
      <c r="F125" s="961"/>
      <c r="G125" s="152"/>
    </row>
    <row r="126" spans="1:11" customFormat="1" ht="13.9" customHeight="1">
      <c r="A126" s="135"/>
      <c r="B126" s="700"/>
      <c r="C126" s="10"/>
      <c r="D126" s="961"/>
      <c r="E126" s="961"/>
      <c r="F126" s="961"/>
      <c r="G126" s="152"/>
    </row>
    <row r="127" spans="1:11" customFormat="1" ht="13.9" customHeight="1">
      <c r="A127" s="135"/>
      <c r="B127" s="700"/>
      <c r="C127" s="10"/>
      <c r="D127" s="961"/>
      <c r="E127" s="961"/>
      <c r="F127" s="961"/>
      <c r="G127" s="152"/>
    </row>
    <row r="128" spans="1:11" customFormat="1" ht="13.9" customHeight="1">
      <c r="A128" s="395"/>
      <c r="B128" s="395"/>
      <c r="C128" s="10"/>
      <c r="D128" s="961"/>
      <c r="E128" s="961"/>
      <c r="F128" s="961"/>
      <c r="G128" s="152"/>
    </row>
    <row r="129" spans="1:7" s="2" customFormat="1" ht="13.9" customHeight="1">
      <c r="A129" s="282"/>
      <c r="B129" s="282"/>
      <c r="C129" s="459"/>
      <c r="D129" s="961"/>
      <c r="E129" s="961"/>
      <c r="F129" s="961"/>
      <c r="G129" s="187"/>
    </row>
    <row r="130" spans="1:7" s="2" customFormat="1" ht="13.9" customHeight="1">
      <c r="A130" s="282"/>
      <c r="B130" s="282"/>
      <c r="C130" s="459"/>
      <c r="D130" s="961"/>
      <c r="E130" s="961"/>
      <c r="F130" s="961"/>
      <c r="G130" s="187"/>
    </row>
    <row r="131" spans="1:7" customFormat="1" ht="13.9" customHeight="1">
      <c r="A131" s="135"/>
      <c r="B131" s="700"/>
      <c r="C131" s="10"/>
      <c r="D131" s="961"/>
      <c r="E131" s="961"/>
      <c r="F131" s="961"/>
      <c r="G131" s="152"/>
    </row>
    <row r="132" spans="1:7" customFormat="1" ht="13.9" customHeight="1">
      <c r="A132" s="135"/>
      <c r="B132" s="700"/>
      <c r="C132" s="10"/>
      <c r="D132" s="961"/>
      <c r="E132" s="961"/>
      <c r="F132" s="961"/>
      <c r="G132" s="152"/>
    </row>
    <row r="133" spans="1:7" customFormat="1" ht="13.9" customHeight="1">
      <c r="A133" s="135"/>
      <c r="B133" s="700"/>
      <c r="C133" s="10"/>
      <c r="D133" s="961"/>
      <c r="E133" s="961"/>
      <c r="F133" s="961"/>
      <c r="G133" s="152"/>
    </row>
    <row r="134" spans="1:7" customFormat="1" ht="13.9" customHeight="1">
      <c r="A134" s="135"/>
      <c r="B134" s="700"/>
      <c r="C134" s="10"/>
      <c r="D134" s="961"/>
      <c r="E134" s="961"/>
      <c r="F134" s="961"/>
      <c r="G134" s="152"/>
    </row>
    <row r="135" spans="1:7" customFormat="1" ht="13.9" customHeight="1">
      <c r="A135" s="135"/>
      <c r="B135" s="700"/>
      <c r="C135" s="10"/>
      <c r="D135" s="337"/>
      <c r="E135" s="154"/>
      <c r="F135" s="154"/>
      <c r="G135" s="152"/>
    </row>
    <row r="136" spans="1:7" s="741" customFormat="1" ht="13.9" customHeight="1">
      <c r="A136" s="729"/>
      <c r="B136" s="742" t="s">
        <v>329</v>
      </c>
      <c r="C136" s="10"/>
      <c r="D136" s="960" t="s">
        <v>1414</v>
      </c>
      <c r="E136" s="960"/>
      <c r="F136" s="960"/>
      <c r="G136" s="152"/>
    </row>
    <row r="137" spans="1:7" s="741" customFormat="1" ht="13.9" customHeight="1">
      <c r="A137" s="729"/>
      <c r="B137" s="729"/>
      <c r="C137" s="10"/>
      <c r="D137" s="960"/>
      <c r="E137" s="960"/>
      <c r="F137" s="960"/>
      <c r="G137" s="152"/>
    </row>
    <row r="138" spans="1:7" s="741" customFormat="1" ht="13.9" customHeight="1">
      <c r="A138" s="729"/>
      <c r="B138" s="729"/>
      <c r="C138" s="10"/>
      <c r="D138" s="960"/>
      <c r="E138" s="960"/>
      <c r="F138" s="960"/>
      <c r="G138" s="152"/>
    </row>
    <row r="139" spans="1:7" s="741" customFormat="1" ht="13.9" customHeight="1">
      <c r="A139" s="729"/>
      <c r="B139" s="729"/>
      <c r="C139" s="10"/>
      <c r="D139" s="960"/>
      <c r="E139" s="960"/>
      <c r="F139" s="960"/>
      <c r="G139" s="152"/>
    </row>
    <row r="140" spans="1:7" s="741" customFormat="1" ht="13.9" customHeight="1">
      <c r="A140" s="729"/>
      <c r="B140" s="729"/>
      <c r="C140" s="10"/>
      <c r="D140" s="960"/>
      <c r="E140" s="960"/>
      <c r="F140" s="960"/>
      <c r="G140" s="152"/>
    </row>
    <row r="141" spans="1:7" s="741" customFormat="1" ht="13.9" customHeight="1">
      <c r="A141" s="729"/>
      <c r="B141" s="729"/>
      <c r="C141" s="10"/>
      <c r="D141" s="960"/>
      <c r="E141" s="960"/>
      <c r="F141" s="960"/>
      <c r="G141" s="152"/>
    </row>
    <row r="142" spans="1:7" s="741" customFormat="1" ht="13.9" customHeight="1">
      <c r="A142" s="729"/>
      <c r="B142" s="729"/>
      <c r="C142" s="10"/>
      <c r="D142" s="960"/>
      <c r="E142" s="960"/>
      <c r="F142" s="960"/>
      <c r="G142" s="152"/>
    </row>
    <row r="143" spans="1:7" s="741" customFormat="1" ht="13.9" customHeight="1">
      <c r="A143" s="729"/>
      <c r="B143" s="729"/>
      <c r="C143" s="10"/>
      <c r="D143" s="960"/>
      <c r="E143" s="960"/>
      <c r="F143" s="960"/>
      <c r="G143" s="152"/>
    </row>
    <row r="144" spans="1:7" s="741" customFormat="1" ht="13.9" customHeight="1">
      <c r="A144" s="729"/>
      <c r="B144" s="729"/>
      <c r="C144" s="10"/>
      <c r="D144" s="960"/>
      <c r="E144" s="960"/>
      <c r="F144" s="960"/>
      <c r="G144" s="152"/>
    </row>
    <row r="145" spans="1:7" s="741" customFormat="1" ht="13.9" customHeight="1">
      <c r="A145" s="729"/>
      <c r="B145" s="729"/>
      <c r="C145" s="10"/>
      <c r="D145" s="960"/>
      <c r="E145" s="960"/>
      <c r="F145" s="960"/>
      <c r="G145" s="152"/>
    </row>
    <row r="146" spans="1:7" s="741" customFormat="1" ht="13.9" customHeight="1">
      <c r="A146" s="771"/>
      <c r="B146" s="771"/>
      <c r="C146" s="10"/>
      <c r="D146" s="960"/>
      <c r="E146" s="960"/>
      <c r="F146" s="960"/>
      <c r="G146" s="152"/>
    </row>
    <row r="147" spans="1:7" s="741" customFormat="1" ht="13.9" customHeight="1">
      <c r="A147" s="771"/>
      <c r="B147" s="771"/>
      <c r="C147" s="10"/>
      <c r="D147" s="960"/>
      <c r="E147" s="960"/>
      <c r="F147" s="960"/>
      <c r="G147" s="152"/>
    </row>
    <row r="148" spans="1:7" s="741" customFormat="1" ht="13.9" customHeight="1">
      <c r="A148" s="729"/>
      <c r="B148" s="729"/>
      <c r="C148" s="10"/>
      <c r="D148" s="960"/>
      <c r="E148" s="960"/>
      <c r="F148" s="960"/>
      <c r="G148" s="152"/>
    </row>
    <row r="149" spans="1:7" s="741" customFormat="1" ht="13.9" customHeight="1">
      <c r="A149" s="729"/>
      <c r="B149" s="729"/>
      <c r="C149" s="10"/>
      <c r="D149" s="960"/>
      <c r="E149" s="960"/>
      <c r="F149" s="960"/>
      <c r="G149" s="152"/>
    </row>
    <row r="150" spans="1:7" s="741" customFormat="1" ht="13.9" customHeight="1">
      <c r="A150" s="729"/>
      <c r="B150" s="729"/>
      <c r="C150" s="10"/>
      <c r="D150" s="960"/>
      <c r="E150" s="960"/>
      <c r="F150" s="960"/>
      <c r="G150" s="152"/>
    </row>
    <row r="151" spans="1:7" s="741" customFormat="1" ht="13.9" customHeight="1">
      <c r="A151" s="729"/>
      <c r="B151" s="729"/>
      <c r="C151" s="10"/>
      <c r="D151" s="960"/>
      <c r="E151" s="960"/>
      <c r="F151" s="960"/>
      <c r="G151" s="152"/>
    </row>
    <row r="152" spans="1:7" s="741" customFormat="1" ht="13.9" customHeight="1">
      <c r="A152" s="729"/>
      <c r="B152" s="729"/>
      <c r="C152" s="10"/>
      <c r="D152" s="960"/>
      <c r="E152" s="960"/>
      <c r="F152" s="960"/>
      <c r="G152" s="152"/>
    </row>
    <row r="153" spans="1:7" s="741" customFormat="1" ht="13.9" customHeight="1">
      <c r="A153" s="729"/>
      <c r="B153" s="729"/>
      <c r="C153" s="10"/>
      <c r="D153" s="960"/>
      <c r="E153" s="960"/>
      <c r="F153" s="960"/>
      <c r="G153" s="152"/>
    </row>
    <row r="154" spans="1:7" s="741" customFormat="1" ht="13.9" customHeight="1">
      <c r="A154" s="729"/>
      <c r="B154" s="729"/>
      <c r="C154" s="10"/>
      <c r="D154" s="960"/>
      <c r="E154" s="960"/>
      <c r="F154" s="960"/>
      <c r="G154" s="152"/>
    </row>
    <row r="155" spans="1:7" s="741" customFormat="1" ht="13.9" customHeight="1">
      <c r="A155" s="729"/>
      <c r="B155" s="729"/>
      <c r="C155" s="10"/>
      <c r="D155" s="337"/>
      <c r="E155" s="154"/>
      <c r="F155" s="154"/>
      <c r="G155" s="152"/>
    </row>
    <row r="156" spans="1:7" customFormat="1" ht="13.9" customHeight="1">
      <c r="A156" s="395"/>
      <c r="B156" s="703" t="s">
        <v>329</v>
      </c>
      <c r="C156" s="335"/>
      <c r="D156" s="972" t="s">
        <v>1307</v>
      </c>
      <c r="E156" s="972"/>
      <c r="F156" s="972"/>
      <c r="G156" s="461"/>
    </row>
    <row r="157" spans="1:7" customFormat="1" ht="13.9" customHeight="1">
      <c r="A157" s="395"/>
      <c r="B157" s="395"/>
      <c r="C157" s="335"/>
      <c r="D157" s="972"/>
      <c r="E157" s="972"/>
      <c r="F157" s="972"/>
      <c r="G157" s="461"/>
    </row>
    <row r="158" spans="1:7" customFormat="1" ht="13.9" customHeight="1">
      <c r="A158" s="395"/>
      <c r="B158" s="395"/>
      <c r="C158" s="335"/>
      <c r="D158" s="337"/>
      <c r="E158" s="335"/>
      <c r="F158" s="335"/>
      <c r="G158" s="461"/>
    </row>
    <row r="159" spans="1:7" customFormat="1" ht="13.9" customHeight="1">
      <c r="A159" s="395"/>
      <c r="B159" s="703" t="s">
        <v>329</v>
      </c>
      <c r="C159" s="335"/>
      <c r="D159" s="968" t="s">
        <v>1308</v>
      </c>
      <c r="E159" s="968"/>
      <c r="F159" s="968"/>
      <c r="G159" s="461"/>
    </row>
    <row r="160" spans="1:7" customFormat="1" ht="13.9" customHeight="1">
      <c r="A160" s="395"/>
      <c r="B160" s="395"/>
      <c r="C160" s="335"/>
      <c r="D160" s="968"/>
      <c r="E160" s="968"/>
      <c r="F160" s="968"/>
      <c r="G160" s="461"/>
    </row>
    <row r="161" spans="1:7" customFormat="1" ht="13.9" customHeight="1">
      <c r="A161" s="395"/>
      <c r="B161" s="395"/>
      <c r="C161" s="335"/>
      <c r="D161" s="968"/>
      <c r="E161" s="968"/>
      <c r="F161" s="968"/>
      <c r="G161" s="461"/>
    </row>
    <row r="162" spans="1:7" customFormat="1" ht="13.9" customHeight="1">
      <c r="A162" s="395"/>
      <c r="B162" s="395"/>
      <c r="C162" s="335"/>
      <c r="D162" s="968"/>
      <c r="E162" s="968"/>
      <c r="F162" s="968"/>
      <c r="G162" s="461"/>
    </row>
    <row r="163" spans="1:7" customFormat="1" ht="13.9" customHeight="1">
      <c r="A163" s="135"/>
      <c r="B163" s="700"/>
      <c r="C163" s="10"/>
      <c r="D163" s="154"/>
      <c r="E163" s="154"/>
      <c r="F163" s="154"/>
      <c r="G163" s="152"/>
    </row>
    <row r="164" spans="1:7" customFormat="1" ht="13.9" customHeight="1">
      <c r="A164" s="135"/>
      <c r="B164" s="703" t="s">
        <v>329</v>
      </c>
      <c r="C164" s="10"/>
      <c r="D164" s="1003" t="s">
        <v>1309</v>
      </c>
      <c r="E164" s="1003"/>
      <c r="F164" s="1003"/>
      <c r="G164" s="152"/>
    </row>
    <row r="165" spans="1:7" customFormat="1" ht="13.9" customHeight="1">
      <c r="A165" s="135"/>
      <c r="B165" s="700"/>
      <c r="C165" s="10"/>
      <c r="D165" s="1003"/>
      <c r="E165" s="1003"/>
      <c r="F165" s="1003"/>
      <c r="G165" s="152"/>
    </row>
    <row r="166" spans="1:7" customFormat="1" ht="13.9" customHeight="1">
      <c r="A166" s="135"/>
      <c r="B166" s="700"/>
      <c r="C166" s="10"/>
      <c r="D166" s="1003"/>
      <c r="E166" s="1003"/>
      <c r="F166" s="1003"/>
      <c r="G166" s="152"/>
    </row>
    <row r="167" spans="1:7" customFormat="1" ht="13.9"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6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4.9000000000000004"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6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6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6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9"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6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6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10.15" customHeight="1">
      <c r="A485" s="269"/>
      <c r="B485" s="269"/>
      <c r="C485" s="323"/>
      <c r="D485" s="460"/>
      <c r="E485" s="152"/>
      <c r="F485" s="154"/>
      <c r="G485" s="152"/>
    </row>
    <row r="486" spans="1:7" customFormat="1" ht="14.6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6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6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6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4"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71093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513" zoomScale="120" zoomScaleNormal="120" zoomScaleSheetLayoutView="100" workbookViewId="0">
      <selection activeCell="D533" sqref="D533:F534"/>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71093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1200</v>
      </c>
    </row>
    <row r="4" spans="1:9">
      <c r="A4" s="1059" t="s">
        <v>1563</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9"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6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6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9"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6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9" customHeight="1">
      <c r="A119" s="834"/>
      <c r="B119" s="834"/>
      <c r="C119" s="835"/>
      <c r="D119" s="999"/>
      <c r="E119" s="999"/>
      <c r="F119" s="999"/>
      <c r="G119" s="836"/>
    </row>
    <row r="120" spans="1:7" s="746" customFormat="1" ht="13.9" customHeight="1">
      <c r="A120" s="813"/>
      <c r="B120" s="813"/>
      <c r="C120" s="829"/>
      <c r="D120" s="999"/>
      <c r="E120" s="999"/>
      <c r="F120" s="999"/>
      <c r="G120" s="696"/>
    </row>
    <row r="121" spans="1:7" s="746" customFormat="1" ht="13.9" customHeight="1">
      <c r="A121" s="813"/>
      <c r="B121" s="813"/>
      <c r="C121" s="829"/>
      <c r="D121" s="999"/>
      <c r="E121" s="999"/>
      <c r="F121" s="999"/>
      <c r="G121" s="696"/>
    </row>
    <row r="122" spans="1:7" s="746" customFormat="1" ht="13.9" customHeight="1">
      <c r="A122" s="813"/>
      <c r="B122" s="813"/>
      <c r="C122" s="829"/>
      <c r="D122" s="999"/>
      <c r="E122" s="999"/>
      <c r="F122" s="999"/>
      <c r="G122" s="696"/>
    </row>
    <row r="123" spans="1:7" s="746" customFormat="1" ht="13.9" customHeight="1">
      <c r="A123" s="838"/>
      <c r="B123" s="838"/>
      <c r="C123" s="829"/>
      <c r="D123" s="999"/>
      <c r="E123" s="999"/>
      <c r="F123" s="999"/>
      <c r="G123" s="696"/>
    </row>
    <row r="124" spans="1:7" s="642" customFormat="1" ht="13.9" customHeight="1">
      <c r="A124" s="826"/>
      <c r="B124" s="826"/>
      <c r="C124" s="831"/>
      <c r="D124" s="999"/>
      <c r="E124" s="999"/>
      <c r="F124" s="999"/>
      <c r="G124" s="717"/>
    </row>
    <row r="125" spans="1:7" s="642" customFormat="1" ht="13.9" customHeight="1">
      <c r="A125" s="826"/>
      <c r="B125" s="826"/>
      <c r="C125" s="831"/>
      <c r="D125" s="999"/>
      <c r="E125" s="999"/>
      <c r="F125" s="999"/>
      <c r="G125" s="717"/>
    </row>
    <row r="126" spans="1:7" s="746" customFormat="1" ht="13.9" customHeight="1">
      <c r="A126" s="813"/>
      <c r="B126" s="813"/>
      <c r="C126" s="829"/>
      <c r="D126" s="999"/>
      <c r="E126" s="999"/>
      <c r="F126" s="999"/>
      <c r="G126" s="696"/>
    </row>
    <row r="127" spans="1:7" s="746" customFormat="1" ht="13.9" customHeight="1">
      <c r="A127" s="813"/>
      <c r="B127" s="813"/>
      <c r="C127" s="829"/>
      <c r="D127" s="999"/>
      <c r="E127" s="999"/>
      <c r="F127" s="999"/>
      <c r="G127" s="696"/>
    </row>
    <row r="128" spans="1:7" s="746" customFormat="1" ht="13.9" customHeight="1">
      <c r="A128" s="813"/>
      <c r="B128" s="813"/>
      <c r="C128" s="829"/>
      <c r="D128" s="999"/>
      <c r="E128" s="999"/>
      <c r="F128" s="999"/>
      <c r="G128" s="696"/>
    </row>
    <row r="129" spans="1:7" s="746" customFormat="1" ht="13.9" customHeight="1">
      <c r="A129" s="813"/>
      <c r="B129" s="813"/>
      <c r="C129" s="829"/>
      <c r="D129" s="999"/>
      <c r="E129" s="999"/>
      <c r="F129" s="999"/>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67" t="s">
        <v>1414</v>
      </c>
      <c r="E131" s="1067"/>
      <c r="F131" s="1067"/>
      <c r="G131" s="696"/>
    </row>
    <row r="132" spans="1:7" s="746" customFormat="1" ht="13.9" customHeight="1">
      <c r="A132" s="813"/>
      <c r="B132" s="813"/>
      <c r="C132" s="829"/>
      <c r="D132" s="1067"/>
      <c r="E132" s="1067"/>
      <c r="F132" s="1067"/>
      <c r="G132" s="696"/>
    </row>
    <row r="133" spans="1:7" s="746" customFormat="1" ht="13.9" customHeight="1">
      <c r="A133" s="813"/>
      <c r="B133" s="813"/>
      <c r="C133" s="829"/>
      <c r="D133" s="1067"/>
      <c r="E133" s="1067"/>
      <c r="F133" s="1067"/>
      <c r="G133" s="696"/>
    </row>
    <row r="134" spans="1:7" s="746" customFormat="1" ht="13.9" customHeight="1">
      <c r="A134" s="813"/>
      <c r="B134" s="813"/>
      <c r="C134" s="829"/>
      <c r="D134" s="1067"/>
      <c r="E134" s="1067"/>
      <c r="F134" s="1067"/>
      <c r="G134" s="696"/>
    </row>
    <row r="135" spans="1:7" s="746" customFormat="1" ht="13.9" customHeight="1">
      <c r="A135" s="813"/>
      <c r="B135" s="813"/>
      <c r="C135" s="829"/>
      <c r="D135" s="1067"/>
      <c r="E135" s="1067"/>
      <c r="F135" s="1067"/>
      <c r="G135" s="696"/>
    </row>
    <row r="136" spans="1:7" s="746" customFormat="1" ht="13.9" customHeight="1">
      <c r="A136" s="813"/>
      <c r="B136" s="813"/>
      <c r="C136" s="829"/>
      <c r="D136" s="1067"/>
      <c r="E136" s="1067"/>
      <c r="F136" s="1067"/>
      <c r="G136" s="696"/>
    </row>
    <row r="137" spans="1:7" s="746" customFormat="1" ht="13.9" customHeight="1">
      <c r="A137" s="813"/>
      <c r="B137" s="813"/>
      <c r="C137" s="829"/>
      <c r="D137" s="1067"/>
      <c r="E137" s="1067"/>
      <c r="F137" s="1067"/>
      <c r="G137" s="696"/>
    </row>
    <row r="138" spans="1:7" s="746" customFormat="1" ht="13.9" customHeight="1">
      <c r="A138" s="813"/>
      <c r="B138" s="813"/>
      <c r="C138" s="829"/>
      <c r="D138" s="1067"/>
      <c r="E138" s="1067"/>
      <c r="F138" s="1067"/>
      <c r="G138" s="696"/>
    </row>
    <row r="139" spans="1:7" s="746" customFormat="1" ht="13.9" customHeight="1">
      <c r="A139" s="813"/>
      <c r="B139" s="813"/>
      <c r="C139" s="829"/>
      <c r="D139" s="1067"/>
      <c r="E139" s="1067"/>
      <c r="F139" s="1067"/>
      <c r="G139" s="696"/>
    </row>
    <row r="140" spans="1:7" s="746" customFormat="1" ht="13.9" customHeight="1">
      <c r="A140" s="813"/>
      <c r="B140" s="813"/>
      <c r="C140" s="829"/>
      <c r="D140" s="1067"/>
      <c r="E140" s="1067"/>
      <c r="F140" s="1067"/>
      <c r="G140" s="696"/>
    </row>
    <row r="141" spans="1:7" s="746" customFormat="1" ht="13.9" customHeight="1">
      <c r="A141" s="813"/>
      <c r="B141" s="813"/>
      <c r="C141" s="829"/>
      <c r="D141" s="1067"/>
      <c r="E141" s="1067"/>
      <c r="F141" s="1067"/>
      <c r="G141" s="696"/>
    </row>
    <row r="142" spans="1:7" s="746" customFormat="1" ht="13.9" customHeight="1">
      <c r="A142" s="813"/>
      <c r="B142" s="813"/>
      <c r="C142" s="829"/>
      <c r="D142" s="1067"/>
      <c r="E142" s="1067"/>
      <c r="F142" s="1067"/>
      <c r="G142" s="696"/>
    </row>
    <row r="143" spans="1:7" s="746" customFormat="1" ht="13.9" customHeight="1">
      <c r="A143" s="813"/>
      <c r="B143" s="813"/>
      <c r="C143" s="829"/>
      <c r="D143" s="1067"/>
      <c r="E143" s="1067"/>
      <c r="F143" s="1067"/>
      <c r="G143" s="696"/>
    </row>
    <row r="144" spans="1:7" s="746" customFormat="1" ht="13.9" customHeight="1">
      <c r="A144" s="813"/>
      <c r="B144" s="813"/>
      <c r="C144" s="829"/>
      <c r="D144" s="1067"/>
      <c r="E144" s="1067"/>
      <c r="F144" s="1067"/>
      <c r="G144" s="696"/>
    </row>
    <row r="145" spans="1:7" s="746" customFormat="1" ht="13.9" customHeight="1">
      <c r="A145" s="813"/>
      <c r="B145" s="813"/>
      <c r="C145" s="829"/>
      <c r="D145" s="1067"/>
      <c r="E145" s="1067"/>
      <c r="F145" s="1067"/>
      <c r="G145" s="696"/>
    </row>
    <row r="146" spans="1:7" s="746" customFormat="1" ht="13.9" customHeight="1">
      <c r="A146" s="813"/>
      <c r="B146" s="813"/>
      <c r="C146" s="829"/>
      <c r="D146" s="1067"/>
      <c r="E146" s="1067"/>
      <c r="F146" s="1067"/>
      <c r="G146" s="696"/>
    </row>
    <row r="147" spans="1:7" s="746" customFormat="1" ht="13.9" customHeight="1">
      <c r="A147" s="813"/>
      <c r="B147" s="813"/>
      <c r="C147" s="829"/>
      <c r="D147" s="1067"/>
      <c r="E147" s="1067"/>
      <c r="F147" s="1067"/>
      <c r="G147" s="696"/>
    </row>
    <row r="148" spans="1:7" s="746" customFormat="1" ht="13.9" customHeight="1">
      <c r="A148" s="813"/>
      <c r="B148" s="813"/>
      <c r="C148" s="829"/>
      <c r="D148" s="1067"/>
      <c r="E148" s="1067"/>
      <c r="F148" s="1067"/>
      <c r="G148" s="696"/>
    </row>
    <row r="149" spans="1:7" s="746" customFormat="1" ht="13.9" customHeight="1">
      <c r="A149" s="813"/>
      <c r="B149" s="813"/>
      <c r="C149" s="829"/>
      <c r="D149" s="1068" t="s">
        <v>1457</v>
      </c>
      <c r="E149" s="1068"/>
      <c r="F149" s="1068"/>
      <c r="G149" s="887"/>
    </row>
    <row r="150" spans="1:7" s="746" customFormat="1" ht="13.9" customHeight="1">
      <c r="A150" s="813"/>
      <c r="B150" s="813"/>
      <c r="C150" s="829"/>
      <c r="D150" s="1066"/>
      <c r="E150" s="1066"/>
      <c r="F150" s="1066"/>
      <c r="G150" s="1066"/>
    </row>
    <row r="151" spans="1:7" s="746" customFormat="1" ht="14.65" customHeight="1">
      <c r="A151" s="838"/>
      <c r="B151" s="823" t="s">
        <v>329</v>
      </c>
      <c r="C151" s="839"/>
      <c r="D151" s="972" t="s">
        <v>1489</v>
      </c>
      <c r="E151" s="972"/>
      <c r="F151" s="972"/>
      <c r="G151" s="840"/>
    </row>
    <row r="152" spans="1:7" s="746" customFormat="1" ht="14.65" customHeight="1">
      <c r="A152" s="838"/>
      <c r="B152" s="838"/>
      <c r="C152" s="839"/>
      <c r="D152" s="972"/>
      <c r="E152" s="972"/>
      <c r="F152" s="972"/>
      <c r="G152" s="840"/>
    </row>
    <row r="153" spans="1:7" s="746" customFormat="1" ht="13.9" customHeight="1">
      <c r="A153" s="838"/>
      <c r="B153" s="838"/>
      <c r="C153" s="839"/>
      <c r="D153" s="972"/>
      <c r="E153" s="972"/>
      <c r="F153" s="972"/>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68" t="s">
        <v>1308</v>
      </c>
      <c r="E155" s="968"/>
      <c r="F155" s="968"/>
      <c r="G155" s="840"/>
    </row>
    <row r="156" spans="1:7" s="746" customFormat="1" ht="13.9" customHeight="1">
      <c r="A156" s="838"/>
      <c r="B156" s="838"/>
      <c r="C156" s="839"/>
      <c r="D156" s="968"/>
      <c r="E156" s="968"/>
      <c r="F156" s="968"/>
      <c r="G156" s="840"/>
    </row>
    <row r="157" spans="1:7" s="746" customFormat="1" ht="13.9" customHeight="1">
      <c r="A157" s="838"/>
      <c r="B157" s="838"/>
      <c r="C157" s="839"/>
      <c r="D157" s="968"/>
      <c r="E157" s="968"/>
      <c r="F157" s="968"/>
      <c r="G157" s="840"/>
    </row>
    <row r="158" spans="1:7" s="746" customFormat="1" ht="13.9" customHeight="1">
      <c r="A158" s="838"/>
      <c r="B158" s="838"/>
      <c r="C158" s="839"/>
      <c r="D158" s="968"/>
      <c r="E158" s="968"/>
      <c r="F158" s="968"/>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3" t="s">
        <v>1309</v>
      </c>
      <c r="E160" s="1003"/>
      <c r="F160" s="1003"/>
      <c r="G160" s="696"/>
    </row>
    <row r="161" spans="1:7" s="746" customFormat="1" ht="13.9" customHeight="1">
      <c r="A161" s="813"/>
      <c r="B161" s="813"/>
      <c r="C161" s="829"/>
      <c r="D161" s="1003"/>
      <c r="E161" s="1003"/>
      <c r="F161" s="1003"/>
      <c r="G161" s="696"/>
    </row>
    <row r="162" spans="1:7" s="746" customFormat="1" ht="13.9" customHeight="1">
      <c r="A162" s="813"/>
      <c r="B162" s="813"/>
      <c r="C162" s="829"/>
      <c r="D162" s="1003"/>
      <c r="E162" s="1003"/>
      <c r="F162" s="1003"/>
      <c r="G162" s="696"/>
    </row>
    <row r="163" spans="1:7" s="746" customFormat="1" ht="13.9"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9"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6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9"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4.9000000000000004"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6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6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6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9"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9"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9"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65" customHeight="1">
      <c r="A362" s="822"/>
      <c r="B362" s="914" t="s">
        <v>329</v>
      </c>
      <c r="D362" s="988" t="s">
        <v>1605</v>
      </c>
      <c r="E362" s="988"/>
      <c r="F362" s="988"/>
    </row>
    <row r="363" spans="1:7" ht="14.65" customHeight="1">
      <c r="A363" s="822"/>
      <c r="D363" s="988"/>
      <c r="E363" s="988"/>
      <c r="F363" s="988"/>
    </row>
    <row r="364" spans="1:7" ht="14.65" customHeight="1">
      <c r="A364" s="822"/>
      <c r="D364" s="988"/>
      <c r="E364" s="988"/>
      <c r="F364" s="988"/>
    </row>
    <row r="365" spans="1:7" ht="14.65" customHeight="1">
      <c r="A365" s="822"/>
      <c r="D365" s="988"/>
      <c r="E365" s="988"/>
      <c r="F365" s="988"/>
    </row>
    <row r="366" spans="1:7" ht="14.65" customHeight="1">
      <c r="A366" s="822"/>
      <c r="D366" s="988"/>
      <c r="E366" s="988"/>
      <c r="F366" s="988"/>
    </row>
    <row r="367" spans="1:7" ht="14.65" customHeight="1">
      <c r="A367" s="822"/>
      <c r="D367" s="913"/>
      <c r="E367" s="913"/>
      <c r="F367" s="913"/>
    </row>
    <row r="368" spans="1:7" ht="13.9"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9"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6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6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6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9"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9" customHeight="1">
      <c r="A518" s="822"/>
      <c r="B518" s="823" t="s">
        <v>329</v>
      </c>
      <c r="C518" s="854"/>
      <c r="D518" s="1000" t="s">
        <v>979</v>
      </c>
      <c r="E518" s="1000"/>
      <c r="F518" s="1000"/>
      <c r="G518" s="815"/>
    </row>
    <row r="519" spans="1:7" ht="13.9"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6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9"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4"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787" zoomScale="110" zoomScaleNormal="110" zoomScaleSheetLayoutView="100" workbookViewId="0">
      <selection activeCell="D211" sqref="D211"/>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90" t="s">
        <v>1570</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13" t="s">
        <v>1644</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9" t="s">
        <v>1646</v>
      </c>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row>
    <row r="17" spans="1:39" ht="12.75" customHeight="1"/>
    <row r="18" spans="1:39" ht="12.75" customHeight="1">
      <c r="A18" s="137" t="s">
        <v>108</v>
      </c>
      <c r="C18" s="7"/>
      <c r="D18" s="7"/>
      <c r="E18" s="7"/>
      <c r="F18" s="7"/>
      <c r="G18" s="7"/>
      <c r="H18" s="1093" t="s">
        <v>1822</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92" t="s">
        <v>966</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6" t="s">
        <v>1155</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2111728</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4"/>
      <c r="H122" s="1494"/>
      <c r="I122" s="247" t="s">
        <v>195</v>
      </c>
      <c r="L122" s="1494"/>
      <c r="M122" s="1494"/>
      <c r="N122" s="1494"/>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t="s">
        <v>1654</v>
      </c>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t="s">
        <v>1655</v>
      </c>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1647</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15" t="s">
        <v>1648</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503" t="s">
        <v>477</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095" t="s">
        <v>1649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1650</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6">
        <v>94080</v>
      </c>
      <c r="P158" s="1316"/>
      <c r="Q158" s="1316"/>
      <c r="R158" s="131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5" t="s">
        <v>1651</v>
      </c>
      <c r="P159" s="1315"/>
      <c r="Q159" s="1315"/>
      <c r="R159" s="1315"/>
      <c r="S159" s="1315"/>
      <c r="T159" s="1315"/>
      <c r="V159" s="149" t="s">
        <v>287</v>
      </c>
      <c r="W159" s="1317"/>
      <c r="X159" s="131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5" t="s">
        <v>1652</v>
      </c>
      <c r="P160" s="1315"/>
      <c r="Q160" s="1315"/>
      <c r="R160" s="1315"/>
      <c r="S160" s="1315"/>
      <c r="T160" s="131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7" t="s">
        <v>1653</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8" t="s">
        <v>1511</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3" t="s">
        <v>586</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727</v>
      </c>
      <c r="BG169" s="12" t="s">
        <v>535</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1656</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2"/>
      <c r="Y176" s="150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592</v>
      </c>
      <c r="Y180" s="1096"/>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 xml:space="preserve">Willow Greenridge   </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215" t="s">
        <v>1657</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329</v>
      </c>
      <c r="BA189" s="36" t="s">
        <v>251</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1194</v>
      </c>
      <c r="BA190" s="36" t="s">
        <v>686</v>
      </c>
      <c r="BG190" s="12" t="s">
        <v>73</v>
      </c>
    </row>
    <row r="191" spans="1:59" ht="12.75">
      <c r="A191" s="25"/>
      <c r="C191" s="45"/>
      <c r="D191" s="25" t="s">
        <v>631</v>
      </c>
      <c r="E191" s="25"/>
      <c r="I191" s="1095" t="s">
        <v>1658</v>
      </c>
      <c r="J191" s="1095"/>
      <c r="K191" s="1095"/>
      <c r="L191" s="1095"/>
      <c r="M191" s="1095"/>
      <c r="N191" s="1095"/>
      <c r="O191" s="1095"/>
      <c r="P191" s="1095"/>
      <c r="Q191" s="25" t="s">
        <v>633</v>
      </c>
      <c r="T191" s="1095" t="s">
        <v>75</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6">
        <v>94080</v>
      </c>
      <c r="J192" s="1116"/>
      <c r="K192" s="1116"/>
      <c r="L192" s="1116"/>
      <c r="M192" s="1116"/>
      <c r="N192" s="1116"/>
      <c r="O192" s="25" t="s">
        <v>636</v>
      </c>
      <c r="P192" s="25"/>
      <c r="Q192" s="25"/>
      <c r="R192" s="25"/>
      <c r="S192" s="25"/>
      <c r="T192" s="1495" t="s">
        <v>1659</v>
      </c>
      <c r="U192" s="1495"/>
      <c r="V192" s="1495"/>
      <c r="W192" s="1495"/>
      <c r="X192" s="1495"/>
      <c r="Y192" s="1495"/>
      <c r="Z192" s="1495"/>
      <c r="AA192" s="1495"/>
      <c r="AB192" s="1495"/>
      <c r="AC192" s="1495"/>
      <c r="AD192" s="1495"/>
      <c r="AE192" s="149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0" t="s">
        <v>1660</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14</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723</v>
      </c>
      <c r="U196" s="1224"/>
      <c r="W196" s="25" t="s">
        <v>740</v>
      </c>
      <c r="X196" s="25"/>
      <c r="Y196" s="25"/>
      <c r="Z196" s="25"/>
      <c r="AA196" s="25"/>
      <c r="AB196" s="25"/>
      <c r="AC196" s="25"/>
      <c r="AD196" s="25"/>
      <c r="AE196" s="25"/>
      <c r="AF196" s="25"/>
      <c r="AG196" s="25"/>
      <c r="AH196" s="1096">
        <v>19</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592</v>
      </c>
      <c r="U197" s="1224"/>
      <c r="V197" s="12"/>
      <c r="W197" s="25" t="s">
        <v>741</v>
      </c>
      <c r="X197" s="25"/>
      <c r="Y197" s="25"/>
      <c r="Z197" s="25"/>
      <c r="AA197" s="25"/>
      <c r="AB197" s="25"/>
      <c r="AC197" s="25"/>
      <c r="AD197" s="25"/>
      <c r="AE197" s="25"/>
      <c r="AF197" s="25"/>
      <c r="AG197" s="25"/>
      <c r="AH197" s="1096">
        <v>11</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4" t="s">
        <v>723</v>
      </c>
      <c r="Z198" s="12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91">
        <f>M26</f>
        <v>2111728</v>
      </c>
      <c r="Q203" s="1318"/>
      <c r="R203" s="1318"/>
      <c r="S203" s="1318"/>
      <c r="T203" s="1318"/>
      <c r="U203" s="131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9" t="s">
        <v>1533</v>
      </c>
      <c r="E204" s="1097"/>
      <c r="F204" s="1097"/>
      <c r="G204" s="1097"/>
      <c r="H204" s="1097"/>
      <c r="I204" s="1097"/>
      <c r="J204" s="1097"/>
      <c r="K204" s="1097"/>
      <c r="L204" s="1097"/>
      <c r="M204" s="1097"/>
      <c r="P204" s="1318">
        <f>M27</f>
        <v>0</v>
      </c>
      <c r="Q204" s="1318"/>
      <c r="R204" s="1318"/>
      <c r="S204" s="1318"/>
      <c r="T204" s="1318"/>
      <c r="U204" s="1318"/>
      <c r="V204" s="47"/>
      <c r="W204" s="25" t="s">
        <v>1534</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9" t="s">
        <v>1796</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9" t="s">
        <v>1195</v>
      </c>
      <c r="E210" s="1219"/>
      <c r="F210" s="1219"/>
      <c r="G210" s="1219"/>
      <c r="H210" s="1219"/>
      <c r="I210" s="1219"/>
      <c r="J210" s="1219"/>
      <c r="K210" s="1219"/>
      <c r="L210" s="1219"/>
      <c r="M210" s="1219"/>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9" t="s">
        <v>1178</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3" t="s">
        <v>587</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409</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4" t="str">
        <f>H16</f>
        <v>MP Willow Greenridge Associates, L.P.</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585</v>
      </c>
      <c r="AT227" s="406">
        <f>IF(AND(AND($M$244="nonprofit",$M$252="for profit",$M$260="nonprofit")),2,0)</f>
        <v>0</v>
      </c>
    </row>
    <row r="228" spans="1:59" ht="12.75">
      <c r="D228" s="57" t="s">
        <v>92</v>
      </c>
      <c r="E228" s="57"/>
      <c r="F228" s="57"/>
      <c r="G228" s="57"/>
      <c r="H228" s="57"/>
      <c r="I228" s="57"/>
      <c r="J228" s="57"/>
      <c r="K228" s="7"/>
      <c r="M228" s="1093" t="s">
        <v>1661</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585</v>
      </c>
      <c r="AT228" s="405">
        <f>IF(AND(AND($M$244="for profit",$M$252="nonprofit",$M$260="nonprofit")),2,0)</f>
        <v>0</v>
      </c>
      <c r="BB228" s="61"/>
    </row>
    <row r="229" spans="1:59" ht="12.75">
      <c r="D229" s="57" t="s">
        <v>631</v>
      </c>
      <c r="E229" s="57"/>
      <c r="M229" s="1093" t="s">
        <v>1662</v>
      </c>
      <c r="N229" s="1093"/>
      <c r="O229" s="1093"/>
      <c r="P229" s="1093"/>
      <c r="Q229" s="1093"/>
      <c r="R229" s="1093"/>
      <c r="S229" s="1093"/>
      <c r="T229" s="1093"/>
      <c r="V229" s="59" t="s">
        <v>93</v>
      </c>
      <c r="W229" s="1215" t="s">
        <v>1663</v>
      </c>
      <c r="X229" s="1215"/>
      <c r="Y229" s="57" t="s">
        <v>634</v>
      </c>
      <c r="AC229" s="1093">
        <v>94404</v>
      </c>
      <c r="AD229" s="1093"/>
      <c r="AE229" s="1093"/>
      <c r="AO229" s="402"/>
      <c r="AT229" s="403"/>
    </row>
    <row r="230" spans="1:59" ht="12.75">
      <c r="D230" s="60" t="s">
        <v>94</v>
      </c>
      <c r="E230" s="7"/>
      <c r="F230" s="7"/>
      <c r="G230" s="7"/>
      <c r="H230" s="7"/>
      <c r="I230" s="7"/>
      <c r="J230" s="7"/>
      <c r="K230" s="29"/>
      <c r="M230" s="1093" t="s">
        <v>1654</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584</v>
      </c>
      <c r="AT230" s="406">
        <f>IF(AND(AND($M$244="nonprofit",$M$252="nonprofit",$M$260="(select one)")),1,0)</f>
        <v>0</v>
      </c>
    </row>
    <row r="231" spans="1:59" ht="12.75">
      <c r="D231" s="60" t="s">
        <v>95</v>
      </c>
      <c r="E231" s="7"/>
      <c r="F231" s="7"/>
      <c r="M231" s="1098" t="s">
        <v>1665</v>
      </c>
      <c r="N231" s="1098"/>
      <c r="O231" s="1098"/>
      <c r="P231" s="1098"/>
      <c r="Q231" s="1098"/>
      <c r="R231" s="1098"/>
      <c r="S231" s="7" t="s">
        <v>220</v>
      </c>
      <c r="T231" s="7"/>
      <c r="U231" s="1099"/>
      <c r="V231" s="1099"/>
      <c r="W231" s="1099"/>
      <c r="X231" s="7" t="s">
        <v>96</v>
      </c>
      <c r="Z231" s="1098" t="s">
        <v>1664</v>
      </c>
      <c r="AA231" s="1098"/>
      <c r="AB231" s="1098"/>
      <c r="AC231" s="1098"/>
      <c r="AD231" s="1098"/>
      <c r="AE231" s="1098"/>
      <c r="AO231" s="400" t="s">
        <v>584</v>
      </c>
      <c r="AT231" s="406">
        <f>IF(AND(AND($M$244="nonprofit",$M$252="nonprofit",$M$260="nonprofit")),1,0)</f>
        <v>0</v>
      </c>
    </row>
    <row r="232" spans="1:59" ht="12.75">
      <c r="D232" s="60" t="s">
        <v>97</v>
      </c>
      <c r="E232" s="7"/>
      <c r="F232" s="7"/>
      <c r="M232" s="1497" t="s">
        <v>1666</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16" t="s">
        <v>575</v>
      </c>
      <c r="N233" s="1116"/>
      <c r="O233" s="1116"/>
      <c r="P233" s="1116"/>
      <c r="Q233" s="1116"/>
      <c r="R233" s="1116"/>
      <c r="S233" s="1116"/>
      <c r="T233" s="1116"/>
      <c r="U233" s="404" t="s">
        <v>1005</v>
      </c>
      <c r="V233" s="335"/>
      <c r="W233" s="335"/>
      <c r="X233" s="335"/>
      <c r="Y233" s="335"/>
      <c r="Z233" s="335"/>
      <c r="AA233" s="1265" t="s">
        <v>1667</v>
      </c>
      <c r="AB233" s="1265"/>
      <c r="AC233" s="1265"/>
      <c r="AD233" s="1265"/>
      <c r="AE233" s="1265"/>
      <c r="AF233" s="1265"/>
      <c r="AG233" s="1265"/>
      <c r="AH233" s="1265"/>
      <c r="AI233" s="1265"/>
      <c r="AJ233" s="1265"/>
      <c r="AK233" s="1265"/>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9" t="s">
        <v>1668</v>
      </c>
      <c r="N238" s="1499"/>
      <c r="O238" s="1499"/>
      <c r="P238" s="1499"/>
      <c r="Q238" s="1499"/>
      <c r="R238" s="1499"/>
      <c r="S238" s="1499"/>
      <c r="T238" s="1499"/>
      <c r="U238" s="1499"/>
      <c r="V238" s="1499"/>
      <c r="W238" s="1499"/>
      <c r="X238" s="1499"/>
      <c r="Y238" s="1499"/>
      <c r="Z238" s="1499"/>
      <c r="AA238" s="1499"/>
      <c r="AB238" s="1499"/>
      <c r="AC238" s="1499"/>
      <c r="AD238" s="1499"/>
      <c r="AE238" s="1499"/>
      <c r="AF238" s="1258" t="s">
        <v>1669</v>
      </c>
      <c r="AG238" s="1258"/>
      <c r="AH238" s="1258"/>
      <c r="AI238" s="1258"/>
      <c r="AJ238" s="1258"/>
      <c r="AK238" s="1258"/>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1661</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3" t="s">
        <v>1670</v>
      </c>
      <c r="N240" s="1093"/>
      <c r="O240" s="1093"/>
      <c r="P240" s="1093"/>
      <c r="Q240" s="1093"/>
      <c r="R240" s="1093"/>
      <c r="S240" s="1093"/>
      <c r="T240" s="1093"/>
      <c r="V240" s="59" t="s">
        <v>93</v>
      </c>
      <c r="W240" s="1215" t="s">
        <v>1663</v>
      </c>
      <c r="X240" s="1215"/>
      <c r="Y240" s="57" t="s">
        <v>634</v>
      </c>
      <c r="AC240" s="1093">
        <v>94404</v>
      </c>
      <c r="AD240" s="1093"/>
      <c r="AE240" s="109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1654</v>
      </c>
      <c r="N241" s="1093"/>
      <c r="O241" s="1093"/>
      <c r="P241" s="1093"/>
      <c r="Q241" s="1093"/>
      <c r="R241" s="1093"/>
      <c r="S241" s="1093"/>
      <c r="T241" s="1093"/>
      <c r="U241" s="1093"/>
      <c r="V241" s="1093"/>
      <c r="W241" s="1093"/>
      <c r="X241" s="1093"/>
      <c r="Y241" s="1093"/>
      <c r="Z241" s="1093"/>
      <c r="AA241" s="1093"/>
      <c r="AB241" s="1093"/>
      <c r="AC241" s="1093"/>
      <c r="AD241" s="1093"/>
      <c r="AE241" s="1093"/>
      <c r="AH241" s="1584">
        <v>0.01</v>
      </c>
      <c r="AI241" s="1584"/>
      <c r="AJ241" s="1584"/>
      <c r="AK241" s="1584"/>
      <c r="AL241" s="7"/>
      <c r="AN241" s="7" t="s">
        <v>296</v>
      </c>
      <c r="BA241" s="61"/>
    </row>
    <row r="242" spans="1:53" ht="12.75">
      <c r="A242" s="29"/>
      <c r="B242" s="7"/>
      <c r="C242" s="7"/>
      <c r="D242" s="60" t="s">
        <v>95</v>
      </c>
      <c r="E242" s="7"/>
      <c r="F242" s="7"/>
      <c r="M242" s="1098" t="s">
        <v>1665</v>
      </c>
      <c r="N242" s="1098"/>
      <c r="O242" s="1098"/>
      <c r="P242" s="1098"/>
      <c r="Q242" s="1098"/>
      <c r="R242" s="1098"/>
      <c r="S242" s="7" t="s">
        <v>220</v>
      </c>
      <c r="T242" s="7"/>
      <c r="U242" s="1099"/>
      <c r="V242" s="1099"/>
      <c r="W242" s="1099"/>
      <c r="X242" s="7" t="s">
        <v>96</v>
      </c>
      <c r="Z242" s="1098" t="s">
        <v>1664</v>
      </c>
      <c r="AA242" s="1098"/>
      <c r="AB242" s="1098"/>
      <c r="AC242" s="1098"/>
      <c r="AD242" s="1098"/>
      <c r="AE242" s="1098"/>
      <c r="AN242" s="7" t="s">
        <v>186</v>
      </c>
      <c r="BA242" s="61"/>
    </row>
    <row r="243" spans="1:53" ht="12.75">
      <c r="A243" s="29"/>
      <c r="B243" s="7"/>
      <c r="C243" s="7"/>
      <c r="D243" s="60" t="s">
        <v>97</v>
      </c>
      <c r="E243" s="7"/>
      <c r="F243" s="7"/>
      <c r="M243" s="1497" t="s">
        <v>1666</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581</v>
      </c>
      <c r="N244" s="1116"/>
      <c r="O244" s="1116"/>
      <c r="P244" s="1116"/>
      <c r="Q244" s="1116"/>
      <c r="R244" s="1116"/>
      <c r="S244" s="1116"/>
      <c r="T244" s="1116"/>
      <c r="U244" s="404" t="s">
        <v>1005</v>
      </c>
      <c r="V244" s="335"/>
      <c r="W244" s="335"/>
      <c r="X244" s="335"/>
      <c r="Y244" s="335"/>
      <c r="Z244" s="335"/>
      <c r="AA244" s="1265" t="s">
        <v>1667</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8"/>
      <c r="N246" s="1258"/>
      <c r="O246" s="1258"/>
      <c r="P246" s="1258"/>
      <c r="Q246" s="1258"/>
      <c r="R246" s="1258"/>
      <c r="S246" s="1258"/>
      <c r="T246" s="1258"/>
      <c r="U246" s="1258"/>
      <c r="V246" s="1258"/>
      <c r="W246" s="1258"/>
      <c r="X246" s="1258"/>
      <c r="Y246" s="1258"/>
      <c r="Z246" s="1258"/>
      <c r="AA246" s="1258"/>
      <c r="AB246" s="1258"/>
      <c r="AC246" s="1258"/>
      <c r="AD246" s="1258"/>
      <c r="AE246" s="1258"/>
      <c r="AF246" s="1258" t="s">
        <v>329</v>
      </c>
      <c r="AG246" s="1258"/>
      <c r="AH246" s="1258"/>
      <c r="AI246" s="1258"/>
      <c r="AJ246" s="1258"/>
      <c r="AK246" s="1258"/>
      <c r="BA246" s="61"/>
    </row>
    <row r="247" spans="1:53" ht="12.75">
      <c r="A247" s="29"/>
      <c r="B247" s="7"/>
      <c r="C247" s="7"/>
      <c r="D247" s="57" t="s">
        <v>92</v>
      </c>
      <c r="E247" s="57"/>
      <c r="F247" s="57"/>
      <c r="G247" s="57"/>
      <c r="H247" s="57"/>
      <c r="I247" s="57"/>
      <c r="J247" s="57"/>
      <c r="K247" s="57"/>
      <c r="L247" s="7"/>
      <c r="M247" s="1219"/>
      <c r="N247" s="1219"/>
      <c r="O247" s="1219"/>
      <c r="P247" s="1219"/>
      <c r="Q247" s="1219"/>
      <c r="R247" s="1219"/>
      <c r="S247" s="1219"/>
      <c r="T247" s="1219"/>
      <c r="U247" s="1219"/>
      <c r="V247" s="1219"/>
      <c r="W247" s="1219"/>
      <c r="X247" s="1219"/>
      <c r="Y247" s="1219"/>
      <c r="Z247" s="1219"/>
      <c r="AA247" s="1219"/>
      <c r="AB247" s="1219"/>
      <c r="AC247" s="1219"/>
      <c r="AD247" s="1219"/>
      <c r="AE247" s="1219"/>
      <c r="AF247" s="58" t="s">
        <v>1420</v>
      </c>
      <c r="AG247" s="743"/>
      <c r="AH247" s="743"/>
      <c r="AI247" s="743"/>
      <c r="AJ247" s="743"/>
      <c r="AK247" s="743"/>
      <c r="AL247" s="7"/>
      <c r="BA247" s="61"/>
    </row>
    <row r="248" spans="1:53" ht="12.75">
      <c r="A248" s="29"/>
      <c r="B248" s="7"/>
      <c r="C248" s="7"/>
      <c r="D248" s="57" t="s">
        <v>631</v>
      </c>
      <c r="E248" s="57"/>
      <c r="M248" s="1219"/>
      <c r="N248" s="1219"/>
      <c r="O248" s="1219"/>
      <c r="P248" s="1219"/>
      <c r="Q248" s="1219"/>
      <c r="R248" s="1219"/>
      <c r="S248" s="1219"/>
      <c r="T248" s="1219"/>
      <c r="V248" s="59" t="s">
        <v>93</v>
      </c>
      <c r="W248" s="1099"/>
      <c r="X248" s="1099"/>
      <c r="Y248" s="57" t="s">
        <v>634</v>
      </c>
      <c r="AC248" s="1219"/>
      <c r="AD248" s="1219"/>
      <c r="AE248" s="121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19"/>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4"/>
      <c r="AI249" s="1584"/>
      <c r="AJ249" s="1584"/>
      <c r="AK249" s="1584"/>
      <c r="AL249" s="7"/>
      <c r="BA249" s="61"/>
    </row>
    <row r="250" spans="1:53" ht="12.75">
      <c r="A250" s="29"/>
      <c r="B250" s="7"/>
      <c r="C250" s="7"/>
      <c r="D250" s="60" t="s">
        <v>95</v>
      </c>
      <c r="E250" s="7"/>
      <c r="F250" s="7"/>
      <c r="M250" s="1136"/>
      <c r="N250" s="1136"/>
      <c r="O250" s="1136"/>
      <c r="P250" s="1136"/>
      <c r="Q250" s="1136"/>
      <c r="R250" s="1136"/>
      <c r="S250" s="7" t="s">
        <v>220</v>
      </c>
      <c r="T250" s="7"/>
      <c r="U250" s="1099"/>
      <c r="V250" s="1099"/>
      <c r="W250" s="1099"/>
      <c r="X250" s="7" t="s">
        <v>96</v>
      </c>
      <c r="Z250" s="1136"/>
      <c r="AA250" s="1136"/>
      <c r="AB250" s="1136"/>
      <c r="AC250" s="1136"/>
      <c r="AD250" s="1136"/>
      <c r="AE250" s="1136"/>
      <c r="BA250" s="61"/>
    </row>
    <row r="251" spans="1:53" ht="12.75" customHeight="1">
      <c r="A251" s="29"/>
      <c r="B251" s="7"/>
      <c r="C251" s="7"/>
      <c r="D251" s="60" t="s">
        <v>97</v>
      </c>
      <c r="E251" s="7"/>
      <c r="F251" s="7"/>
      <c r="M251" s="1497"/>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329</v>
      </c>
      <c r="N252" s="1116"/>
      <c r="O252" s="1116"/>
      <c r="P252" s="1116"/>
      <c r="Q252" s="1116"/>
      <c r="R252" s="1116"/>
      <c r="S252" s="1116"/>
      <c r="T252" s="1116"/>
      <c r="U252" s="404" t="s">
        <v>1005</v>
      </c>
      <c r="V252" s="335"/>
      <c r="W252" s="335"/>
      <c r="X252" s="335"/>
      <c r="Y252" s="335"/>
      <c r="Z252" s="335"/>
      <c r="AA252" s="1511"/>
      <c r="AB252" s="1511"/>
      <c r="AC252" s="1511"/>
      <c r="AD252" s="1511"/>
      <c r="AE252" s="1511"/>
      <c r="AF252" s="1511"/>
      <c r="AG252" s="1511"/>
      <c r="AH252" s="1511"/>
      <c r="AI252" s="1511"/>
      <c r="AJ252" s="1511"/>
      <c r="AK252" s="151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t="s">
        <v>329</v>
      </c>
      <c r="AG254" s="1258"/>
      <c r="AH254" s="1258"/>
      <c r="AI254" s="1258"/>
      <c r="AJ254" s="1258"/>
      <c r="AK254" s="1258"/>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1420</v>
      </c>
      <c r="AG255" s="743"/>
      <c r="AH255" s="743"/>
      <c r="AI255" s="743"/>
      <c r="AJ255" s="743"/>
      <c r="AK255" s="743"/>
      <c r="AL255" s="58"/>
      <c r="BA255" s="61"/>
    </row>
    <row r="256" spans="1:53" ht="12.75">
      <c r="A256" s="23"/>
      <c r="B256" s="7"/>
      <c r="C256" s="7"/>
      <c r="D256" s="57" t="s">
        <v>631</v>
      </c>
      <c r="E256" s="57"/>
      <c r="M256" s="1219"/>
      <c r="N256" s="1219"/>
      <c r="O256" s="1219"/>
      <c r="P256" s="1219"/>
      <c r="Q256" s="1219"/>
      <c r="R256" s="1219"/>
      <c r="S256" s="1219"/>
      <c r="T256" s="1219"/>
      <c r="V256" s="59" t="s">
        <v>93</v>
      </c>
      <c r="W256" s="1099"/>
      <c r="X256" s="1099"/>
      <c r="Y256" s="57" t="s">
        <v>634</v>
      </c>
      <c r="AC256" s="1219"/>
      <c r="AD256" s="1219"/>
      <c r="AE256" s="121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4"/>
      <c r="AI257" s="1584"/>
      <c r="AJ257" s="1584"/>
      <c r="AK257" s="1584"/>
      <c r="AL257" s="58"/>
      <c r="BA257" s="61"/>
    </row>
    <row r="258" spans="1:53" ht="12.75">
      <c r="A258" s="23"/>
      <c r="B258" s="7"/>
      <c r="C258" s="7"/>
      <c r="D258" s="60" t="s">
        <v>95</v>
      </c>
      <c r="E258" s="7"/>
      <c r="F258" s="7"/>
      <c r="M258" s="1136"/>
      <c r="N258" s="1136"/>
      <c r="O258" s="1136"/>
      <c r="P258" s="1136"/>
      <c r="Q258" s="1136"/>
      <c r="R258" s="1136"/>
      <c r="S258" s="7" t="s">
        <v>220</v>
      </c>
      <c r="T258" s="7"/>
      <c r="U258" s="1099"/>
      <c r="V258" s="1099"/>
      <c r="W258" s="1099"/>
      <c r="X258" s="7" t="s">
        <v>96</v>
      </c>
      <c r="Z258" s="1136"/>
      <c r="AA258" s="1136"/>
      <c r="AB258" s="1136"/>
      <c r="AC258" s="1136"/>
      <c r="AD258" s="1136"/>
      <c r="AE258" s="1136"/>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5"/>
      <c r="AB259" s="1505"/>
      <c r="AC259" s="1505"/>
      <c r="AD259" s="1505"/>
      <c r="AE259" s="1505"/>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1" t="str">
        <f>BB239</f>
        <v>Nonprofit</v>
      </c>
      <c r="U262" s="1501"/>
      <c r="V262" s="1501"/>
      <c r="W262" s="1501"/>
      <c r="X262" s="150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8">
        <v>43790</v>
      </c>
      <c r="Y265" s="1428"/>
      <c r="Z265" s="1428"/>
      <c r="AA265" s="1428"/>
      <c r="AB265" s="1428"/>
      <c r="AC265" s="14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9" t="s">
        <v>1667</v>
      </c>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1499"/>
      <c r="AG269" s="1499"/>
      <c r="AH269" s="1499"/>
      <c r="AI269" s="1499"/>
      <c r="AJ269" s="1499"/>
      <c r="AK269" s="58"/>
      <c r="AL269" s="58"/>
      <c r="BA269" s="61"/>
    </row>
    <row r="270" spans="1:53" ht="12.75" customHeight="1">
      <c r="D270" s="57" t="s">
        <v>92</v>
      </c>
      <c r="E270" s="57"/>
      <c r="F270" s="57"/>
      <c r="G270" s="57"/>
      <c r="H270" s="57"/>
      <c r="I270" s="57"/>
      <c r="J270" s="57"/>
      <c r="K270" s="7"/>
      <c r="L270" s="1093" t="s">
        <v>1661</v>
      </c>
      <c r="M270" s="1093"/>
      <c r="N270" s="1093"/>
      <c r="O270" s="1093"/>
      <c r="P270" s="1093"/>
      <c r="Q270" s="1093"/>
      <c r="R270" s="1093"/>
      <c r="S270" s="1093"/>
      <c r="T270" s="1093"/>
      <c r="U270" s="1093"/>
      <c r="V270" s="1093"/>
      <c r="W270" s="1093"/>
      <c r="X270" s="1093"/>
      <c r="Y270" s="1093"/>
      <c r="Z270" s="1093"/>
      <c r="AA270" s="1093"/>
      <c r="AB270" s="1093"/>
      <c r="AC270" s="1093"/>
      <c r="AD270" s="1093"/>
      <c r="AK270" s="58"/>
      <c r="AL270" s="58"/>
      <c r="BA270" s="61"/>
    </row>
    <row r="271" spans="1:53" ht="12.75">
      <c r="D271" s="57" t="s">
        <v>631</v>
      </c>
      <c r="E271" s="57"/>
      <c r="L271" s="1093" t="s">
        <v>1662</v>
      </c>
      <c r="M271" s="1093"/>
      <c r="N271" s="1093"/>
      <c r="O271" s="1093"/>
      <c r="P271" s="1093"/>
      <c r="Q271" s="1093"/>
      <c r="R271" s="1093"/>
      <c r="S271" s="1093"/>
      <c r="U271" s="59" t="s">
        <v>93</v>
      </c>
      <c r="V271" s="1215" t="s">
        <v>1663</v>
      </c>
      <c r="W271" s="1099"/>
      <c r="X271" s="57" t="s">
        <v>634</v>
      </c>
      <c r="AB271" s="1219">
        <v>94404</v>
      </c>
      <c r="AC271" s="1219"/>
      <c r="AD271" s="1219"/>
      <c r="AK271" s="58"/>
      <c r="AL271" s="58"/>
      <c r="BA271" s="61"/>
    </row>
    <row r="272" spans="1:53" ht="12.75">
      <c r="D272" s="60" t="s">
        <v>94</v>
      </c>
      <c r="E272" s="7"/>
      <c r="F272" s="7"/>
      <c r="G272" s="7"/>
      <c r="H272" s="7"/>
      <c r="I272" s="7"/>
      <c r="J272" s="7"/>
      <c r="K272" s="29"/>
      <c r="L272" s="1093" t="s">
        <v>1671</v>
      </c>
      <c r="M272" s="1093"/>
      <c r="N272" s="1093"/>
      <c r="O272" s="1093"/>
      <c r="P272" s="1093"/>
      <c r="Q272" s="1093"/>
      <c r="R272" s="1093"/>
      <c r="S272" s="1093"/>
      <c r="T272" s="1093"/>
      <c r="U272" s="1093"/>
      <c r="V272" s="1093"/>
      <c r="W272" s="1093"/>
      <c r="X272" s="1093"/>
      <c r="Y272" s="1093"/>
      <c r="Z272" s="1093"/>
      <c r="AA272" s="1093"/>
      <c r="AB272" s="1093"/>
      <c r="AC272" s="1093"/>
      <c r="AD272" s="1093"/>
      <c r="AI272" s="7"/>
      <c r="AJ272" s="7"/>
      <c r="AK272" s="58"/>
      <c r="AL272" s="58"/>
      <c r="BA272" s="61"/>
    </row>
    <row r="273" spans="1:53" ht="12.75">
      <c r="D273" s="60" t="s">
        <v>95</v>
      </c>
      <c r="E273" s="7"/>
      <c r="F273" s="7"/>
      <c r="L273" s="1098" t="s">
        <v>1672</v>
      </c>
      <c r="M273" s="1098"/>
      <c r="N273" s="1098"/>
      <c r="O273" s="1098"/>
      <c r="P273" s="1098"/>
      <c r="Q273" s="1098"/>
      <c r="R273" s="7" t="s">
        <v>220</v>
      </c>
      <c r="S273" s="7"/>
      <c r="T273" s="1099"/>
      <c r="U273" s="1099"/>
      <c r="V273" s="1099"/>
      <c r="W273" s="7" t="s">
        <v>96</v>
      </c>
      <c r="Y273" s="1098" t="s">
        <v>1664</v>
      </c>
      <c r="Z273" s="1098"/>
      <c r="AA273" s="1098"/>
      <c r="AB273" s="1098"/>
      <c r="AC273" s="1098"/>
      <c r="AD273" s="1098"/>
      <c r="BA273" s="61"/>
    </row>
    <row r="274" spans="1:53" ht="12.75">
      <c r="D274" s="60" t="s">
        <v>97</v>
      </c>
      <c r="E274" s="7"/>
      <c r="F274" s="7"/>
      <c r="L274" s="1497" t="s">
        <v>1673</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674</v>
      </c>
      <c r="E275" s="58"/>
      <c r="F275" s="58"/>
      <c r="G275" s="58"/>
      <c r="H275" s="58"/>
      <c r="I275" s="58"/>
      <c r="L275" s="1215" t="s">
        <v>1674</v>
      </c>
      <c r="M275" s="1215"/>
      <c r="N275" s="1215"/>
      <c r="O275" s="1215"/>
      <c r="P275" s="1215"/>
      <c r="Q275" s="1215"/>
      <c r="R275" s="1215"/>
      <c r="S275" s="1215"/>
      <c r="T275" s="1215"/>
      <c r="U275" s="1215"/>
      <c r="V275" s="1215"/>
      <c r="W275" s="1215"/>
      <c r="X275" s="1215"/>
      <c r="Y275" s="1215"/>
      <c r="Z275" s="1215"/>
      <c r="AA275" s="1215"/>
      <c r="AB275" s="1215"/>
      <c r="AC275" s="1215"/>
      <c r="AD275" s="1215"/>
      <c r="AK275" s="58"/>
      <c r="AL275" s="58"/>
      <c r="BA275" s="61"/>
    </row>
    <row r="276" spans="1:53" ht="12.75">
      <c r="L276" s="35" t="s">
        <v>675</v>
      </c>
      <c r="BA276" s="61"/>
    </row>
    <row r="277" spans="1:53" ht="12.75">
      <c r="A277" s="1263" t="s">
        <v>588</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1675</v>
      </c>
      <c r="I282" s="1095"/>
      <c r="J282" s="1095"/>
      <c r="K282" s="1095"/>
      <c r="L282" s="1095"/>
      <c r="M282" s="1095"/>
      <c r="N282" s="1095"/>
      <c r="O282" s="1095"/>
      <c r="P282" s="1095"/>
      <c r="Q282" s="1095"/>
      <c r="R282" s="1095"/>
      <c r="T282" s="58" t="s">
        <v>616</v>
      </c>
      <c r="V282" s="58"/>
      <c r="W282" s="58"/>
      <c r="X282" s="58"/>
      <c r="Y282" s="58"/>
      <c r="AA282" s="1093" t="s">
        <v>1686</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1676</v>
      </c>
      <c r="I283" s="1116"/>
      <c r="J283" s="1116"/>
      <c r="K283" s="1116"/>
      <c r="L283" s="1116"/>
      <c r="M283" s="1116"/>
      <c r="N283" s="1116"/>
      <c r="O283" s="1116"/>
      <c r="P283" s="1116"/>
      <c r="Q283" s="1116"/>
      <c r="R283" s="1116"/>
      <c r="T283" s="58" t="s">
        <v>518</v>
      </c>
      <c r="V283" s="58"/>
      <c r="W283" s="58"/>
      <c r="X283" s="58"/>
      <c r="Y283" s="58"/>
      <c r="AA283" s="1215" t="s">
        <v>1687</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1677</v>
      </c>
      <c r="I284" s="1116"/>
      <c r="J284" s="1116"/>
      <c r="K284" s="1116"/>
      <c r="L284" s="1116"/>
      <c r="M284" s="1116"/>
      <c r="N284" s="1116"/>
      <c r="O284" s="1116"/>
      <c r="P284" s="1116"/>
      <c r="Q284" s="1116"/>
      <c r="R284" s="1116"/>
      <c r="T284" s="58" t="s">
        <v>81</v>
      </c>
      <c r="V284" s="58"/>
      <c r="W284" s="58"/>
      <c r="X284" s="58"/>
      <c r="Y284" s="58"/>
      <c r="AA284" s="1215" t="s">
        <v>1688</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1678</v>
      </c>
      <c r="I285" s="1116"/>
      <c r="J285" s="1116"/>
      <c r="K285" s="1116"/>
      <c r="L285" s="1116"/>
      <c r="M285" s="1116"/>
      <c r="N285" s="1116"/>
      <c r="O285" s="1116"/>
      <c r="P285" s="1116"/>
      <c r="Q285" s="1116"/>
      <c r="R285" s="1116"/>
      <c r="T285" s="58" t="s">
        <v>94</v>
      </c>
      <c r="V285" s="58"/>
      <c r="W285" s="58"/>
      <c r="X285" s="58"/>
      <c r="Y285" s="58"/>
      <c r="AA285" s="1215" t="s">
        <v>1689</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1672</v>
      </c>
      <c r="I286" s="1117"/>
      <c r="J286" s="1117"/>
      <c r="K286" s="1117"/>
      <c r="L286" s="1117"/>
      <c r="M286" s="1117"/>
      <c r="N286" s="7" t="s">
        <v>220</v>
      </c>
      <c r="O286" s="7"/>
      <c r="P286" s="1219"/>
      <c r="Q286" s="1219"/>
      <c r="R286" s="1219"/>
      <c r="S286" s="58"/>
      <c r="T286" s="58" t="s">
        <v>95</v>
      </c>
      <c r="V286" s="58"/>
      <c r="W286" s="58"/>
      <c r="X286" s="58"/>
      <c r="Y286" s="58"/>
      <c r="AA286" s="1117" t="s">
        <v>1690</v>
      </c>
      <c r="AB286" s="1117"/>
      <c r="AC286" s="1117"/>
      <c r="AD286" s="1117"/>
      <c r="AE286" s="1117"/>
      <c r="AF286" s="1117"/>
      <c r="AG286" s="7" t="s">
        <v>220</v>
      </c>
      <c r="AH286" s="7"/>
      <c r="AI286" s="1219"/>
      <c r="AJ286" s="1219"/>
      <c r="AK286" s="1219"/>
      <c r="BA286" s="61"/>
    </row>
    <row r="287" spans="1:53" ht="12.75">
      <c r="B287" s="58" t="s">
        <v>96</v>
      </c>
      <c r="C287" s="58"/>
      <c r="D287" s="58"/>
      <c r="E287" s="58"/>
      <c r="F287" s="58"/>
      <c r="G287" s="58"/>
      <c r="H287" s="1098" t="s">
        <v>1664</v>
      </c>
      <c r="I287" s="1098"/>
      <c r="J287" s="1098"/>
      <c r="K287" s="1098"/>
      <c r="L287" s="1098"/>
      <c r="M287" s="1098"/>
      <c r="N287" s="60"/>
      <c r="O287" s="60"/>
      <c r="P287" s="62"/>
      <c r="Q287" s="62"/>
      <c r="R287" s="62"/>
      <c r="S287" s="58"/>
      <c r="T287" s="58" t="s">
        <v>96</v>
      </c>
      <c r="V287" s="58"/>
      <c r="W287" s="58"/>
      <c r="X287" s="58"/>
      <c r="Y287" s="58"/>
      <c r="AA287" s="1098" t="s">
        <v>1691</v>
      </c>
      <c r="AB287" s="1098"/>
      <c r="AC287" s="1098"/>
      <c r="AD287" s="1098"/>
      <c r="AE287" s="1098"/>
      <c r="AF287" s="1098"/>
      <c r="AG287" s="60"/>
      <c r="AH287" s="60"/>
      <c r="AI287" s="62"/>
      <c r="AJ287" s="62"/>
      <c r="AK287" s="62"/>
      <c r="BA287" s="61"/>
    </row>
    <row r="288" spans="1:53" ht="12.75">
      <c r="B288" s="58" t="s">
        <v>82</v>
      </c>
      <c r="C288" s="58"/>
      <c r="D288" s="58"/>
      <c r="E288" s="58"/>
      <c r="F288" s="58"/>
      <c r="G288" s="58"/>
      <c r="H288" s="1215" t="s">
        <v>1673</v>
      </c>
      <c r="I288" s="1116"/>
      <c r="J288" s="1116"/>
      <c r="K288" s="1116"/>
      <c r="L288" s="1116"/>
      <c r="M288" s="1116"/>
      <c r="N288" s="1095"/>
      <c r="O288" s="1095"/>
      <c r="P288" s="1095"/>
      <c r="Q288" s="1095"/>
      <c r="R288" s="1095"/>
      <c r="S288" s="58"/>
      <c r="T288" s="58" t="s">
        <v>82</v>
      </c>
      <c r="V288" s="58"/>
      <c r="W288" s="58"/>
      <c r="X288" s="58"/>
      <c r="Y288" s="58"/>
      <c r="AA288" s="1116" t="s">
        <v>1692</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3" t="s">
        <v>1679</v>
      </c>
      <c r="I290" s="1095"/>
      <c r="J290" s="1095"/>
      <c r="K290" s="1095"/>
      <c r="L290" s="1095"/>
      <c r="M290" s="1095"/>
      <c r="N290" s="1095"/>
      <c r="O290" s="1095"/>
      <c r="P290" s="1095"/>
      <c r="Q290" s="1095"/>
      <c r="R290" s="1095"/>
      <c r="T290" s="58" t="s">
        <v>388</v>
      </c>
      <c r="V290" s="58"/>
      <c r="W290" s="58"/>
      <c r="X290" s="58"/>
      <c r="Y290" s="58"/>
      <c r="AA290" s="1093" t="s">
        <v>1693</v>
      </c>
      <c r="AB290" s="1095"/>
      <c r="AC290" s="1095"/>
      <c r="AD290" s="1095"/>
      <c r="AE290" s="1095"/>
      <c r="AF290" s="1095"/>
      <c r="AG290" s="1095"/>
      <c r="AH290" s="1095"/>
      <c r="AI290" s="1095"/>
      <c r="AJ290" s="1095"/>
      <c r="AK290" s="1095"/>
      <c r="BA290" s="61"/>
    </row>
    <row r="291" spans="2:53" ht="12.75">
      <c r="B291" s="58" t="s">
        <v>518</v>
      </c>
      <c r="C291" s="58"/>
      <c r="D291" s="58"/>
      <c r="E291" s="58"/>
      <c r="F291" s="58"/>
      <c r="H291" s="1215" t="s">
        <v>1680</v>
      </c>
      <c r="I291" s="1116"/>
      <c r="J291" s="1116"/>
      <c r="K291" s="1116"/>
      <c r="L291" s="1116"/>
      <c r="M291" s="1116"/>
      <c r="N291" s="1116"/>
      <c r="O291" s="1116"/>
      <c r="P291" s="1116"/>
      <c r="Q291" s="1116"/>
      <c r="R291" s="1116"/>
      <c r="T291" s="58" t="s">
        <v>518</v>
      </c>
      <c r="V291" s="58"/>
      <c r="W291" s="58"/>
      <c r="X291" s="58"/>
      <c r="Y291" s="58"/>
      <c r="AA291" s="1215" t="s">
        <v>1694</v>
      </c>
      <c r="AB291" s="1116"/>
      <c r="AC291" s="1116"/>
      <c r="AD291" s="1116"/>
      <c r="AE291" s="1116"/>
      <c r="AF291" s="1116"/>
      <c r="AG291" s="1116"/>
      <c r="AH291" s="1116"/>
      <c r="AI291" s="1116"/>
      <c r="AJ291" s="1116"/>
      <c r="AK291" s="1116"/>
      <c r="BA291" s="61"/>
    </row>
    <row r="292" spans="2:53" ht="12.75">
      <c r="B292" s="58" t="s">
        <v>519</v>
      </c>
      <c r="C292" s="58"/>
      <c r="D292" s="58"/>
      <c r="E292" s="58"/>
      <c r="F292" s="58"/>
      <c r="H292" s="1215" t="s">
        <v>1681</v>
      </c>
      <c r="I292" s="1116"/>
      <c r="J292" s="1116"/>
      <c r="K292" s="1116"/>
      <c r="L292" s="1116"/>
      <c r="M292" s="1116"/>
      <c r="N292" s="1116"/>
      <c r="O292" s="1116"/>
      <c r="P292" s="1116"/>
      <c r="Q292" s="1116"/>
      <c r="R292" s="1116"/>
      <c r="T292" s="58" t="s">
        <v>81</v>
      </c>
      <c r="V292" s="58"/>
      <c r="W292" s="58"/>
      <c r="X292" s="58"/>
      <c r="Y292" s="58"/>
      <c r="AA292" s="1215" t="s">
        <v>1695</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215" t="s">
        <v>1682</v>
      </c>
      <c r="I293" s="1116"/>
      <c r="J293" s="1116"/>
      <c r="K293" s="1116"/>
      <c r="L293" s="1116"/>
      <c r="M293" s="1116"/>
      <c r="N293" s="1116"/>
      <c r="O293" s="1116"/>
      <c r="P293" s="1116"/>
      <c r="Q293" s="1116"/>
      <c r="R293" s="1116"/>
      <c r="T293" s="58" t="s">
        <v>94</v>
      </c>
      <c r="V293" s="58"/>
      <c r="W293" s="58"/>
      <c r="X293" s="58"/>
      <c r="Y293" s="58"/>
      <c r="AA293" s="1215" t="s">
        <v>1696</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1683</v>
      </c>
      <c r="I294" s="1117"/>
      <c r="J294" s="1117"/>
      <c r="K294" s="1117"/>
      <c r="L294" s="1117"/>
      <c r="M294" s="1117"/>
      <c r="N294" s="7" t="s">
        <v>220</v>
      </c>
      <c r="O294" s="7"/>
      <c r="P294" s="1093">
        <v>6</v>
      </c>
      <c r="Q294" s="1093"/>
      <c r="R294" s="1093"/>
      <c r="S294" s="58"/>
      <c r="T294" s="58" t="s">
        <v>95</v>
      </c>
      <c r="V294" s="58"/>
      <c r="W294" s="58"/>
      <c r="X294" s="58"/>
      <c r="Y294" s="58"/>
      <c r="AA294" s="1117" t="s">
        <v>1697</v>
      </c>
      <c r="AB294" s="1117"/>
      <c r="AC294" s="1117"/>
      <c r="AD294" s="1117"/>
      <c r="AE294" s="1117"/>
      <c r="AF294" s="1117"/>
      <c r="AG294" s="7" t="s">
        <v>220</v>
      </c>
      <c r="AH294" s="7"/>
      <c r="AI294" s="1093">
        <v>128</v>
      </c>
      <c r="AJ294" s="1093"/>
      <c r="AK294" s="1093"/>
      <c r="BA294" s="61"/>
    </row>
    <row r="295" spans="2:53" ht="12.75" customHeight="1">
      <c r="B295" s="58" t="s">
        <v>96</v>
      </c>
      <c r="C295" s="58"/>
      <c r="D295" s="58"/>
      <c r="E295" s="58"/>
      <c r="F295" s="58"/>
      <c r="G295" s="58"/>
      <c r="H295" s="1098" t="s">
        <v>1684</v>
      </c>
      <c r="I295" s="1098"/>
      <c r="J295" s="1098"/>
      <c r="K295" s="1098"/>
      <c r="L295" s="1098"/>
      <c r="M295" s="1098"/>
      <c r="N295" s="60"/>
      <c r="O295" s="60"/>
      <c r="P295" s="62"/>
      <c r="Q295" s="62"/>
      <c r="R295" s="62"/>
      <c r="S295" s="58"/>
      <c r="T295" s="58" t="s">
        <v>96</v>
      </c>
      <c r="V295" s="58"/>
      <c r="W295" s="58"/>
      <c r="X295" s="58"/>
      <c r="Y295" s="58"/>
      <c r="AA295" s="1098" t="s">
        <v>1698</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1685</v>
      </c>
      <c r="I296" s="1116"/>
      <c r="J296" s="1116"/>
      <c r="K296" s="1116"/>
      <c r="L296" s="1116"/>
      <c r="M296" s="1116"/>
      <c r="N296" s="1095"/>
      <c r="O296" s="1095"/>
      <c r="P296" s="1095"/>
      <c r="Q296" s="1095"/>
      <c r="R296" s="1095"/>
      <c r="S296" s="58"/>
      <c r="T296" s="58" t="s">
        <v>82</v>
      </c>
      <c r="V296" s="58"/>
      <c r="W296" s="58"/>
      <c r="X296" s="58"/>
      <c r="Y296" s="58"/>
      <c r="AA296" s="1215" t="s">
        <v>1699</v>
      </c>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3" t="s">
        <v>1679</v>
      </c>
      <c r="I298" s="1095"/>
      <c r="J298" s="1095"/>
      <c r="K298" s="1095"/>
      <c r="L298" s="1095"/>
      <c r="M298" s="1095"/>
      <c r="N298" s="1095"/>
      <c r="O298" s="1095"/>
      <c r="P298" s="1095"/>
      <c r="Q298" s="1095"/>
      <c r="R298" s="1095"/>
      <c r="T298" s="7" t="s">
        <v>973</v>
      </c>
      <c r="V298" s="58"/>
      <c r="W298" s="58"/>
      <c r="X298" s="58"/>
      <c r="Y298" s="58"/>
      <c r="AA298" s="1093" t="s">
        <v>1700</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
        <v>1680</v>
      </c>
      <c r="I299" s="1116"/>
      <c r="J299" s="1116"/>
      <c r="K299" s="1116"/>
      <c r="L299" s="1116"/>
      <c r="M299" s="1116"/>
      <c r="N299" s="1116"/>
      <c r="O299" s="1116"/>
      <c r="P299" s="1116"/>
      <c r="Q299" s="1116"/>
      <c r="R299" s="1116"/>
      <c r="T299" s="58" t="s">
        <v>518</v>
      </c>
      <c r="V299" s="58"/>
      <c r="W299" s="58"/>
      <c r="X299" s="58"/>
      <c r="Y299" s="58"/>
      <c r="AA299" s="1215" t="s">
        <v>1701</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
        <v>1681</v>
      </c>
      <c r="I300" s="1116"/>
      <c r="J300" s="1116"/>
      <c r="K300" s="1116"/>
      <c r="L300" s="1116"/>
      <c r="M300" s="1116"/>
      <c r="N300" s="1116"/>
      <c r="O300" s="1116"/>
      <c r="P300" s="1116"/>
      <c r="Q300" s="1116"/>
      <c r="R300" s="1116"/>
      <c r="T300" s="58" t="s">
        <v>81</v>
      </c>
      <c r="V300" s="58"/>
      <c r="W300" s="58"/>
      <c r="X300" s="58"/>
      <c r="Y300" s="58"/>
      <c r="AA300" s="1215" t="s">
        <v>1702</v>
      </c>
      <c r="AB300" s="1116"/>
      <c r="AC300" s="1116"/>
      <c r="AD300" s="1116"/>
      <c r="AE300" s="1116"/>
      <c r="AF300" s="1116"/>
      <c r="AG300" s="1116"/>
      <c r="AH300" s="1116"/>
      <c r="AI300" s="1116"/>
      <c r="AJ300" s="1116"/>
      <c r="AK300" s="1116"/>
      <c r="BA300" s="61"/>
    </row>
    <row r="301" spans="2:53" ht="12.75">
      <c r="B301" s="58" t="s">
        <v>94</v>
      </c>
      <c r="C301" s="58"/>
      <c r="D301" s="58"/>
      <c r="E301" s="58"/>
      <c r="F301" s="58"/>
      <c r="H301" s="1215" t="s">
        <v>1682</v>
      </c>
      <c r="I301" s="1116"/>
      <c r="J301" s="1116"/>
      <c r="K301" s="1116"/>
      <c r="L301" s="1116"/>
      <c r="M301" s="1116"/>
      <c r="N301" s="1116"/>
      <c r="O301" s="1116"/>
      <c r="P301" s="1116"/>
      <c r="Q301" s="1116"/>
      <c r="R301" s="1116"/>
      <c r="T301" s="58" t="s">
        <v>94</v>
      </c>
      <c r="V301" s="58"/>
      <c r="W301" s="58"/>
      <c r="X301" s="58"/>
      <c r="Y301" s="58"/>
      <c r="AA301" s="1215" t="s">
        <v>1703</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1683</v>
      </c>
      <c r="I302" s="1117"/>
      <c r="J302" s="1117"/>
      <c r="K302" s="1117"/>
      <c r="L302" s="1117"/>
      <c r="M302" s="1117"/>
      <c r="N302" s="7" t="s">
        <v>220</v>
      </c>
      <c r="O302" s="7"/>
      <c r="P302" s="1093">
        <v>6</v>
      </c>
      <c r="Q302" s="1093"/>
      <c r="R302" s="1093"/>
      <c r="S302" s="58"/>
      <c r="T302" s="58" t="s">
        <v>95</v>
      </c>
      <c r="V302" s="58"/>
      <c r="W302" s="58"/>
      <c r="X302" s="58"/>
      <c r="Y302" s="58"/>
      <c r="AA302" s="1117" t="s">
        <v>1704</v>
      </c>
      <c r="AB302" s="1117"/>
      <c r="AC302" s="1117"/>
      <c r="AD302" s="1117"/>
      <c r="AE302" s="1117"/>
      <c r="AF302" s="1117"/>
      <c r="AG302" s="7" t="s">
        <v>220</v>
      </c>
      <c r="AH302" s="7"/>
      <c r="AI302" s="1219"/>
      <c r="AJ302" s="1219"/>
      <c r="AK302" s="1219"/>
      <c r="BA302" s="61"/>
    </row>
    <row r="303" spans="2:53" ht="12.75">
      <c r="B303" s="58" t="s">
        <v>96</v>
      </c>
      <c r="C303" s="58"/>
      <c r="D303" s="58"/>
      <c r="E303" s="58"/>
      <c r="F303" s="58"/>
      <c r="G303" s="58"/>
      <c r="H303" s="1098" t="s">
        <v>1684</v>
      </c>
      <c r="I303" s="1098"/>
      <c r="J303" s="1098"/>
      <c r="K303" s="1098"/>
      <c r="L303" s="1098"/>
      <c r="M303" s="1098"/>
      <c r="N303" s="60"/>
      <c r="O303" s="60"/>
      <c r="P303" s="62"/>
      <c r="Q303" s="62"/>
      <c r="R303" s="62"/>
      <c r="S303" s="58"/>
      <c r="T303" s="58" t="s">
        <v>96</v>
      </c>
      <c r="V303" s="58"/>
      <c r="W303" s="58"/>
      <c r="X303" s="58"/>
      <c r="Y303" s="58"/>
      <c r="AA303" s="1098" t="s">
        <v>1705</v>
      </c>
      <c r="AB303" s="1098"/>
      <c r="AC303" s="1098"/>
      <c r="AD303" s="1098"/>
      <c r="AE303" s="1098"/>
      <c r="AF303" s="1098"/>
      <c r="AG303" s="60"/>
      <c r="AH303" s="60"/>
      <c r="AI303" s="62"/>
      <c r="AJ303" s="62"/>
      <c r="AK303" s="62"/>
      <c r="BA303" s="61"/>
    </row>
    <row r="304" spans="2:53" ht="12.75">
      <c r="B304" s="58" t="s">
        <v>82</v>
      </c>
      <c r="C304" s="58"/>
      <c r="D304" s="58"/>
      <c r="E304" s="58"/>
      <c r="F304" s="58"/>
      <c r="G304" s="58"/>
      <c r="H304" s="1215" t="s">
        <v>1685</v>
      </c>
      <c r="I304" s="1116"/>
      <c r="J304" s="1116"/>
      <c r="K304" s="1116"/>
      <c r="L304" s="1116"/>
      <c r="M304" s="1116"/>
      <c r="N304" s="1095"/>
      <c r="O304" s="1095"/>
      <c r="P304" s="1095"/>
      <c r="Q304" s="1095"/>
      <c r="R304" s="1095"/>
      <c r="S304" s="58"/>
      <c r="T304" s="58" t="s">
        <v>82</v>
      </c>
      <c r="V304" s="58"/>
      <c r="W304" s="58"/>
      <c r="X304" s="58"/>
      <c r="Y304" s="58"/>
      <c r="AA304" s="1215" t="s">
        <v>1706</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1707</v>
      </c>
      <c r="I306" s="1095"/>
      <c r="J306" s="1095"/>
      <c r="K306" s="1095"/>
      <c r="L306" s="1095"/>
      <c r="M306" s="1095"/>
      <c r="N306" s="1095"/>
      <c r="O306" s="1095"/>
      <c r="P306" s="1095"/>
      <c r="Q306" s="1095"/>
      <c r="R306" s="1095"/>
      <c r="S306" s="58"/>
      <c r="T306" s="58" t="s">
        <v>389</v>
      </c>
      <c r="V306" s="58"/>
      <c r="W306" s="58"/>
      <c r="X306" s="58"/>
      <c r="Y306" s="58"/>
      <c r="AA306" s="1095" t="s">
        <v>1713</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1708</v>
      </c>
      <c r="I307" s="1116"/>
      <c r="J307" s="1116"/>
      <c r="K307" s="1116"/>
      <c r="L307" s="1116"/>
      <c r="M307" s="1116"/>
      <c r="N307" s="1116"/>
      <c r="O307" s="1116"/>
      <c r="P307" s="1116"/>
      <c r="Q307" s="1116"/>
      <c r="R307" s="1116"/>
      <c r="S307" s="58"/>
      <c r="T307" s="58" t="s">
        <v>518</v>
      </c>
      <c r="V307" s="58"/>
      <c r="W307" s="58"/>
      <c r="X307" s="58"/>
      <c r="Y307" s="58"/>
      <c r="AA307" s="1116"/>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1709</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1710</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1711</v>
      </c>
      <c r="I310" s="1117"/>
      <c r="J310" s="1117"/>
      <c r="K310" s="1117"/>
      <c r="L310" s="1117"/>
      <c r="M310" s="1117"/>
      <c r="N310" s="7" t="s">
        <v>220</v>
      </c>
      <c r="O310" s="7"/>
      <c r="P310" s="1219"/>
      <c r="Q310" s="1219"/>
      <c r="R310" s="1219"/>
      <c r="S310" s="58"/>
      <c r="T310" s="58" t="s">
        <v>95</v>
      </c>
      <c r="V310" s="58"/>
      <c r="W310" s="58"/>
      <c r="X310" s="58"/>
      <c r="Y310" s="58"/>
      <c r="AA310" s="1547"/>
      <c r="AB310" s="1547"/>
      <c r="AC310" s="1547"/>
      <c r="AD310" s="1547"/>
      <c r="AE310" s="1547"/>
      <c r="AF310" s="1547"/>
      <c r="AG310" s="7" t="s">
        <v>220</v>
      </c>
      <c r="AH310" s="7"/>
      <c r="AI310" s="1219"/>
      <c r="AJ310" s="1219"/>
      <c r="AK310" s="1219"/>
      <c r="BA310" s="61"/>
    </row>
    <row r="311" spans="1:53" ht="12.75">
      <c r="B311" s="58" t="s">
        <v>96</v>
      </c>
      <c r="C311" s="58"/>
      <c r="D311" s="58"/>
      <c r="E311" s="58"/>
      <c r="F311" s="58"/>
      <c r="G311" s="58"/>
      <c r="H311" s="1136"/>
      <c r="I311" s="1136"/>
      <c r="J311" s="1136"/>
      <c r="K311" s="1136"/>
      <c r="L311" s="1136"/>
      <c r="M311" s="1136"/>
      <c r="N311" s="60"/>
      <c r="O311" s="60"/>
      <c r="P311" s="62"/>
      <c r="Q311" s="62"/>
      <c r="R311" s="62"/>
      <c r="S311" s="58"/>
      <c r="T311" s="58" t="s">
        <v>96</v>
      </c>
      <c r="V311" s="58"/>
      <c r="W311" s="58"/>
      <c r="X311" s="58"/>
      <c r="Y311" s="58"/>
      <c r="AA311" s="1136"/>
      <c r="AB311" s="1136"/>
      <c r="AC311" s="1136"/>
      <c r="AD311" s="1136"/>
      <c r="AE311" s="1136"/>
      <c r="AF311" s="1136"/>
      <c r="AG311" s="60"/>
      <c r="AH311" s="60"/>
      <c r="AI311" s="62"/>
      <c r="AJ311" s="62"/>
      <c r="AK311" s="62"/>
      <c r="BA311" s="61"/>
    </row>
    <row r="312" spans="1:53" ht="12.75">
      <c r="B312" s="58" t="s">
        <v>82</v>
      </c>
      <c r="C312" s="58"/>
      <c r="D312" s="58"/>
      <c r="E312" s="58"/>
      <c r="F312" s="58"/>
      <c r="G312" s="58"/>
      <c r="H312" s="1116" t="s">
        <v>1712</v>
      </c>
      <c r="I312" s="1116"/>
      <c r="J312" s="1116"/>
      <c r="K312" s="1116"/>
      <c r="L312" s="1116"/>
      <c r="M312" s="1116"/>
      <c r="N312" s="1095"/>
      <c r="O312" s="1095"/>
      <c r="P312" s="1095"/>
      <c r="Q312" s="1095"/>
      <c r="R312" s="1095"/>
      <c r="S312" s="58"/>
      <c r="T312" s="58" t="s">
        <v>82</v>
      </c>
      <c r="V312" s="58"/>
      <c r="W312" s="58"/>
      <c r="X312" s="58"/>
      <c r="Y312" s="58"/>
      <c r="AA312" s="1116"/>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1714</v>
      </c>
      <c r="I314" s="1095"/>
      <c r="J314" s="1095"/>
      <c r="K314" s="1095"/>
      <c r="L314" s="1095"/>
      <c r="M314" s="1095"/>
      <c r="N314" s="1095"/>
      <c r="O314" s="1095"/>
      <c r="P314" s="1095"/>
      <c r="Q314" s="1095"/>
      <c r="R314" s="1095"/>
      <c r="T314" s="58" t="s">
        <v>390</v>
      </c>
      <c r="V314" s="58"/>
      <c r="W314" s="58"/>
      <c r="X314" s="58"/>
      <c r="Y314" s="58"/>
      <c r="AA314" s="1093" t="s">
        <v>1720</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215" t="s">
        <v>1715</v>
      </c>
      <c r="I315" s="1116"/>
      <c r="J315" s="1116"/>
      <c r="K315" s="1116"/>
      <c r="L315" s="1116"/>
      <c r="M315" s="1116"/>
      <c r="N315" s="1116"/>
      <c r="O315" s="1116"/>
      <c r="P315" s="1116"/>
      <c r="Q315" s="1116"/>
      <c r="R315" s="1116"/>
      <c r="T315" s="58" t="s">
        <v>518</v>
      </c>
      <c r="V315" s="58"/>
      <c r="W315" s="58"/>
      <c r="X315" s="58"/>
      <c r="Y315" s="58"/>
      <c r="AA315" s="1116" t="s">
        <v>1721</v>
      </c>
      <c r="AB315" s="1116"/>
      <c r="AC315" s="1116"/>
      <c r="AD315" s="1116"/>
      <c r="AE315" s="1116"/>
      <c r="AF315" s="1116"/>
      <c r="AG315" s="1116"/>
      <c r="AH315" s="1116"/>
      <c r="AI315" s="1116"/>
      <c r="AJ315" s="1116"/>
      <c r="AK315" s="1116"/>
      <c r="BA315" s="61"/>
    </row>
    <row r="316" spans="1:53" ht="12.75">
      <c r="B316" s="58" t="s">
        <v>519</v>
      </c>
      <c r="C316" s="58"/>
      <c r="D316" s="58"/>
      <c r="E316" s="58"/>
      <c r="F316" s="58"/>
      <c r="H316" s="1215" t="s">
        <v>1716</v>
      </c>
      <c r="I316" s="1116"/>
      <c r="J316" s="1116"/>
      <c r="K316" s="1116"/>
      <c r="L316" s="1116"/>
      <c r="M316" s="1116"/>
      <c r="N316" s="1116"/>
      <c r="O316" s="1116"/>
      <c r="P316" s="1116"/>
      <c r="Q316" s="1116"/>
      <c r="R316" s="1116"/>
      <c r="T316" s="58" t="s">
        <v>81</v>
      </c>
      <c r="V316" s="58"/>
      <c r="W316" s="58"/>
      <c r="X316" s="58"/>
      <c r="Y316" s="58"/>
      <c r="AA316" s="1116" t="s">
        <v>1722</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1717</v>
      </c>
      <c r="I317" s="1116"/>
      <c r="J317" s="1116"/>
      <c r="K317" s="1116"/>
      <c r="L317" s="1116"/>
      <c r="M317" s="1116"/>
      <c r="N317" s="1116"/>
      <c r="O317" s="1116"/>
      <c r="P317" s="1116"/>
      <c r="Q317" s="1116"/>
      <c r="R317" s="1116"/>
      <c r="T317" s="58" t="s">
        <v>94</v>
      </c>
      <c r="V317" s="58"/>
      <c r="W317" s="58"/>
      <c r="X317" s="58"/>
      <c r="Y317" s="58"/>
      <c r="AA317" s="1215" t="s">
        <v>1723</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1718</v>
      </c>
      <c r="I318" s="1117"/>
      <c r="J318" s="1117"/>
      <c r="K318" s="1117"/>
      <c r="L318" s="1117"/>
      <c r="M318" s="1117"/>
      <c r="N318" s="7" t="s">
        <v>220</v>
      </c>
      <c r="O318" s="7"/>
      <c r="P318" s="1219"/>
      <c r="Q318" s="1219"/>
      <c r="R318" s="1219"/>
      <c r="S318" s="58"/>
      <c r="T318" s="58" t="s">
        <v>95</v>
      </c>
      <c r="V318" s="58"/>
      <c r="W318" s="58"/>
      <c r="X318" s="58"/>
      <c r="Y318" s="58"/>
      <c r="AA318" s="1117" t="s">
        <v>1724</v>
      </c>
      <c r="AB318" s="1117"/>
      <c r="AC318" s="1117"/>
      <c r="AD318" s="1117"/>
      <c r="AE318" s="1117"/>
      <c r="AF318" s="1117"/>
      <c r="AG318" s="7" t="s">
        <v>220</v>
      </c>
      <c r="AH318" s="7"/>
      <c r="AI318" s="1219"/>
      <c r="AJ318" s="1219"/>
      <c r="AK318" s="1219"/>
      <c r="AL318" s="39"/>
    </row>
    <row r="319" spans="1:53" ht="12.75">
      <c r="A319" s="39"/>
      <c r="B319" s="58" t="s">
        <v>96</v>
      </c>
      <c r="C319" s="58"/>
      <c r="D319" s="58"/>
      <c r="E319" s="58"/>
      <c r="F319" s="58"/>
      <c r="G319" s="58"/>
      <c r="H319" s="1136"/>
      <c r="I319" s="1136"/>
      <c r="J319" s="1136"/>
      <c r="K319" s="1136"/>
      <c r="L319" s="1136"/>
      <c r="M319" s="1136"/>
      <c r="N319" s="60"/>
      <c r="O319" s="60"/>
      <c r="P319" s="62"/>
      <c r="Q319" s="62"/>
      <c r="R319" s="62"/>
      <c r="S319" s="58"/>
      <c r="T319" s="58" t="s">
        <v>96</v>
      </c>
      <c r="V319" s="58"/>
      <c r="W319" s="58"/>
      <c r="X319" s="58"/>
      <c r="Y319" s="58"/>
      <c r="AA319" s="1098" t="s">
        <v>1725</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1719</v>
      </c>
      <c r="I320" s="1116"/>
      <c r="J320" s="1116"/>
      <c r="K320" s="1116"/>
      <c r="L320" s="1116"/>
      <c r="M320" s="1116"/>
      <c r="N320" s="1095"/>
      <c r="O320" s="1095"/>
      <c r="P320" s="1095"/>
      <c r="Q320" s="1095"/>
      <c r="R320" s="1095"/>
      <c r="S320" s="58"/>
      <c r="T320" s="58" t="s">
        <v>82</v>
      </c>
      <c r="V320" s="58"/>
      <c r="W320" s="58"/>
      <c r="X320" s="58"/>
      <c r="Y320" s="58"/>
      <c r="AA320" s="1116" t="s">
        <v>1726</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1727</v>
      </c>
      <c r="I322" s="1095"/>
      <c r="J322" s="1095"/>
      <c r="K322" s="1095"/>
      <c r="L322" s="1095"/>
      <c r="M322" s="1095"/>
      <c r="N322" s="1095"/>
      <c r="O322" s="1095"/>
      <c r="P322" s="1095"/>
      <c r="Q322" s="1095"/>
      <c r="R322" s="1095"/>
      <c r="T322" s="58" t="s">
        <v>392</v>
      </c>
      <c r="V322" s="58"/>
      <c r="W322" s="58"/>
      <c r="X322" s="58"/>
      <c r="Y322" s="58"/>
      <c r="AA322" s="1095" t="s">
        <v>1734</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1728</v>
      </c>
      <c r="I323" s="1116"/>
      <c r="J323" s="1116"/>
      <c r="K323" s="1116"/>
      <c r="L323" s="1116"/>
      <c r="M323" s="1116"/>
      <c r="N323" s="1116"/>
      <c r="O323" s="1116"/>
      <c r="P323" s="1116"/>
      <c r="Q323" s="1116"/>
      <c r="R323" s="1116"/>
      <c r="T323" s="58" t="s">
        <v>518</v>
      </c>
      <c r="V323" s="58"/>
      <c r="W323" s="58"/>
      <c r="X323" s="58"/>
      <c r="Y323" s="58"/>
      <c r="AA323" s="1215" t="s">
        <v>1735</v>
      </c>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1729</v>
      </c>
      <c r="I324" s="1116"/>
      <c r="J324" s="1116"/>
      <c r="K324" s="1116"/>
      <c r="L324" s="1116"/>
      <c r="M324" s="1116"/>
      <c r="N324" s="1116"/>
      <c r="O324" s="1116"/>
      <c r="P324" s="1116"/>
      <c r="Q324" s="1116"/>
      <c r="R324" s="1116"/>
      <c r="T324" s="58" t="s">
        <v>81</v>
      </c>
      <c r="V324" s="58"/>
      <c r="W324" s="58"/>
      <c r="X324" s="58"/>
      <c r="Y324" s="58"/>
      <c r="AA324" s="1215" t="s">
        <v>1736</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1730</v>
      </c>
      <c r="I325" s="1116"/>
      <c r="J325" s="1116"/>
      <c r="K325" s="1116"/>
      <c r="L325" s="1116"/>
      <c r="M325" s="1116"/>
      <c r="N325" s="1116"/>
      <c r="O325" s="1116"/>
      <c r="P325" s="1116"/>
      <c r="Q325" s="1116"/>
      <c r="R325" s="1116"/>
      <c r="T325" s="58" t="s">
        <v>94</v>
      </c>
      <c r="V325" s="58"/>
      <c r="W325" s="58"/>
      <c r="X325" s="58"/>
      <c r="Y325" s="58"/>
      <c r="AA325" s="1116" t="s">
        <v>1737</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1731</v>
      </c>
      <c r="I326" s="1117"/>
      <c r="J326" s="1117"/>
      <c r="K326" s="1117"/>
      <c r="L326" s="1117"/>
      <c r="M326" s="1117"/>
      <c r="N326" s="7" t="s">
        <v>220</v>
      </c>
      <c r="O326" s="7"/>
      <c r="P326" s="1219"/>
      <c r="Q326" s="1219"/>
      <c r="R326" s="1219"/>
      <c r="S326" s="58"/>
      <c r="T326" s="58" t="s">
        <v>95</v>
      </c>
      <c r="V326" s="58"/>
      <c r="W326" s="58"/>
      <c r="X326" s="58"/>
      <c r="Y326" s="58"/>
      <c r="AA326" s="1117" t="s">
        <v>1738</v>
      </c>
      <c r="AB326" s="1117"/>
      <c r="AC326" s="1117"/>
      <c r="AD326" s="1117"/>
      <c r="AE326" s="1117"/>
      <c r="AF326" s="1117"/>
      <c r="AG326" s="7" t="s">
        <v>220</v>
      </c>
      <c r="AH326" s="7"/>
      <c r="AI326" s="1219"/>
      <c r="AJ326" s="1219"/>
      <c r="AK326" s="1219"/>
      <c r="AL326" s="39"/>
    </row>
    <row r="327" spans="1:53" ht="12.75" customHeight="1">
      <c r="A327" s="39"/>
      <c r="B327" s="58" t="s">
        <v>96</v>
      </c>
      <c r="C327" s="58"/>
      <c r="D327" s="58"/>
      <c r="E327" s="58"/>
      <c r="F327" s="58"/>
      <c r="G327" s="58"/>
      <c r="H327" s="1098" t="s">
        <v>1732</v>
      </c>
      <c r="I327" s="1098"/>
      <c r="J327" s="1098"/>
      <c r="K327" s="1098"/>
      <c r="L327" s="1098"/>
      <c r="M327" s="1098"/>
      <c r="N327" s="60"/>
      <c r="O327" s="60"/>
      <c r="P327" s="62"/>
      <c r="Q327" s="62"/>
      <c r="R327" s="62"/>
      <c r="S327" s="58"/>
      <c r="T327" s="58" t="s">
        <v>96</v>
      </c>
      <c r="V327" s="58"/>
      <c r="W327" s="58"/>
      <c r="X327" s="58"/>
      <c r="Y327" s="58"/>
      <c r="AA327" s="1098" t="s">
        <v>1739</v>
      </c>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1733</v>
      </c>
      <c r="I328" s="1116"/>
      <c r="J328" s="1116"/>
      <c r="K328" s="1116"/>
      <c r="L328" s="1116"/>
      <c r="M328" s="1116"/>
      <c r="N328" s="1095"/>
      <c r="O328" s="1095"/>
      <c r="P328" s="1095"/>
      <c r="Q328" s="1095"/>
      <c r="R328" s="1095"/>
      <c r="S328" s="58"/>
      <c r="T328" s="58" t="s">
        <v>82</v>
      </c>
      <c r="V328" s="58"/>
      <c r="W328" s="58"/>
      <c r="X328" s="58"/>
      <c r="Y328" s="58"/>
      <c r="AA328" s="1116" t="s">
        <v>1740</v>
      </c>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1741</v>
      </c>
      <c r="I330" s="1095"/>
      <c r="J330" s="1095"/>
      <c r="K330" s="1095"/>
      <c r="L330" s="1095"/>
      <c r="M330" s="1095"/>
      <c r="N330" s="1095"/>
      <c r="O330" s="1095"/>
      <c r="P330" s="1095"/>
      <c r="Q330" s="1095"/>
      <c r="R330" s="1095"/>
      <c r="T330" s="422" t="s">
        <v>982</v>
      </c>
      <c r="V330" s="58"/>
      <c r="W330" s="58"/>
      <c r="X330" s="58"/>
      <c r="Y330" s="58"/>
      <c r="AA330" s="1095" t="s">
        <v>1748</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1742</v>
      </c>
      <c r="I331" s="1116"/>
      <c r="J331" s="1116"/>
      <c r="K331" s="1116"/>
      <c r="L331" s="1116"/>
      <c r="M331" s="1116"/>
      <c r="N331" s="1116"/>
      <c r="O331" s="1116"/>
      <c r="P331" s="1116"/>
      <c r="Q331" s="1116"/>
      <c r="R331" s="1116"/>
      <c r="T331" s="58" t="s">
        <v>518</v>
      </c>
      <c r="V331" s="58"/>
      <c r="W331" s="58"/>
      <c r="X331" s="58"/>
      <c r="Y331" s="58"/>
      <c r="AA331" s="1116" t="s">
        <v>1661</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1743</v>
      </c>
      <c r="I332" s="1116"/>
      <c r="J332" s="1116"/>
      <c r="K332" s="1116"/>
      <c r="L332" s="1116"/>
      <c r="M332" s="1116"/>
      <c r="N332" s="1116"/>
      <c r="O332" s="1116"/>
      <c r="P332" s="1116"/>
      <c r="Q332" s="1116"/>
      <c r="R332" s="1116"/>
      <c r="T332" s="58" t="s">
        <v>81</v>
      </c>
      <c r="V332" s="58"/>
      <c r="W332" s="58"/>
      <c r="X332" s="58"/>
      <c r="Y332" s="58"/>
      <c r="AA332" s="1116" t="s">
        <v>1677</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1744</v>
      </c>
      <c r="I333" s="1116"/>
      <c r="J333" s="1116"/>
      <c r="K333" s="1116"/>
      <c r="L333" s="1116"/>
      <c r="M333" s="1116"/>
      <c r="N333" s="1116"/>
      <c r="O333" s="1116"/>
      <c r="P333" s="1116"/>
      <c r="Q333" s="1116"/>
      <c r="R333" s="1116"/>
      <c r="T333" s="58" t="s">
        <v>94</v>
      </c>
      <c r="V333" s="58"/>
      <c r="W333" s="58"/>
      <c r="X333" s="58"/>
      <c r="Y333" s="58"/>
      <c r="AA333" s="1116" t="s">
        <v>1749</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1745</v>
      </c>
      <c r="I334" s="1117"/>
      <c r="J334" s="1117"/>
      <c r="K334" s="1117"/>
      <c r="L334" s="1117"/>
      <c r="M334" s="1117"/>
      <c r="N334" s="7" t="s">
        <v>220</v>
      </c>
      <c r="O334" s="7"/>
      <c r="P334" s="1219"/>
      <c r="Q334" s="1219"/>
      <c r="R334" s="1219"/>
      <c r="S334" s="58"/>
      <c r="T334" s="58" t="s">
        <v>95</v>
      </c>
      <c r="V334" s="58"/>
      <c r="W334" s="58"/>
      <c r="X334" s="58"/>
      <c r="Y334" s="58"/>
      <c r="AA334" s="1117" t="s">
        <v>1750</v>
      </c>
      <c r="AB334" s="1117"/>
      <c r="AC334" s="1117"/>
      <c r="AD334" s="1117"/>
      <c r="AE334" s="1117"/>
      <c r="AF334" s="1117"/>
      <c r="AG334" s="7" t="s">
        <v>220</v>
      </c>
      <c r="AH334" s="7"/>
      <c r="AI334" s="1219"/>
      <c r="AJ334" s="1219"/>
      <c r="AK334" s="1219"/>
      <c r="AL334" s="39"/>
    </row>
    <row r="335" spans="1:53" ht="12.75" customHeight="1">
      <c r="A335" s="39"/>
      <c r="B335" s="58" t="s">
        <v>96</v>
      </c>
      <c r="C335" s="248"/>
      <c r="D335" s="248"/>
      <c r="E335" s="248"/>
      <c r="F335" s="248"/>
      <c r="G335" s="248"/>
      <c r="H335" s="1098" t="s">
        <v>1746</v>
      </c>
      <c r="I335" s="1098"/>
      <c r="J335" s="1098"/>
      <c r="K335" s="1098"/>
      <c r="L335" s="1098"/>
      <c r="M335" s="1098"/>
      <c r="N335" s="60"/>
      <c r="O335" s="60"/>
      <c r="P335" s="62"/>
      <c r="Q335" s="62"/>
      <c r="R335" s="62"/>
      <c r="S335" s="58"/>
      <c r="T335" s="58" t="s">
        <v>96</v>
      </c>
      <c r="V335" s="58"/>
      <c r="W335" s="58"/>
      <c r="X335" s="58"/>
      <c r="Y335" s="58"/>
      <c r="AA335" s="1098" t="s">
        <v>1751</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1747</v>
      </c>
      <c r="I336" s="1116"/>
      <c r="J336" s="1116"/>
      <c r="K336" s="1116"/>
      <c r="L336" s="1116"/>
      <c r="M336" s="1116"/>
      <c r="N336" s="1095"/>
      <c r="O336" s="1095"/>
      <c r="P336" s="1095"/>
      <c r="Q336" s="1095"/>
      <c r="R336" s="1095"/>
      <c r="S336" s="58"/>
      <c r="T336" s="58" t="s">
        <v>82</v>
      </c>
      <c r="V336" s="58"/>
      <c r="W336" s="58"/>
      <c r="X336" s="58"/>
      <c r="Y336" s="58"/>
      <c r="AA336" s="1116" t="s">
        <v>1752</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t="s">
        <v>642</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136"/>
      <c r="Q342" s="1136"/>
      <c r="R342" s="1136"/>
      <c r="S342" s="1136"/>
      <c r="T342" s="1136"/>
      <c r="U342" s="1136"/>
      <c r="V342" s="1136"/>
      <c r="W342" s="1136"/>
      <c r="X342" s="1136"/>
      <c r="Y342" s="1136"/>
      <c r="Z342" s="1136"/>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136"/>
      <c r="Q343" s="1136"/>
      <c r="R343" s="1136"/>
      <c r="S343" s="1136"/>
      <c r="T343" s="1136"/>
      <c r="U343" s="1136"/>
      <c r="V343" s="1136"/>
      <c r="W343" s="1136"/>
      <c r="X343" s="1136"/>
      <c r="Y343" s="1136"/>
      <c r="Z343" s="1136"/>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589</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642</v>
      </c>
      <c r="N350" s="1096"/>
      <c r="P350" s="12" t="s">
        <v>599</v>
      </c>
      <c r="AJ350" s="1096" t="s">
        <v>642</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592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1795</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723</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768</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493</v>
      </c>
      <c r="F365" s="7"/>
      <c r="G365" s="7"/>
      <c r="H365" s="7"/>
      <c r="I365" s="7"/>
      <c r="J365" s="7"/>
      <c r="K365" s="7"/>
      <c r="L365" s="7"/>
      <c r="N365" s="1519" t="s">
        <v>1753</v>
      </c>
      <c r="O365" s="1519"/>
      <c r="P365" s="1519"/>
      <c r="Q365" s="1519"/>
      <c r="R365" s="7"/>
      <c r="U365" s="7" t="s">
        <v>494</v>
      </c>
      <c r="V365" s="7"/>
      <c r="W365" s="7"/>
      <c r="X365" s="7"/>
      <c r="Y365" s="7"/>
      <c r="Z365" s="7"/>
      <c r="AA365" s="7"/>
      <c r="AB365" s="7"/>
      <c r="AC365" s="1421">
        <v>18</v>
      </c>
      <c r="AD365" s="1421"/>
      <c r="AE365" s="1421"/>
      <c r="AF365" s="1421"/>
    </row>
    <row r="366" spans="1:34" ht="12.75" customHeight="1">
      <c r="E366" s="7" t="s">
        <v>495</v>
      </c>
      <c r="F366" s="7"/>
      <c r="G366" s="7"/>
      <c r="H366" s="7"/>
      <c r="I366" s="7"/>
      <c r="J366" s="7"/>
      <c r="K366" s="7"/>
      <c r="L366" s="7"/>
      <c r="N366" s="1421">
        <v>18</v>
      </c>
      <c r="O366" s="1421"/>
      <c r="P366" s="1421"/>
      <c r="Q366" s="1421"/>
      <c r="R366" s="7"/>
      <c r="U366" s="7" t="s">
        <v>0</v>
      </c>
      <c r="V366" s="7"/>
      <c r="W366" s="7"/>
      <c r="X366" s="7"/>
      <c r="Y366" s="7"/>
      <c r="Z366" s="7"/>
      <c r="AA366" s="7"/>
      <c r="AB366" s="7"/>
      <c r="AC366" s="1421">
        <v>70</v>
      </c>
      <c r="AD366" s="1421"/>
      <c r="AE366" s="1421"/>
      <c r="AF366" s="1421"/>
    </row>
    <row r="367" spans="1:34" ht="12.75" customHeight="1">
      <c r="E367" s="7" t="s">
        <v>1</v>
      </c>
      <c r="F367" s="7"/>
      <c r="G367" s="7"/>
      <c r="H367" s="7"/>
      <c r="I367" s="7"/>
      <c r="J367" s="7"/>
      <c r="K367" s="7"/>
      <c r="L367" s="7"/>
      <c r="N367" s="1421">
        <v>2</v>
      </c>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78" t="s">
        <v>1754</v>
      </c>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8">
        <v>98</v>
      </c>
      <c r="T372" s="1118"/>
      <c r="U372" s="4" t="s">
        <v>328</v>
      </c>
      <c r="V372" s="1118">
        <v>507</v>
      </c>
      <c r="W372" s="1118"/>
      <c r="Y372" s="25" t="s">
        <v>326</v>
      </c>
      <c r="AA372" s="25"/>
      <c r="AB372" s="25" t="s">
        <v>327</v>
      </c>
      <c r="AD372" s="1118"/>
      <c r="AE372" s="1118"/>
      <c r="AF372" s="4" t="s">
        <v>328</v>
      </c>
      <c r="AG372" s="1118"/>
      <c r="AH372" s="1118"/>
    </row>
    <row r="373" spans="1:38" ht="12.75" customHeight="1">
      <c r="E373" s="7" t="s">
        <v>1128</v>
      </c>
      <c r="F373" s="7"/>
      <c r="G373" s="7"/>
      <c r="H373" s="7"/>
      <c r="I373" s="7"/>
      <c r="J373" s="7"/>
      <c r="K373" s="7"/>
      <c r="L373" s="7"/>
      <c r="N373" s="1118">
        <v>1999</v>
      </c>
      <c r="O373" s="1118"/>
      <c r="P373" s="1118"/>
    </row>
    <row r="374" spans="1:38" ht="12.75" customHeight="1">
      <c r="E374" s="399" t="s">
        <v>1130</v>
      </c>
      <c r="F374" s="7"/>
      <c r="G374" s="7"/>
      <c r="H374" s="7"/>
      <c r="I374" s="7"/>
      <c r="J374" s="7"/>
      <c r="K374" s="7"/>
      <c r="L374" s="7"/>
      <c r="AG374" s="1114" t="s">
        <v>723</v>
      </c>
      <c r="AH374" s="1114"/>
    </row>
    <row r="375" spans="1:38" ht="12.75" customHeight="1">
      <c r="E375" s="7"/>
      <c r="F375" s="7"/>
      <c r="G375" s="7" t="s">
        <v>1151</v>
      </c>
      <c r="H375" s="7"/>
      <c r="I375" s="7"/>
      <c r="J375" s="7"/>
      <c r="K375" s="7"/>
      <c r="L375" s="7"/>
      <c r="AG375" s="1114" t="s">
        <v>723</v>
      </c>
      <c r="AH375" s="1114"/>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592</v>
      </c>
      <c r="W377" s="1096"/>
      <c r="Y377" s="7" t="s">
        <v>1097</v>
      </c>
    </row>
    <row r="378" spans="1:38" ht="12.75" customHeight="1"/>
    <row r="379" spans="1:38" ht="12.75" customHeight="1">
      <c r="A379" s="50" t="s">
        <v>84</v>
      </c>
      <c r="B379" s="50"/>
    </row>
    <row r="380" spans="1:38" ht="12.75" customHeight="1">
      <c r="D380" s="12" t="s">
        <v>463</v>
      </c>
      <c r="J380" s="1093" t="s">
        <v>1755</v>
      </c>
      <c r="K380" s="1095"/>
      <c r="L380" s="1095"/>
      <c r="M380" s="1095"/>
      <c r="N380" s="1095"/>
      <c r="O380" s="1095"/>
      <c r="P380" s="1095"/>
      <c r="Q380" s="1095"/>
      <c r="R380" s="1095"/>
      <c r="S380" s="1095"/>
      <c r="T380" s="1095"/>
      <c r="U380" s="1095"/>
      <c r="V380" s="14" t="s">
        <v>90</v>
      </c>
      <c r="W380" s="14"/>
      <c r="X380" s="14"/>
      <c r="Y380" s="14"/>
      <c r="Z380" s="14"/>
      <c r="AA380" s="14"/>
      <c r="AB380" s="14"/>
      <c r="AC380" s="1093" t="s">
        <v>1654</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6" t="s">
        <v>1654</v>
      </c>
      <c r="K381" s="1116"/>
      <c r="L381" s="1116"/>
      <c r="M381" s="1116"/>
      <c r="N381" s="1116"/>
      <c r="O381" s="1116"/>
      <c r="P381" s="1116"/>
      <c r="Q381" s="1116"/>
      <c r="R381" s="1116"/>
      <c r="S381" s="1116"/>
      <c r="T381" s="1116"/>
      <c r="U381" s="1116"/>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t="s">
        <v>1655</v>
      </c>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24" t="s">
        <v>1661</v>
      </c>
      <c r="K383" s="1224"/>
      <c r="L383" s="1224"/>
      <c r="M383" s="1224"/>
      <c r="N383" s="1224"/>
      <c r="O383" s="1224"/>
      <c r="P383" s="1224"/>
      <c r="Q383" s="1224"/>
      <c r="R383" s="1224"/>
      <c r="S383" s="1224"/>
      <c r="T383" s="1224"/>
      <c r="U383" s="1224"/>
      <c r="V383" s="1095" t="s">
        <v>1677</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50">
        <v>43800</v>
      </c>
      <c r="R384" s="1550"/>
      <c r="S384" s="1550"/>
      <c r="T384" s="1550"/>
      <c r="U384" s="1550"/>
      <c r="V384" s="12" t="s">
        <v>331</v>
      </c>
      <c r="AI384" s="1096" t="s">
        <v>592</v>
      </c>
      <c r="AJ384" s="1096"/>
    </row>
    <row r="385" spans="1:38" ht="12.75" customHeight="1">
      <c r="D385" s="12" t="s">
        <v>5</v>
      </c>
      <c r="Q385" s="1212">
        <v>44561</v>
      </c>
      <c r="R385" s="1213"/>
      <c r="S385" s="1213"/>
      <c r="T385" s="1213"/>
      <c r="U385" s="1213"/>
      <c r="W385" s="33" t="s">
        <v>80</v>
      </c>
      <c r="AG385" s="1548">
        <v>0</v>
      </c>
      <c r="AH385" s="1548"/>
      <c r="AI385" s="1548"/>
      <c r="AJ385" s="1548"/>
    </row>
    <row r="386" spans="1:38" ht="12.75" customHeight="1">
      <c r="D386" s="12" t="s">
        <v>462</v>
      </c>
      <c r="Q386" s="1204">
        <f>12000000+16000000</f>
        <v>28000000</v>
      </c>
      <c r="R386" s="1204"/>
      <c r="S386" s="1204"/>
      <c r="T386" s="1204"/>
      <c r="U386" s="1204"/>
      <c r="V386" s="58" t="s">
        <v>1422</v>
      </c>
      <c r="AG386" s="1549">
        <v>43858</v>
      </c>
      <c r="AH386" s="1549"/>
      <c r="AI386" s="1549"/>
      <c r="AJ386" s="1549"/>
    </row>
    <row r="387" spans="1:38" ht="12.75" customHeight="1">
      <c r="D387" s="12" t="s">
        <v>95</v>
      </c>
      <c r="I387" s="1117" t="s">
        <v>1672</v>
      </c>
      <c r="J387" s="1547"/>
      <c r="K387" s="1547"/>
      <c r="L387" s="1547"/>
      <c r="M387" s="1547"/>
      <c r="N387" s="1547"/>
      <c r="Q387" s="57" t="s">
        <v>220</v>
      </c>
      <c r="S387" s="1575"/>
      <c r="T387" s="1575"/>
      <c r="U387" s="1575"/>
      <c r="V387" s="12" t="s">
        <v>79</v>
      </c>
      <c r="AI387" s="1096" t="s">
        <v>723</v>
      </c>
      <c r="AJ387" s="1096"/>
    </row>
    <row r="388" spans="1:38" ht="12.75">
      <c r="D388" s="12" t="s">
        <v>332</v>
      </c>
      <c r="Q388" s="1187"/>
      <c r="R388" s="1187"/>
      <c r="S388" s="1187"/>
      <c r="T388" s="1187"/>
      <c r="U388" s="1187"/>
      <c r="V388" s="12" t="s">
        <v>333</v>
      </c>
      <c r="AG388" s="1548"/>
      <c r="AH388" s="1548"/>
      <c r="AI388" s="1548"/>
      <c r="AJ388" s="1548"/>
    </row>
    <row r="389" spans="1:38" ht="12.75">
      <c r="D389" s="12" t="s">
        <v>334</v>
      </c>
      <c r="Q389" s="1546"/>
      <c r="R389" s="1546"/>
      <c r="S389" s="1546"/>
      <c r="T389" s="1546"/>
      <c r="U389" s="1546"/>
      <c r="V389" s="743" t="s">
        <v>1399</v>
      </c>
      <c r="AG389" s="1548"/>
      <c r="AH389" s="1548"/>
      <c r="AI389" s="1548"/>
      <c r="AJ389" s="1548"/>
    </row>
    <row r="390" spans="1:38" ht="12.75">
      <c r="D390" s="743" t="s">
        <v>1398</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1797</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642</v>
      </c>
      <c r="S394" s="1096"/>
      <c r="T394" s="12" t="s">
        <v>620</v>
      </c>
      <c r="U394" s="743"/>
      <c r="V394" s="743"/>
      <c r="W394" s="743"/>
      <c r="X394" s="743"/>
      <c r="Y394" s="743"/>
      <c r="Z394" s="743"/>
      <c r="AA394" s="743"/>
      <c r="AB394" s="743"/>
      <c r="AC394" s="743"/>
      <c r="AD394" s="1421">
        <v>0</v>
      </c>
      <c r="AE394" s="1421"/>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21">
        <v>0</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73" t="s">
        <v>1798</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c r="F406" s="1118"/>
      <c r="G406" s="1118"/>
      <c r="H406" s="23" t="s">
        <v>122</v>
      </c>
      <c r="I406" s="1118"/>
      <c r="J406" s="1118"/>
      <c r="K406" s="1118"/>
      <c r="L406" s="12" t="s">
        <v>123</v>
      </c>
      <c r="N406" s="144" t="s">
        <v>626</v>
      </c>
      <c r="P406" s="1115">
        <v>3.21</v>
      </c>
      <c r="Q406" s="1115"/>
      <c r="R406" s="1115"/>
      <c r="S406" s="12" t="s">
        <v>124</v>
      </c>
      <c r="W406" s="1577">
        <f>IF(E406&gt;0,(E406*I406),(P406*43560))</f>
        <v>139827.6</v>
      </c>
      <c r="X406" s="1577"/>
      <c r="Y406" s="1577"/>
      <c r="Z406" s="12" t="s">
        <v>125</v>
      </c>
      <c r="AF406" s="1115">
        <v>21.81</v>
      </c>
      <c r="AG406" s="1115"/>
      <c r="AH406" s="1115"/>
    </row>
    <row r="407" spans="1:36" ht="12.75">
      <c r="E407" s="12" t="s">
        <v>56</v>
      </c>
    </row>
    <row r="408" spans="1:36" ht="12.75">
      <c r="E408" s="158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2.75"/>
    <row r="410" spans="1:36" ht="12.75">
      <c r="A410" s="50" t="s">
        <v>643</v>
      </c>
      <c r="B410" s="50"/>
      <c r="C410" s="50"/>
      <c r="D410" s="50" t="s">
        <v>127</v>
      </c>
    </row>
    <row r="411" spans="1:36" ht="12.75">
      <c r="E411" s="12" t="s">
        <v>128</v>
      </c>
      <c r="P411" s="1096">
        <v>18</v>
      </c>
      <c r="Q411" s="1096"/>
      <c r="S411" s="12" t="s">
        <v>203</v>
      </c>
      <c r="AE411" s="1096">
        <v>18</v>
      </c>
      <c r="AF411" s="1096"/>
    </row>
    <row r="412" spans="1:36" ht="12.75">
      <c r="E412" s="12" t="s">
        <v>204</v>
      </c>
      <c r="P412" s="1096">
        <v>1</v>
      </c>
      <c r="Q412" s="1096"/>
      <c r="S412" s="12" t="s">
        <v>138</v>
      </c>
      <c r="AE412" s="1096" t="s">
        <v>642</v>
      </c>
      <c r="AF412" s="1096"/>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592</v>
      </c>
      <c r="AG417" s="1585"/>
    </row>
    <row r="418" spans="1:96" ht="12.75" customHeight="1">
      <c r="S418" s="25"/>
      <c r="T418" s="25"/>
    </row>
    <row r="419" spans="1:96" ht="12.75" customHeight="1">
      <c r="A419" s="50"/>
      <c r="B419" s="50"/>
      <c r="C419" s="50"/>
      <c r="E419" s="7" t="s">
        <v>330</v>
      </c>
      <c r="Z419" s="1096" t="s">
        <v>592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723</v>
      </c>
      <c r="AA421" s="1096"/>
    </row>
    <row r="422" spans="1:96" ht="12.75" customHeight="1"/>
    <row r="423" spans="1:96" ht="12.75" customHeight="1">
      <c r="A423" s="50" t="s">
        <v>514</v>
      </c>
      <c r="B423" s="50"/>
      <c r="C423" s="50"/>
      <c r="D423" s="50" t="s">
        <v>843</v>
      </c>
      <c r="AF423" s="80"/>
    </row>
    <row r="424" spans="1:96" ht="12.75" customHeight="1">
      <c r="D424" s="115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532"/>
      <c r="AG424" s="1529">
        <v>70</v>
      </c>
      <c r="AH424" s="1529"/>
      <c r="AI424" s="1529"/>
      <c r="AJ424" s="1529"/>
    </row>
    <row r="425" spans="1:96" ht="12.75" customHeight="1">
      <c r="D425" s="1508" t="s">
        <v>1491</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6"/>
      <c r="AH425" s="1228"/>
      <c r="AI425" s="1228"/>
      <c r="AJ425" s="1228"/>
    </row>
    <row r="426" spans="1:96" ht="12.75" customHeight="1">
      <c r="D426" s="1508" t="s">
        <v>1185</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9">
        <v>68</v>
      </c>
      <c r="AH426" s="1529"/>
      <c r="AI426" s="1529"/>
      <c r="AJ426" s="1529"/>
    </row>
    <row r="427" spans="1:96" ht="12.75" customHeight="1">
      <c r="D427" s="1508" t="s">
        <v>1186</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9">
        <v>68</v>
      </c>
      <c r="AH427" s="1529"/>
      <c r="AI427" s="1529"/>
      <c r="AJ427" s="1529"/>
    </row>
    <row r="428" spans="1:96" ht="12.75" customHeight="1">
      <c r="D428" s="1508" t="s">
        <v>1188</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6">
        <f>IF(ISERROR(AG427/AG426),"",AG427/AG426)</f>
        <v>1</v>
      </c>
      <c r="AH428" s="1576"/>
      <c r="AI428" s="1576"/>
      <c r="AJ428" s="1576"/>
    </row>
    <row r="429" spans="1:96" ht="12.75" customHeight="1">
      <c r="D429" s="1508" t="s">
        <v>1187</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453">
        <v>64430</v>
      </c>
      <c r="AH429" s="1453"/>
      <c r="AI429" s="1453"/>
      <c r="AJ429" s="1453"/>
    </row>
    <row r="430" spans="1:96" ht="12.75" customHeight="1">
      <c r="D430" s="1508" t="s">
        <v>1189</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3">
        <v>64430</v>
      </c>
      <c r="AH430" s="1453"/>
      <c r="AI430" s="1453"/>
      <c r="AJ430" s="1453"/>
    </row>
    <row r="431" spans="1:96" ht="12.75" customHeight="1">
      <c r="D431" s="1508" t="s">
        <v>1190</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6">
        <f>IF(ISERROR(AG430/AG429),"",AG430/AG429)</f>
        <v>1</v>
      </c>
      <c r="AH431" s="1576"/>
      <c r="AI431" s="1576"/>
      <c r="AJ431" s="1576"/>
    </row>
    <row r="432" spans="1:96" ht="12.75" customHeight="1">
      <c r="D432" s="1508" t="s">
        <v>1191</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8" t="s">
        <v>1462</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532"/>
      <c r="AG433" s="1453">
        <v>1900</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532"/>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1463</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532"/>
      <c r="AG435" s="1453">
        <v>13382</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1192</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532"/>
      <c r="AG436" s="1453">
        <v>0</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1193</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0">
        <f>AG429+AG433+AG435+AG436</f>
        <v>79712</v>
      </c>
      <c r="AH437" s="1530"/>
      <c r="AI437" s="1530"/>
      <c r="AJ437" s="15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1464</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876753.8</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876753.8</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813639.21428571432</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750</v>
      </c>
      <c r="E452" s="1455"/>
      <c r="F452" s="1455"/>
      <c r="G452" s="1455"/>
      <c r="H452" s="1455"/>
      <c r="I452" s="1455"/>
      <c r="J452" s="1455"/>
      <c r="K452" s="1455"/>
      <c r="L452" s="1455"/>
      <c r="M452" s="1455"/>
      <c r="N452" s="1455"/>
      <c r="O452" s="1455"/>
      <c r="P452" s="1455"/>
      <c r="Q452" s="1455"/>
      <c r="R452" s="1455"/>
      <c r="S452" s="1455"/>
      <c r="T452" s="1455"/>
      <c r="U452" s="1455"/>
      <c r="V452" s="1456"/>
      <c r="W452" s="1259" t="s">
        <v>642</v>
      </c>
      <c r="X452" s="1260"/>
      <c r="Y452" s="126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751</v>
      </c>
      <c r="E453" s="1455"/>
      <c r="F453" s="1455"/>
      <c r="G453" s="1455"/>
      <c r="H453" s="1455"/>
      <c r="I453" s="1455"/>
      <c r="J453" s="1455"/>
      <c r="K453" s="1455"/>
      <c r="L453" s="1455"/>
      <c r="M453" s="1455"/>
      <c r="N453" s="1455"/>
      <c r="O453" s="1455"/>
      <c r="P453" s="1455"/>
      <c r="Q453" s="1455"/>
      <c r="R453" s="1455"/>
      <c r="S453" s="1455"/>
      <c r="T453" s="1455"/>
      <c r="U453" s="1455"/>
      <c r="V453" s="1456"/>
      <c r="W453" s="1259" t="s">
        <v>642</v>
      </c>
      <c r="X453" s="1260"/>
      <c r="Y453" s="126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752</v>
      </c>
      <c r="E454" s="1455"/>
      <c r="F454" s="1455"/>
      <c r="G454" s="1455"/>
      <c r="H454" s="1455"/>
      <c r="I454" s="1455"/>
      <c r="J454" s="1455"/>
      <c r="K454" s="1455"/>
      <c r="L454" s="1455"/>
      <c r="M454" s="1455"/>
      <c r="N454" s="1455"/>
      <c r="O454" s="1455"/>
      <c r="P454" s="1455"/>
      <c r="Q454" s="1455"/>
      <c r="R454" s="1455"/>
      <c r="S454" s="1455"/>
      <c r="T454" s="1455"/>
      <c r="U454" s="1455"/>
      <c r="V454" s="1456"/>
      <c r="W454" s="1259" t="s">
        <v>642</v>
      </c>
      <c r="X454" s="1260"/>
      <c r="Y454" s="126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753</v>
      </c>
      <c r="E455" s="1455"/>
      <c r="F455" s="1455"/>
      <c r="G455" s="1455"/>
      <c r="H455" s="1455"/>
      <c r="I455" s="1455"/>
      <c r="J455" s="1455"/>
      <c r="K455" s="1455"/>
      <c r="L455" s="1455"/>
      <c r="M455" s="1455"/>
      <c r="N455" s="1455"/>
      <c r="O455" s="1455"/>
      <c r="P455" s="1455"/>
      <c r="Q455" s="1455"/>
      <c r="R455" s="1455"/>
      <c r="S455" s="1455"/>
      <c r="T455" s="1455"/>
      <c r="U455" s="1455"/>
      <c r="V455" s="1456"/>
      <c r="W455" s="1259" t="s">
        <v>642</v>
      </c>
      <c r="X455" s="1260"/>
      <c r="Y455" s="126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976</v>
      </c>
      <c r="E456" s="1455"/>
      <c r="F456" s="1455"/>
      <c r="G456" s="1455"/>
      <c r="H456" s="1455"/>
      <c r="I456" s="1455"/>
      <c r="J456" s="1455"/>
      <c r="K456" s="1455"/>
      <c r="L456" s="1455"/>
      <c r="M456" s="1455"/>
      <c r="N456" s="1455"/>
      <c r="O456" s="1455"/>
      <c r="P456" s="1455"/>
      <c r="Q456" s="1455"/>
      <c r="R456" s="1455"/>
      <c r="S456" s="1455"/>
      <c r="T456" s="1455"/>
      <c r="U456" s="1455"/>
      <c r="V456" s="1456"/>
      <c r="W456" s="1259" t="s">
        <v>642</v>
      </c>
      <c r="X456" s="1260"/>
      <c r="Y456" s="126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754</v>
      </c>
      <c r="E457" s="1455"/>
      <c r="F457" s="1455"/>
      <c r="G457" s="1455"/>
      <c r="H457" s="1455"/>
      <c r="I457" s="1455"/>
      <c r="J457" s="1455"/>
      <c r="K457" s="1455"/>
      <c r="L457" s="1455"/>
      <c r="M457" s="1455"/>
      <c r="N457" s="1455"/>
      <c r="O457" s="1455"/>
      <c r="P457" s="1455"/>
      <c r="Q457" s="1455"/>
      <c r="R457" s="1455"/>
      <c r="S457" s="1455"/>
      <c r="T457" s="1455"/>
      <c r="U457" s="1455"/>
      <c r="V457" s="1456"/>
      <c r="W457" s="1259" t="s">
        <v>642</v>
      </c>
      <c r="X457" s="1260"/>
      <c r="Y457" s="126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1158</v>
      </c>
      <c r="E458" s="1455"/>
      <c r="F458" s="1455"/>
      <c r="G458" s="1455"/>
      <c r="H458" s="1455"/>
      <c r="I458" s="1455"/>
      <c r="J458" s="1455"/>
      <c r="K458" s="1455"/>
      <c r="L458" s="1455"/>
      <c r="M458" s="1455"/>
      <c r="N458" s="1455"/>
      <c r="O458" s="1455"/>
      <c r="P458" s="1455"/>
      <c r="Q458" s="1455"/>
      <c r="R458" s="1455"/>
      <c r="S458" s="1455"/>
      <c r="T458" s="1455"/>
      <c r="U458" s="1455"/>
      <c r="V458" s="1456"/>
      <c r="W458" s="1259" t="s">
        <v>642</v>
      </c>
      <c r="X458" s="1260"/>
      <c r="Y458" s="126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6"/>
      <c r="H459" s="1527"/>
      <c r="I459" s="1527"/>
      <c r="J459" s="1527"/>
      <c r="K459" s="1527"/>
      <c r="L459" s="1527"/>
      <c r="M459" s="1527"/>
      <c r="N459" s="1527"/>
      <c r="O459" s="1527"/>
      <c r="P459" s="1527"/>
      <c r="Q459" s="1527"/>
      <c r="R459" s="1527"/>
      <c r="S459" s="1527"/>
      <c r="T459" s="1527"/>
      <c r="U459" s="1527"/>
      <c r="V459" s="1528"/>
      <c r="W459" s="1259" t="s">
        <v>642</v>
      </c>
      <c r="X459" s="1260"/>
      <c r="Y459" s="126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9" t="s">
        <v>755</v>
      </c>
      <c r="E463" s="1460"/>
      <c r="F463" s="1460"/>
      <c r="G463" s="1460"/>
      <c r="H463" s="1460"/>
      <c r="I463" s="1460"/>
      <c r="J463" s="1460"/>
      <c r="K463" s="1460"/>
      <c r="L463" s="1460"/>
      <c r="M463" s="1460"/>
      <c r="N463" s="1460"/>
      <c r="O463" s="1460"/>
      <c r="P463" s="1460"/>
      <c r="Q463" s="1460"/>
      <c r="R463" s="1460"/>
      <c r="S463" s="1460"/>
      <c r="T463" s="1460"/>
      <c r="U463" s="1460"/>
      <c r="V463" s="1460"/>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756</v>
      </c>
      <c r="E464" s="1455"/>
      <c r="F464" s="1455"/>
      <c r="G464" s="1455"/>
      <c r="H464" s="1455"/>
      <c r="I464" s="1455"/>
      <c r="J464" s="1455"/>
      <c r="K464" s="1455"/>
      <c r="L464" s="1455"/>
      <c r="M464" s="1455"/>
      <c r="N464" s="1455"/>
      <c r="O464" s="1455"/>
      <c r="P464" s="1455"/>
      <c r="Q464" s="1455"/>
      <c r="R464" s="1455"/>
      <c r="S464" s="1455"/>
      <c r="T464" s="1455"/>
      <c r="U464" s="1455"/>
      <c r="V464" s="1456"/>
      <c r="W464" s="1259" t="s">
        <v>642</v>
      </c>
      <c r="X464" s="1260"/>
      <c r="Y464" s="12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893</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6" t="s">
        <v>894</v>
      </c>
      <c r="U471" s="1467"/>
      <c r="V471" s="1467"/>
      <c r="W471" s="1467"/>
      <c r="X471" s="1467"/>
      <c r="Y471" s="1467"/>
      <c r="Z471" s="1467"/>
      <c r="AA471" s="1467"/>
      <c r="AB471" s="1467"/>
      <c r="AC471" s="1467"/>
      <c r="AD471" s="1467"/>
      <c r="AE471" s="1467"/>
      <c r="AF471" s="1467"/>
      <c r="AG471" s="1467"/>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1" t="s">
        <v>38</v>
      </c>
      <c r="U472" s="1461"/>
      <c r="V472" s="1461"/>
      <c r="W472" s="1461"/>
      <c r="X472" s="1461"/>
      <c r="Y472" s="1461" t="s">
        <v>39</v>
      </c>
      <c r="Z472" s="1461"/>
      <c r="AA472" s="1461"/>
      <c r="AB472" s="1461"/>
      <c r="AC472" s="1461"/>
      <c r="AD472" s="1461" t="s">
        <v>362</v>
      </c>
      <c r="AE472" s="1461"/>
      <c r="AF472" s="1461"/>
      <c r="AG472" s="1461"/>
      <c r="AH472" s="146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1"/>
      <c r="U473" s="1461"/>
      <c r="V473" s="1461"/>
      <c r="W473" s="1461"/>
      <c r="X473" s="1461"/>
      <c r="Y473" s="1461"/>
      <c r="Z473" s="1461"/>
      <c r="AA473" s="1461"/>
      <c r="AB473" s="1461"/>
      <c r="AC473" s="1461"/>
      <c r="AD473" s="1461"/>
      <c r="AE473" s="1461"/>
      <c r="AF473" s="1461"/>
      <c r="AG473" s="1461"/>
      <c r="AH473" s="146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t="s">
        <v>642</v>
      </c>
      <c r="U474" s="1458"/>
      <c r="V474" s="1458"/>
      <c r="W474" s="1458"/>
      <c r="X474" s="1458"/>
      <c r="Y474" s="1458">
        <v>0</v>
      </c>
      <c r="Z474" s="1458"/>
      <c r="AA474" s="1458"/>
      <c r="AB474" s="1458"/>
      <c r="AC474" s="1458"/>
      <c r="AD474" s="1458">
        <v>0</v>
      </c>
      <c r="AE474" s="1458"/>
      <c r="AF474" s="1458"/>
      <c r="AG474" s="1458"/>
      <c r="AH474" s="14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v>43997</v>
      </c>
      <c r="U475" s="1458"/>
      <c r="V475" s="1458"/>
      <c r="W475" s="1458"/>
      <c r="X475" s="1458"/>
      <c r="Y475" s="1458">
        <v>44089</v>
      </c>
      <c r="Z475" s="1458"/>
      <c r="AA475" s="1458"/>
      <c r="AB475" s="1458"/>
      <c r="AC475" s="1458"/>
      <c r="AD475" s="1458" t="s">
        <v>1713</v>
      </c>
      <c r="AE475" s="1458"/>
      <c r="AF475" s="1458"/>
      <c r="AG475" s="1458"/>
      <c r="AH475" s="14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t="s">
        <v>642</v>
      </c>
      <c r="U476" s="1458"/>
      <c r="V476" s="1458"/>
      <c r="W476" s="1458"/>
      <c r="X476" s="1458"/>
      <c r="Y476" s="1458">
        <v>0</v>
      </c>
      <c r="Z476" s="1458"/>
      <c r="AA476" s="1458"/>
      <c r="AB476" s="1458"/>
      <c r="AC476" s="1458"/>
      <c r="AD476" s="1458">
        <v>0</v>
      </c>
      <c r="AE476" s="1458"/>
      <c r="AF476" s="1458"/>
      <c r="AG476" s="1458"/>
      <c r="AH476" s="14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t="s">
        <v>642</v>
      </c>
      <c r="U477" s="1458"/>
      <c r="V477" s="1458"/>
      <c r="W477" s="1458"/>
      <c r="X477" s="1458"/>
      <c r="Y477" s="1458">
        <v>0</v>
      </c>
      <c r="Z477" s="1458"/>
      <c r="AA477" s="1458"/>
      <c r="AB477" s="1458"/>
      <c r="AC477" s="1458"/>
      <c r="AD477" s="1458">
        <v>0</v>
      </c>
      <c r="AE477" s="1458"/>
      <c r="AF477" s="1458"/>
      <c r="AG477" s="1458"/>
      <c r="AH477" s="145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t="s">
        <v>642</v>
      </c>
      <c r="U478" s="1458"/>
      <c r="V478" s="1458"/>
      <c r="W478" s="1458"/>
      <c r="X478" s="1458"/>
      <c r="Y478" s="1458">
        <v>0</v>
      </c>
      <c r="Z478" s="1458"/>
      <c r="AA478" s="1458"/>
      <c r="AB478" s="1458"/>
      <c r="AC478" s="1458"/>
      <c r="AD478" s="1458">
        <v>0</v>
      </c>
      <c r="AE478" s="1458"/>
      <c r="AF478" s="1458"/>
      <c r="AG478" s="1458"/>
      <c r="AH478" s="14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t="s">
        <v>642</v>
      </c>
      <c r="U479" s="1458"/>
      <c r="V479" s="1458"/>
      <c r="W479" s="1458"/>
      <c r="X479" s="1458"/>
      <c r="Y479" s="1458">
        <v>0</v>
      </c>
      <c r="Z479" s="1458"/>
      <c r="AA479" s="1458"/>
      <c r="AB479" s="1458"/>
      <c r="AC479" s="1458"/>
      <c r="AD479" s="1458">
        <v>0</v>
      </c>
      <c r="AE479" s="1458"/>
      <c r="AF479" s="1458"/>
      <c r="AG479" s="1458"/>
      <c r="AH479" s="14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t="s">
        <v>642</v>
      </c>
      <c r="U480" s="1458"/>
      <c r="V480" s="1458"/>
      <c r="W480" s="1458"/>
      <c r="X480" s="1458"/>
      <c r="Y480" s="1458">
        <v>0</v>
      </c>
      <c r="Z480" s="1458"/>
      <c r="AA480" s="1458"/>
      <c r="AB480" s="1458"/>
      <c r="AC480" s="1458"/>
      <c r="AD480" s="1458">
        <v>0</v>
      </c>
      <c r="AE480" s="1458"/>
      <c r="AF480" s="1458"/>
      <c r="AG480" s="1458"/>
      <c r="AH480" s="14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t="s">
        <v>642</v>
      </c>
      <c r="U481" s="1458"/>
      <c r="V481" s="1458"/>
      <c r="W481" s="1458"/>
      <c r="X481" s="1458"/>
      <c r="Y481" s="1458">
        <v>0</v>
      </c>
      <c r="Z481" s="1458"/>
      <c r="AA481" s="1458"/>
      <c r="AB481" s="1458"/>
      <c r="AC481" s="1458"/>
      <c r="AD481" s="1458">
        <v>0</v>
      </c>
      <c r="AE481" s="1458"/>
      <c r="AF481" s="1458"/>
      <c r="AG481" s="1458"/>
      <c r="AH481" s="14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t="s">
        <v>642</v>
      </c>
      <c r="U482" s="1458"/>
      <c r="V482" s="1458"/>
      <c r="W482" s="1458"/>
      <c r="X482" s="1458"/>
      <c r="Y482" s="1458">
        <v>0</v>
      </c>
      <c r="Z482" s="1458"/>
      <c r="AA482" s="1458"/>
      <c r="AB482" s="1458"/>
      <c r="AC482" s="1458"/>
      <c r="AD482" s="1458">
        <v>0</v>
      </c>
      <c r="AE482" s="1458"/>
      <c r="AF482" s="1458"/>
      <c r="AG482" s="1458"/>
      <c r="AH482" s="14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7" t="s">
        <v>642</v>
      </c>
      <c r="U483" s="1458"/>
      <c r="V483" s="1458"/>
      <c r="W483" s="1458"/>
      <c r="X483" s="1458"/>
      <c r="Y483" s="1458">
        <v>0</v>
      </c>
      <c r="Z483" s="1458"/>
      <c r="AA483" s="1458"/>
      <c r="AB483" s="1458"/>
      <c r="AC483" s="1458"/>
      <c r="AD483" s="1458">
        <v>0</v>
      </c>
      <c r="AE483" s="1458"/>
      <c r="AF483" s="1458"/>
      <c r="AG483" s="1458"/>
      <c r="AH483" s="14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3" t="s">
        <v>428</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7" t="s">
        <v>1756</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30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7" t="s">
        <v>1757</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30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7" t="s">
        <v>1758</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30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8" t="s">
        <v>432</v>
      </c>
      <c r="C489" s="1469"/>
      <c r="D489" s="1469"/>
      <c r="E489" s="1469"/>
      <c r="F489" s="1469"/>
      <c r="G489" s="1469"/>
      <c r="H489" s="1469"/>
      <c r="I489" s="1469"/>
      <c r="J489" s="1469"/>
      <c r="K489" s="1469"/>
      <c r="L489" s="1469"/>
      <c r="M489" s="1469"/>
      <c r="N489" s="1469"/>
      <c r="O489" s="1469"/>
      <c r="P489" s="147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1"/>
      <c r="C490" s="1472"/>
      <c r="D490" s="1472"/>
      <c r="E490" s="1472"/>
      <c r="F490" s="1472"/>
      <c r="G490" s="1472"/>
      <c r="H490" s="1472"/>
      <c r="I490" s="1472"/>
      <c r="J490" s="1472"/>
      <c r="K490" s="1472"/>
      <c r="L490" s="1472"/>
      <c r="M490" s="1472"/>
      <c r="N490" s="1472"/>
      <c r="O490" s="1472"/>
      <c r="P490" s="1473"/>
      <c r="Q490" s="1477" t="s">
        <v>723</v>
      </c>
      <c r="R490" s="1478"/>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4"/>
      <c r="C491" s="1475"/>
      <c r="D491" s="1475"/>
      <c r="E491" s="1475"/>
      <c r="F491" s="1475"/>
      <c r="G491" s="1475"/>
      <c r="H491" s="1475"/>
      <c r="I491" s="1475"/>
      <c r="J491" s="1475"/>
      <c r="K491" s="1475"/>
      <c r="L491" s="1475"/>
      <c r="M491" s="1475"/>
      <c r="N491" s="1475"/>
      <c r="O491" s="1475"/>
      <c r="P491" s="1476"/>
      <c r="Q491" s="1479"/>
      <c r="R491" s="1480"/>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7" t="s">
        <v>1758</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30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7" t="s">
        <v>1758</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30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3" t="s">
        <v>436</v>
      </c>
      <c r="AD498" s="1464"/>
      <c r="AE498" s="1464"/>
      <c r="AF498" s="1464"/>
      <c r="AG498" s="1464"/>
      <c r="AH498" s="1464"/>
      <c r="AI498" s="1464"/>
      <c r="AJ498" s="1464"/>
      <c r="AK498" s="146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6" t="s">
        <v>437</v>
      </c>
      <c r="AD499" s="1467"/>
      <c r="AE499" s="1467"/>
      <c r="AF499" s="1467"/>
      <c r="AG499" s="82" t="s">
        <v>438</v>
      </c>
      <c r="AH499" s="1467" t="s">
        <v>439</v>
      </c>
      <c r="AI499" s="1467"/>
      <c r="AJ499" s="1467"/>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1" t="s">
        <v>440</v>
      </c>
      <c r="C500" s="1482"/>
      <c r="D500" s="1482"/>
      <c r="E500" s="1482"/>
      <c r="F500" s="1482"/>
      <c r="G500" s="1482"/>
      <c r="H500" s="1483"/>
      <c r="I500" s="72" t="s">
        <v>441</v>
      </c>
      <c r="J500" s="72"/>
      <c r="K500" s="72"/>
      <c r="L500" s="72"/>
      <c r="M500" s="72"/>
      <c r="N500" s="72"/>
      <c r="O500" s="72"/>
      <c r="P500" s="72"/>
      <c r="Q500" s="72"/>
      <c r="R500" s="72"/>
      <c r="S500" s="72"/>
      <c r="T500" s="72"/>
      <c r="U500" s="72"/>
      <c r="V500" s="72"/>
      <c r="W500" s="72"/>
      <c r="X500" s="25"/>
      <c r="Y500" s="25"/>
      <c r="AC500" s="1462" t="s">
        <v>642</v>
      </c>
      <c r="AD500" s="1421"/>
      <c r="AE500" s="1421"/>
      <c r="AF500" s="1421"/>
      <c r="AG500" s="75" t="s">
        <v>438</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4"/>
      <c r="C501" s="1485"/>
      <c r="D501" s="1485"/>
      <c r="E501" s="1485"/>
      <c r="F501" s="1485"/>
      <c r="G501" s="1485"/>
      <c r="H501" s="1486"/>
      <c r="I501" s="80" t="s">
        <v>442</v>
      </c>
      <c r="J501" s="80"/>
      <c r="K501" s="80"/>
      <c r="L501" s="80"/>
      <c r="M501" s="80"/>
      <c r="N501" s="80"/>
      <c r="O501" s="80"/>
      <c r="P501" s="80"/>
      <c r="Q501" s="80"/>
      <c r="R501" s="80"/>
      <c r="S501" s="80"/>
      <c r="T501" s="80"/>
      <c r="U501" s="80"/>
      <c r="V501" s="80"/>
      <c r="W501" s="80"/>
      <c r="X501" s="80"/>
      <c r="Y501" s="80"/>
      <c r="Z501" s="80"/>
      <c r="AA501" s="80"/>
      <c r="AB501" s="80"/>
      <c r="AC501" s="1462" t="s">
        <v>642</v>
      </c>
      <c r="AD501" s="1421"/>
      <c r="AE501" s="1421"/>
      <c r="AF501" s="1421"/>
      <c r="AG501" s="65" t="s">
        <v>438</v>
      </c>
      <c r="AH501" s="1224"/>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1" t="s">
        <v>443</v>
      </c>
      <c r="C502" s="1482"/>
      <c r="D502" s="1482"/>
      <c r="E502" s="1482"/>
      <c r="F502" s="1482"/>
      <c r="G502" s="1482"/>
      <c r="H502" s="1483"/>
      <c r="I502" s="72" t="s">
        <v>444</v>
      </c>
      <c r="J502" s="72"/>
      <c r="K502" s="72"/>
      <c r="L502" s="72"/>
      <c r="M502" s="72"/>
      <c r="N502" s="72"/>
      <c r="O502" s="72"/>
      <c r="P502" s="72"/>
      <c r="Q502" s="72"/>
      <c r="R502" s="72"/>
      <c r="S502" s="72"/>
      <c r="T502" s="72"/>
      <c r="U502" s="72"/>
      <c r="V502" s="72"/>
      <c r="W502" s="72"/>
      <c r="X502" s="25"/>
      <c r="Y502" s="25"/>
      <c r="AC502" s="1462" t="s">
        <v>642</v>
      </c>
      <c r="AD502" s="1421"/>
      <c r="AE502" s="1421"/>
      <c r="AF502" s="1421"/>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4"/>
      <c r="C503" s="1485"/>
      <c r="D503" s="1485"/>
      <c r="E503" s="1485"/>
      <c r="F503" s="1485"/>
      <c r="G503" s="1485"/>
      <c r="H503" s="1486"/>
      <c r="I503" s="25" t="s">
        <v>445</v>
      </c>
      <c r="J503" s="25"/>
      <c r="K503" s="25"/>
      <c r="L503" s="25"/>
      <c r="M503" s="25"/>
      <c r="N503" s="25"/>
      <c r="O503" s="25"/>
      <c r="P503" s="25"/>
      <c r="Q503" s="25"/>
      <c r="R503" s="25"/>
      <c r="S503" s="25"/>
      <c r="T503" s="25"/>
      <c r="U503" s="25"/>
      <c r="V503" s="25"/>
      <c r="W503" s="25"/>
      <c r="X503" s="25"/>
      <c r="Y503" s="25"/>
      <c r="AC503" s="1462" t="s">
        <v>642</v>
      </c>
      <c r="AD503" s="1421"/>
      <c r="AE503" s="1421"/>
      <c r="AF503" s="1421"/>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4"/>
      <c r="C504" s="1485"/>
      <c r="D504" s="1485"/>
      <c r="E504" s="1485"/>
      <c r="F504" s="1485"/>
      <c r="G504" s="1485"/>
      <c r="H504" s="1486"/>
      <c r="I504" s="25" t="s">
        <v>446</v>
      </c>
      <c r="J504" s="25"/>
      <c r="K504" s="25"/>
      <c r="L504" s="25"/>
      <c r="M504" s="25"/>
      <c r="N504" s="25"/>
      <c r="O504" s="25"/>
      <c r="P504" s="25"/>
      <c r="Q504" s="25"/>
      <c r="R504" s="25"/>
      <c r="S504" s="25"/>
      <c r="T504" s="25"/>
      <c r="U504" s="25"/>
      <c r="V504" s="25"/>
      <c r="W504" s="25"/>
      <c r="X504" s="25"/>
      <c r="Y504" s="25"/>
      <c r="AC504" s="1462" t="s">
        <v>642</v>
      </c>
      <c r="AD504" s="1421"/>
      <c r="AE504" s="1421"/>
      <c r="AF504" s="1421"/>
      <c r="AG504" s="75" t="s">
        <v>438</v>
      </c>
      <c r="AH504" s="1224"/>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4"/>
      <c r="C505" s="1485"/>
      <c r="D505" s="1485"/>
      <c r="E505" s="1485"/>
      <c r="F505" s="1485"/>
      <c r="G505" s="1485"/>
      <c r="H505" s="1486"/>
      <c r="I505" s="25" t="s">
        <v>447</v>
      </c>
      <c r="J505" s="25"/>
      <c r="K505" s="25"/>
      <c r="L505" s="25"/>
      <c r="M505" s="25"/>
      <c r="N505" s="25"/>
      <c r="O505" s="25"/>
      <c r="P505" s="25"/>
      <c r="Q505" s="25"/>
      <c r="R505" s="25"/>
      <c r="S505" s="25"/>
      <c r="T505" s="25"/>
      <c r="U505" s="25"/>
      <c r="V505" s="25"/>
      <c r="W505" s="25"/>
      <c r="X505" s="25"/>
      <c r="Y505" s="25"/>
      <c r="AC505" s="1462" t="s">
        <v>642</v>
      </c>
      <c r="AD505" s="1421"/>
      <c r="AE505" s="1421"/>
      <c r="AF505" s="1421"/>
      <c r="AG505" s="75" t="s">
        <v>438</v>
      </c>
      <c r="AH505" s="1224"/>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484"/>
      <c r="C506" s="1485"/>
      <c r="D506" s="1485"/>
      <c r="E506" s="1485"/>
      <c r="F506" s="1485"/>
      <c r="G506" s="1485"/>
      <c r="H506" s="1486"/>
      <c r="I506" s="80" t="s">
        <v>448</v>
      </c>
      <c r="J506" s="80"/>
      <c r="K506" s="80"/>
      <c r="L506" s="80"/>
      <c r="M506" s="80"/>
      <c r="N506" s="80"/>
      <c r="O506" s="80"/>
      <c r="P506" s="80"/>
      <c r="Q506" s="80"/>
      <c r="R506" s="80"/>
      <c r="S506" s="80"/>
      <c r="T506" s="80"/>
      <c r="U506" s="80"/>
      <c r="V506" s="80"/>
      <c r="W506" s="80"/>
      <c r="X506" s="80"/>
      <c r="Y506" s="80"/>
      <c r="Z506" s="80"/>
      <c r="AA506" s="80"/>
      <c r="AB506" s="80"/>
      <c r="AC506" s="1462" t="s">
        <v>642</v>
      </c>
      <c r="AD506" s="1421"/>
      <c r="AE506" s="1421"/>
      <c r="AF506" s="1421"/>
      <c r="AG506" s="65" t="s">
        <v>438</v>
      </c>
      <c r="AH506" s="1224"/>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1" t="s">
        <v>449</v>
      </c>
      <c r="C507" s="1482"/>
      <c r="D507" s="1482"/>
      <c r="E507" s="1482"/>
      <c r="F507" s="1482"/>
      <c r="G507" s="1482"/>
      <c r="H507" s="1483"/>
      <c r="I507" s="72" t="s">
        <v>450</v>
      </c>
      <c r="J507" s="72"/>
      <c r="K507" s="72"/>
      <c r="L507" s="72"/>
      <c r="M507" s="72"/>
      <c r="N507" s="72"/>
      <c r="O507" s="72"/>
      <c r="P507" s="72"/>
      <c r="Q507" s="72"/>
      <c r="R507" s="72"/>
      <c r="S507" s="72"/>
      <c r="T507" s="72"/>
      <c r="U507" s="72"/>
      <c r="V507" s="72"/>
      <c r="W507" s="72"/>
      <c r="X507" s="25"/>
      <c r="Y507" s="25"/>
      <c r="AC507" s="1462">
        <v>8</v>
      </c>
      <c r="AD507" s="1421"/>
      <c r="AE507" s="1421"/>
      <c r="AF507" s="1421"/>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4"/>
      <c r="C508" s="1485"/>
      <c r="D508" s="1485"/>
      <c r="E508" s="1485"/>
      <c r="F508" s="1485"/>
      <c r="G508" s="1485"/>
      <c r="H508" s="1486"/>
      <c r="I508" s="25" t="s">
        <v>451</v>
      </c>
      <c r="J508" s="25"/>
      <c r="K508" s="25"/>
      <c r="L508" s="25"/>
      <c r="M508" s="25"/>
      <c r="N508" s="25"/>
      <c r="O508" s="25"/>
      <c r="P508" s="25"/>
      <c r="Q508" s="25"/>
      <c r="R508" s="25"/>
      <c r="S508" s="25"/>
      <c r="T508" s="25"/>
      <c r="U508" s="25"/>
      <c r="V508" s="25"/>
      <c r="W508" s="25"/>
      <c r="X508" s="25"/>
      <c r="Y508" s="25"/>
      <c r="AC508" s="1462">
        <v>10</v>
      </c>
      <c r="AD508" s="1421"/>
      <c r="AE508" s="1421"/>
      <c r="AF508" s="1421"/>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4"/>
      <c r="C509" s="1485"/>
      <c r="D509" s="1485"/>
      <c r="E509" s="1485"/>
      <c r="F509" s="1485"/>
      <c r="G509" s="1485"/>
      <c r="H509" s="1486"/>
      <c r="I509" s="80" t="s">
        <v>452</v>
      </c>
      <c r="J509" s="80"/>
      <c r="K509" s="80"/>
      <c r="L509" s="80"/>
      <c r="M509" s="80"/>
      <c r="N509" s="80"/>
      <c r="O509" s="80"/>
      <c r="P509" s="80"/>
      <c r="Q509" s="80"/>
      <c r="R509" s="80"/>
      <c r="S509" s="80"/>
      <c r="T509" s="80"/>
      <c r="U509" s="80"/>
      <c r="V509" s="80"/>
      <c r="W509" s="80"/>
      <c r="X509" s="80"/>
      <c r="Y509" s="80"/>
      <c r="Z509" s="80"/>
      <c r="AA509" s="80"/>
      <c r="AB509" s="80"/>
      <c r="AC509" s="1462">
        <v>1</v>
      </c>
      <c r="AD509" s="1421"/>
      <c r="AE509" s="1421"/>
      <c r="AF509" s="1421"/>
      <c r="AG509" s="65" t="s">
        <v>438</v>
      </c>
      <c r="AH509" s="1224">
        <v>2021</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1" t="s">
        <v>453</v>
      </c>
      <c r="C510" s="1482"/>
      <c r="D510" s="1482"/>
      <c r="E510" s="1482"/>
      <c r="F510" s="1482"/>
      <c r="G510" s="1482"/>
      <c r="H510" s="1483"/>
      <c r="I510" s="72" t="s">
        <v>450</v>
      </c>
      <c r="J510" s="72"/>
      <c r="K510" s="72"/>
      <c r="L510" s="72"/>
      <c r="M510" s="72"/>
      <c r="N510" s="72"/>
      <c r="O510" s="72"/>
      <c r="P510" s="72"/>
      <c r="Q510" s="72"/>
      <c r="R510" s="72"/>
      <c r="S510" s="72"/>
      <c r="T510" s="72"/>
      <c r="U510" s="72"/>
      <c r="V510" s="72"/>
      <c r="W510" s="72"/>
      <c r="X510" s="72"/>
      <c r="Y510" s="72"/>
      <c r="Z510" s="72"/>
      <c r="AA510" s="72"/>
      <c r="AB510" s="72"/>
      <c r="AC510" s="1164">
        <v>8</v>
      </c>
      <c r="AD510" s="1165"/>
      <c r="AE510" s="1165"/>
      <c r="AF510" s="1165"/>
      <c r="AG510" s="204" t="s">
        <v>438</v>
      </c>
      <c r="AH510" s="1224">
        <v>2020</v>
      </c>
      <c r="AI510" s="1224"/>
      <c r="AJ510" s="1224"/>
      <c r="AK510" s="12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4"/>
      <c r="C511" s="1485"/>
      <c r="D511" s="1485"/>
      <c r="E511" s="1485"/>
      <c r="F511" s="1485"/>
      <c r="G511" s="1485"/>
      <c r="H511" s="1486"/>
      <c r="I511" s="25" t="s">
        <v>451</v>
      </c>
      <c r="J511" s="25"/>
      <c r="K511" s="25"/>
      <c r="L511" s="25"/>
      <c r="M511" s="25"/>
      <c r="N511" s="25"/>
      <c r="O511" s="25"/>
      <c r="P511" s="25"/>
      <c r="Q511" s="25"/>
      <c r="R511" s="25"/>
      <c r="S511" s="25"/>
      <c r="T511" s="25"/>
      <c r="U511" s="25"/>
      <c r="V511" s="25"/>
      <c r="W511" s="25"/>
      <c r="X511" s="25"/>
      <c r="Y511" s="25"/>
      <c r="Z511" s="25"/>
      <c r="AA511" s="25"/>
      <c r="AB511" s="25"/>
      <c r="AC511" s="1462">
        <v>10</v>
      </c>
      <c r="AD511" s="1421"/>
      <c r="AE511" s="1421"/>
      <c r="AF511" s="1421"/>
      <c r="AG511" s="75" t="s">
        <v>438</v>
      </c>
      <c r="AH511" s="1224">
        <v>2020</v>
      </c>
      <c r="AI511" s="1224"/>
      <c r="AJ511" s="1224"/>
      <c r="AK511" s="12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7"/>
      <c r="C512" s="1488"/>
      <c r="D512" s="1488"/>
      <c r="E512" s="1488"/>
      <c r="F512" s="1488"/>
      <c r="G512" s="1488"/>
      <c r="H512" s="1489"/>
      <c r="I512" s="80" t="s">
        <v>452</v>
      </c>
      <c r="J512" s="80"/>
      <c r="K512" s="80"/>
      <c r="L512" s="80"/>
      <c r="M512" s="80"/>
      <c r="N512" s="80"/>
      <c r="O512" s="80"/>
      <c r="P512" s="80"/>
      <c r="Q512" s="80"/>
      <c r="R512" s="80"/>
      <c r="S512" s="80"/>
      <c r="T512" s="80"/>
      <c r="U512" s="80"/>
      <c r="V512" s="80"/>
      <c r="W512" s="80"/>
      <c r="X512" s="80"/>
      <c r="Y512" s="80"/>
      <c r="Z512" s="80"/>
      <c r="AA512" s="80"/>
      <c r="AB512" s="80"/>
      <c r="AC512" s="1462">
        <v>12</v>
      </c>
      <c r="AD512" s="1421"/>
      <c r="AE512" s="1421"/>
      <c r="AF512" s="1421"/>
      <c r="AG512" s="65" t="s">
        <v>438</v>
      </c>
      <c r="AH512" s="1224">
        <v>2022</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1" t="s">
        <v>454</v>
      </c>
      <c r="C513" s="1482"/>
      <c r="D513" s="1482"/>
      <c r="E513" s="1482"/>
      <c r="F513" s="1482"/>
      <c r="G513" s="1482"/>
      <c r="H513" s="1483"/>
      <c r="I513" s="71" t="s">
        <v>455</v>
      </c>
      <c r="J513" s="72"/>
      <c r="K513" s="72"/>
      <c r="L513" s="72"/>
      <c r="M513" s="72"/>
      <c r="N513" s="72"/>
      <c r="O513" s="1215" t="s">
        <v>1759</v>
      </c>
      <c r="P513" s="1116"/>
      <c r="Q513" s="1116"/>
      <c r="R513" s="1116"/>
      <c r="S513" s="1116"/>
      <c r="T513" s="1116"/>
      <c r="U513" s="1116"/>
      <c r="V513" s="1116"/>
      <c r="W513" s="1116"/>
      <c r="X513" s="1116"/>
      <c r="Y513" s="1116"/>
      <c r="Z513" s="1116"/>
      <c r="AA513" s="1116"/>
      <c r="AB513" s="94"/>
      <c r="AC513" s="1164" t="s">
        <v>642</v>
      </c>
      <c r="AD513" s="1165"/>
      <c r="AE513" s="1165"/>
      <c r="AF513" s="1165"/>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4"/>
      <c r="C514" s="1485"/>
      <c r="D514" s="1485"/>
      <c r="E514" s="1485"/>
      <c r="F514" s="1485"/>
      <c r="G514" s="1485"/>
      <c r="H514" s="1486"/>
      <c r="I514" s="175" t="s">
        <v>456</v>
      </c>
      <c r="J514" s="25"/>
      <c r="K514" s="25"/>
      <c r="L514" s="25"/>
      <c r="M514" s="25"/>
      <c r="N514" s="25"/>
      <c r="O514" s="25"/>
      <c r="P514" s="25"/>
      <c r="Q514" s="25"/>
      <c r="R514" s="25"/>
      <c r="S514" s="25"/>
      <c r="T514" s="25"/>
      <c r="U514" s="25"/>
      <c r="V514" s="25"/>
      <c r="W514" s="25"/>
      <c r="X514" s="25"/>
      <c r="Y514" s="25"/>
      <c r="Z514" s="25"/>
      <c r="AA514" s="25"/>
      <c r="AB514" s="101"/>
      <c r="AC514" s="1462">
        <v>7</v>
      </c>
      <c r="AD514" s="1421"/>
      <c r="AE514" s="1421"/>
      <c r="AF514" s="1421"/>
      <c r="AG514" s="75" t="s">
        <v>438</v>
      </c>
      <c r="AH514" s="1224">
        <v>2019</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4"/>
      <c r="C515" s="1485"/>
      <c r="D515" s="1485"/>
      <c r="E515" s="1485"/>
      <c r="F515" s="1485"/>
      <c r="G515" s="1485"/>
      <c r="H515" s="1486"/>
      <c r="I515" s="79" t="s">
        <v>457</v>
      </c>
      <c r="J515" s="80"/>
      <c r="K515" s="80"/>
      <c r="L515" s="80"/>
      <c r="M515" s="80"/>
      <c r="N515" s="80"/>
      <c r="O515" s="80"/>
      <c r="P515" s="80"/>
      <c r="Q515" s="80"/>
      <c r="R515" s="80"/>
      <c r="S515" s="80"/>
      <c r="T515" s="80"/>
      <c r="U515" s="80"/>
      <c r="V515" s="80"/>
      <c r="W515" s="80"/>
      <c r="X515" s="80"/>
      <c r="Y515" s="80"/>
      <c r="Z515" s="80"/>
      <c r="AA515" s="80"/>
      <c r="AB515" s="81"/>
      <c r="AC515" s="1462">
        <v>7</v>
      </c>
      <c r="AD515" s="1421"/>
      <c r="AE515" s="1421"/>
      <c r="AF515" s="1421"/>
      <c r="AG515" s="65" t="s">
        <v>438</v>
      </c>
      <c r="AH515" s="1224">
        <v>2020</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4"/>
      <c r="C516" s="1485"/>
      <c r="D516" s="1485"/>
      <c r="E516" s="1485"/>
      <c r="F516" s="1485"/>
      <c r="G516" s="1485"/>
      <c r="H516" s="1486"/>
      <c r="I516" s="72" t="s">
        <v>458</v>
      </c>
      <c r="J516" s="72"/>
      <c r="K516" s="72"/>
      <c r="L516" s="72"/>
      <c r="M516" s="72"/>
      <c r="N516" s="72"/>
      <c r="O516" s="1093" t="s">
        <v>1760</v>
      </c>
      <c r="P516" s="1095"/>
      <c r="Q516" s="1095"/>
      <c r="R516" s="1095"/>
      <c r="S516" s="1095"/>
      <c r="T516" s="1095"/>
      <c r="U516" s="1095"/>
      <c r="V516" s="1095"/>
      <c r="W516" s="1095"/>
      <c r="X516" s="1095"/>
      <c r="Y516" s="1095"/>
      <c r="Z516" s="1095"/>
      <c r="AA516" s="1095"/>
      <c r="AC516" s="1462" t="s">
        <v>642</v>
      </c>
      <c r="AD516" s="1421"/>
      <c r="AE516" s="1421"/>
      <c r="AF516" s="1421"/>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4"/>
      <c r="C517" s="1485"/>
      <c r="D517" s="1485"/>
      <c r="E517" s="1485"/>
      <c r="F517" s="1485"/>
      <c r="G517" s="1485"/>
      <c r="H517" s="1486"/>
      <c r="I517" s="25" t="s">
        <v>456</v>
      </c>
      <c r="J517" s="25"/>
      <c r="K517" s="25"/>
      <c r="L517" s="25"/>
      <c r="M517" s="25"/>
      <c r="N517" s="25"/>
      <c r="O517" s="25"/>
      <c r="P517" s="25"/>
      <c r="Q517" s="25"/>
      <c r="R517" s="25"/>
      <c r="S517" s="25"/>
      <c r="T517" s="25"/>
      <c r="U517" s="25"/>
      <c r="V517" s="25"/>
      <c r="W517" s="25"/>
      <c r="X517" s="25"/>
      <c r="Y517" s="25"/>
      <c r="AC517" s="1462">
        <v>1</v>
      </c>
      <c r="AD517" s="1421"/>
      <c r="AE517" s="1421"/>
      <c r="AF517" s="1421"/>
      <c r="AG517" s="75" t="s">
        <v>438</v>
      </c>
      <c r="AH517" s="1224">
        <v>2020</v>
      </c>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4"/>
      <c r="C518" s="1485"/>
      <c r="D518" s="1485"/>
      <c r="E518" s="1485"/>
      <c r="F518" s="1485"/>
      <c r="G518" s="1485"/>
      <c r="H518" s="1486"/>
      <c r="I518" s="80" t="s">
        <v>457</v>
      </c>
      <c r="J518" s="80"/>
      <c r="K518" s="80"/>
      <c r="L518" s="80"/>
      <c r="M518" s="80"/>
      <c r="N518" s="80"/>
      <c r="O518" s="80"/>
      <c r="P518" s="80"/>
      <c r="Q518" s="80"/>
      <c r="R518" s="80"/>
      <c r="S518" s="80"/>
      <c r="T518" s="80"/>
      <c r="U518" s="80"/>
      <c r="V518" s="80"/>
      <c r="W518" s="80"/>
      <c r="X518" s="80"/>
      <c r="Y518" s="80"/>
      <c r="Z518" s="80"/>
      <c r="AA518" s="80"/>
      <c r="AB518" s="80"/>
      <c r="AC518" s="1462">
        <v>7</v>
      </c>
      <c r="AD518" s="1421"/>
      <c r="AE518" s="1421"/>
      <c r="AF518" s="1421"/>
      <c r="AG518" s="65" t="s">
        <v>438</v>
      </c>
      <c r="AH518" s="1224">
        <v>2020</v>
      </c>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4"/>
      <c r="C519" s="1485"/>
      <c r="D519" s="1485"/>
      <c r="E519" s="1485"/>
      <c r="F519" s="1485"/>
      <c r="G519" s="1485"/>
      <c r="H519" s="1486"/>
      <c r="I519" s="72" t="s">
        <v>458</v>
      </c>
      <c r="J519" s="72"/>
      <c r="K519" s="72"/>
      <c r="L519" s="72"/>
      <c r="M519" s="72"/>
      <c r="N519" s="72"/>
      <c r="O519" s="1095" t="s">
        <v>1761</v>
      </c>
      <c r="P519" s="1095"/>
      <c r="Q519" s="1095"/>
      <c r="R519" s="1095"/>
      <c r="S519" s="1095"/>
      <c r="T519" s="1095"/>
      <c r="U519" s="1095"/>
      <c r="V519" s="1095"/>
      <c r="W519" s="1095"/>
      <c r="X519" s="1095"/>
      <c r="Y519" s="1095"/>
      <c r="Z519" s="1095"/>
      <c r="AA519" s="1095"/>
      <c r="AC519" s="1462" t="s">
        <v>642</v>
      </c>
      <c r="AD519" s="1421"/>
      <c r="AE519" s="1421"/>
      <c r="AF519" s="1421"/>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4"/>
      <c r="C520" s="1485"/>
      <c r="D520" s="1485"/>
      <c r="E520" s="1485"/>
      <c r="F520" s="1485"/>
      <c r="G520" s="1485"/>
      <c r="H520" s="1486"/>
      <c r="I520" s="25" t="s">
        <v>456</v>
      </c>
      <c r="J520" s="25"/>
      <c r="K520" s="25"/>
      <c r="L520" s="25"/>
      <c r="M520" s="25"/>
      <c r="N520" s="25"/>
      <c r="O520" s="25"/>
      <c r="P520" s="25"/>
      <c r="Q520" s="25"/>
      <c r="R520" s="25"/>
      <c r="S520" s="25"/>
      <c r="T520" s="25"/>
      <c r="U520" s="25"/>
      <c r="V520" s="25"/>
      <c r="W520" s="25"/>
      <c r="X520" s="25"/>
      <c r="Y520" s="25"/>
      <c r="AC520" s="1462">
        <v>1</v>
      </c>
      <c r="AD520" s="1421"/>
      <c r="AE520" s="1421"/>
      <c r="AF520" s="1421"/>
      <c r="AG520" s="75" t="s">
        <v>438</v>
      </c>
      <c r="AH520" s="1224">
        <v>2020</v>
      </c>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4"/>
      <c r="C521" s="1485"/>
      <c r="D521" s="1485"/>
      <c r="E521" s="1485"/>
      <c r="F521" s="1485"/>
      <c r="G521" s="1485"/>
      <c r="H521" s="1486"/>
      <c r="I521" s="80" t="s">
        <v>457</v>
      </c>
      <c r="J521" s="80"/>
      <c r="K521" s="80"/>
      <c r="L521" s="80"/>
      <c r="M521" s="80"/>
      <c r="N521" s="80"/>
      <c r="O521" s="80"/>
      <c r="P521" s="80"/>
      <c r="Q521" s="80"/>
      <c r="R521" s="80"/>
      <c r="S521" s="80"/>
      <c r="T521" s="80"/>
      <c r="U521" s="80"/>
      <c r="V521" s="80"/>
      <c r="W521" s="80"/>
      <c r="X521" s="80"/>
      <c r="Y521" s="80"/>
      <c r="Z521" s="80"/>
      <c r="AA521" s="80"/>
      <c r="AB521" s="80"/>
      <c r="AC521" s="1462">
        <v>1</v>
      </c>
      <c r="AD521" s="1421"/>
      <c r="AE521" s="1421"/>
      <c r="AF521" s="1421"/>
      <c r="AG521" s="65" t="s">
        <v>438</v>
      </c>
      <c r="AH521" s="1224">
        <v>2021</v>
      </c>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4"/>
      <c r="C522" s="1485"/>
      <c r="D522" s="1485"/>
      <c r="E522" s="1485"/>
      <c r="F522" s="1485"/>
      <c r="G522" s="1485"/>
      <c r="H522" s="1486"/>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62" t="s">
        <v>642</v>
      </c>
      <c r="AD522" s="1421"/>
      <c r="AE522" s="1421"/>
      <c r="AF522" s="1421"/>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4"/>
      <c r="C523" s="1485"/>
      <c r="D523" s="1485"/>
      <c r="E523" s="1485"/>
      <c r="F523" s="1485"/>
      <c r="G523" s="1485"/>
      <c r="H523" s="1486"/>
      <c r="I523" s="25" t="s">
        <v>456</v>
      </c>
      <c r="J523" s="25"/>
      <c r="K523" s="25"/>
      <c r="L523" s="25"/>
      <c r="M523" s="25"/>
      <c r="N523" s="25"/>
      <c r="O523" s="25"/>
      <c r="P523" s="25"/>
      <c r="Q523" s="25"/>
      <c r="R523" s="25"/>
      <c r="S523" s="25"/>
      <c r="T523" s="25"/>
      <c r="U523" s="25"/>
      <c r="V523" s="25"/>
      <c r="W523" s="25"/>
      <c r="X523" s="25"/>
      <c r="Y523" s="25"/>
      <c r="AC523" s="1462" t="s">
        <v>642</v>
      </c>
      <c r="AD523" s="1421"/>
      <c r="AE523" s="1421"/>
      <c r="AF523" s="1421"/>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4"/>
      <c r="C524" s="1485"/>
      <c r="D524" s="1485"/>
      <c r="E524" s="1485"/>
      <c r="F524" s="1485"/>
      <c r="G524" s="1485"/>
      <c r="H524" s="1486"/>
      <c r="I524" s="80" t="s">
        <v>457</v>
      </c>
      <c r="J524" s="80"/>
      <c r="K524" s="80"/>
      <c r="L524" s="80"/>
      <c r="M524" s="80"/>
      <c r="N524" s="80"/>
      <c r="O524" s="80"/>
      <c r="P524" s="80"/>
      <c r="Q524" s="80"/>
      <c r="R524" s="80"/>
      <c r="S524" s="80"/>
      <c r="T524" s="80"/>
      <c r="U524" s="80"/>
      <c r="V524" s="80"/>
      <c r="W524" s="80"/>
      <c r="X524" s="80"/>
      <c r="Y524" s="80"/>
      <c r="Z524" s="80"/>
      <c r="AA524" s="80"/>
      <c r="AB524" s="80"/>
      <c r="AC524" s="1462" t="s">
        <v>642</v>
      </c>
      <c r="AD524" s="1421"/>
      <c r="AE524" s="1421"/>
      <c r="AF524" s="1421"/>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4"/>
      <c r="C525" s="1485"/>
      <c r="D525" s="1485"/>
      <c r="E525" s="1485"/>
      <c r="F525" s="1485"/>
      <c r="G525" s="1485"/>
      <c r="H525" s="1486"/>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62" t="s">
        <v>642</v>
      </c>
      <c r="AD525" s="1421"/>
      <c r="AE525" s="1421"/>
      <c r="AF525" s="1421"/>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4"/>
      <c r="C526" s="1485"/>
      <c r="D526" s="1485"/>
      <c r="E526" s="1485"/>
      <c r="F526" s="1485"/>
      <c r="G526" s="1485"/>
      <c r="H526" s="1486"/>
      <c r="I526" s="25" t="s">
        <v>456</v>
      </c>
      <c r="J526" s="25"/>
      <c r="K526" s="25"/>
      <c r="L526" s="25"/>
      <c r="M526" s="25"/>
      <c r="N526" s="25"/>
      <c r="O526" s="25"/>
      <c r="P526" s="25"/>
      <c r="Q526" s="25"/>
      <c r="R526" s="25"/>
      <c r="S526" s="25"/>
      <c r="T526" s="25"/>
      <c r="U526" s="25"/>
      <c r="V526" s="25"/>
      <c r="W526" s="25"/>
      <c r="X526" s="25"/>
      <c r="Y526" s="25"/>
      <c r="AC526" s="1462" t="s">
        <v>642</v>
      </c>
      <c r="AD526" s="1421"/>
      <c r="AE526" s="1421"/>
      <c r="AF526" s="1421"/>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4"/>
      <c r="C527" s="1485"/>
      <c r="D527" s="1485"/>
      <c r="E527" s="1485"/>
      <c r="F527" s="1485"/>
      <c r="G527" s="1485"/>
      <c r="H527" s="1486"/>
      <c r="I527" s="80" t="s">
        <v>457</v>
      </c>
      <c r="J527" s="80"/>
      <c r="K527" s="80"/>
      <c r="L527" s="80"/>
      <c r="M527" s="80"/>
      <c r="N527" s="80"/>
      <c r="O527" s="80"/>
      <c r="P527" s="80"/>
      <c r="Q527" s="80"/>
      <c r="R527" s="80"/>
      <c r="S527" s="80"/>
      <c r="T527" s="80"/>
      <c r="U527" s="80"/>
      <c r="V527" s="80"/>
      <c r="W527" s="80"/>
      <c r="X527" s="80"/>
      <c r="Y527" s="80"/>
      <c r="Z527" s="80"/>
      <c r="AA527" s="80"/>
      <c r="AB527" s="80"/>
      <c r="AC527" s="1462" t="s">
        <v>642</v>
      </c>
      <c r="AD527" s="1421"/>
      <c r="AE527" s="1421"/>
      <c r="AF527" s="1421"/>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4"/>
      <c r="C528" s="1485"/>
      <c r="D528" s="1485"/>
      <c r="E528" s="1485"/>
      <c r="F528" s="1485"/>
      <c r="G528" s="1485"/>
      <c r="H528" s="1486"/>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62" t="s">
        <v>642</v>
      </c>
      <c r="AD528" s="1421"/>
      <c r="AE528" s="1421"/>
      <c r="AF528" s="1421"/>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4"/>
      <c r="C529" s="1485"/>
      <c r="D529" s="1485"/>
      <c r="E529" s="1485"/>
      <c r="F529" s="1485"/>
      <c r="G529" s="1485"/>
      <c r="H529" s="1486"/>
      <c r="I529" s="25" t="s">
        <v>456</v>
      </c>
      <c r="J529" s="25"/>
      <c r="K529" s="25"/>
      <c r="L529" s="25"/>
      <c r="M529" s="25"/>
      <c r="N529" s="25"/>
      <c r="O529" s="25"/>
      <c r="P529" s="25"/>
      <c r="Q529" s="25"/>
      <c r="R529" s="25"/>
      <c r="S529" s="25"/>
      <c r="T529" s="25"/>
      <c r="U529" s="25"/>
      <c r="V529" s="25"/>
      <c r="W529" s="25"/>
      <c r="X529" s="25"/>
      <c r="Y529" s="25"/>
      <c r="AC529" s="1462" t="s">
        <v>642</v>
      </c>
      <c r="AD529" s="1421"/>
      <c r="AE529" s="1421"/>
      <c r="AF529" s="1421"/>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4"/>
      <c r="C530" s="1485"/>
      <c r="D530" s="1485"/>
      <c r="E530" s="1485"/>
      <c r="F530" s="1485"/>
      <c r="G530" s="1485"/>
      <c r="H530" s="1486"/>
      <c r="I530" s="80" t="s">
        <v>457</v>
      </c>
      <c r="J530" s="80"/>
      <c r="K530" s="80"/>
      <c r="L530" s="80"/>
      <c r="M530" s="80"/>
      <c r="N530" s="80"/>
      <c r="O530" s="80"/>
      <c r="P530" s="80"/>
      <c r="Q530" s="80"/>
      <c r="R530" s="80"/>
      <c r="S530" s="80"/>
      <c r="T530" s="80"/>
      <c r="U530" s="80"/>
      <c r="V530" s="80"/>
      <c r="W530" s="80"/>
      <c r="X530" s="80"/>
      <c r="Y530" s="80"/>
      <c r="Z530" s="80"/>
      <c r="AA530" s="80"/>
      <c r="AB530" s="80"/>
      <c r="AC530" s="1462" t="s">
        <v>642</v>
      </c>
      <c r="AD530" s="1421"/>
      <c r="AE530" s="1421"/>
      <c r="AF530" s="1421"/>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4"/>
      <c r="C531" s="1485"/>
      <c r="D531" s="1485"/>
      <c r="E531" s="1485"/>
      <c r="F531" s="1485"/>
      <c r="G531" s="1485"/>
      <c r="H531" s="1486"/>
      <c r="I531" s="72" t="s">
        <v>611</v>
      </c>
      <c r="J531" s="72"/>
      <c r="K531" s="72"/>
      <c r="L531" s="72"/>
      <c r="M531" s="72"/>
      <c r="N531" s="72"/>
      <c r="O531" s="72"/>
      <c r="P531" s="72"/>
      <c r="Q531" s="72"/>
      <c r="R531" s="72"/>
      <c r="S531" s="72"/>
      <c r="T531" s="72"/>
      <c r="U531" s="72"/>
      <c r="V531" s="72"/>
      <c r="W531" s="72"/>
      <c r="X531" s="25"/>
      <c r="Y531" s="25"/>
      <c r="AC531" s="1462" t="s">
        <v>642</v>
      </c>
      <c r="AD531" s="1421"/>
      <c r="AE531" s="1421"/>
      <c r="AF531" s="1421"/>
      <c r="AG531" s="65" t="s">
        <v>438</v>
      </c>
      <c r="AH531" s="1224"/>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4"/>
      <c r="C532" s="1485"/>
      <c r="D532" s="1485"/>
      <c r="E532" s="1485"/>
      <c r="F532" s="1485"/>
      <c r="G532" s="1485"/>
      <c r="H532" s="1486"/>
      <c r="I532" s="25" t="s">
        <v>612</v>
      </c>
      <c r="J532" s="25"/>
      <c r="K532" s="25"/>
      <c r="L532" s="25"/>
      <c r="M532" s="25"/>
      <c r="N532" s="25"/>
      <c r="O532" s="25"/>
      <c r="P532" s="25"/>
      <c r="Q532" s="25"/>
      <c r="R532" s="25"/>
      <c r="S532" s="25"/>
      <c r="T532" s="25"/>
      <c r="U532" s="25"/>
      <c r="V532" s="25"/>
      <c r="W532" s="25"/>
      <c r="X532" s="25"/>
      <c r="Y532" s="25"/>
      <c r="AC532" s="1462">
        <v>1</v>
      </c>
      <c r="AD532" s="1421"/>
      <c r="AE532" s="1421"/>
      <c r="AF532" s="1421"/>
      <c r="AG532" s="75" t="s">
        <v>438</v>
      </c>
      <c r="AH532" s="1224">
        <v>2021</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4"/>
      <c r="C533" s="1485"/>
      <c r="D533" s="1485"/>
      <c r="E533" s="1485"/>
      <c r="F533" s="1485"/>
      <c r="G533" s="1485"/>
      <c r="H533" s="1486"/>
      <c r="I533" s="25" t="s">
        <v>613</v>
      </c>
      <c r="J533" s="25"/>
      <c r="K533" s="25"/>
      <c r="L533" s="25"/>
      <c r="M533" s="25"/>
      <c r="N533" s="25"/>
      <c r="O533" s="25"/>
      <c r="P533" s="25"/>
      <c r="Q533" s="25"/>
      <c r="R533" s="25"/>
      <c r="S533" s="25"/>
      <c r="T533" s="25"/>
      <c r="U533" s="25"/>
      <c r="V533" s="25"/>
      <c r="W533" s="25"/>
      <c r="X533" s="25"/>
      <c r="Y533" s="25"/>
      <c r="AC533" s="1462">
        <v>4</v>
      </c>
      <c r="AD533" s="1421"/>
      <c r="AE533" s="1421"/>
      <c r="AF533" s="1421"/>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4"/>
      <c r="C534" s="1485"/>
      <c r="D534" s="1485"/>
      <c r="E534" s="1485"/>
      <c r="F534" s="1485"/>
      <c r="G534" s="1485"/>
      <c r="H534" s="1486"/>
      <c r="I534" s="25" t="s">
        <v>614</v>
      </c>
      <c r="J534" s="25"/>
      <c r="K534" s="25"/>
      <c r="L534" s="25"/>
      <c r="M534" s="25"/>
      <c r="N534" s="25"/>
      <c r="O534" s="25"/>
      <c r="P534" s="25"/>
      <c r="Q534" s="25"/>
      <c r="R534" s="25"/>
      <c r="S534" s="25"/>
      <c r="T534" s="25"/>
      <c r="U534" s="25"/>
      <c r="V534" s="25"/>
      <c r="W534" s="25"/>
      <c r="X534" s="25"/>
      <c r="Y534" s="25"/>
      <c r="AC534" s="1462">
        <v>1</v>
      </c>
      <c r="AD534" s="1421"/>
      <c r="AE534" s="1421"/>
      <c r="AF534" s="1421"/>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7"/>
      <c r="C535" s="1488"/>
      <c r="D535" s="1488"/>
      <c r="E535" s="1488"/>
      <c r="F535" s="1488"/>
      <c r="G535" s="1488"/>
      <c r="H535" s="1489"/>
      <c r="I535" s="80" t="s">
        <v>496</v>
      </c>
      <c r="J535" s="80"/>
      <c r="K535" s="80"/>
      <c r="L535" s="80"/>
      <c r="M535" s="80"/>
      <c r="N535" s="80"/>
      <c r="O535" s="80"/>
      <c r="P535" s="80"/>
      <c r="Q535" s="80"/>
      <c r="R535" s="80"/>
      <c r="S535" s="80"/>
      <c r="T535" s="80"/>
      <c r="U535" s="80"/>
      <c r="V535" s="80"/>
      <c r="W535" s="80"/>
      <c r="X535" s="80"/>
      <c r="Y535" s="80"/>
      <c r="Z535" s="80"/>
      <c r="AA535" s="80"/>
      <c r="AB535" s="80"/>
      <c r="AC535" s="1462">
        <v>7</v>
      </c>
      <c r="AD535" s="1421"/>
      <c r="AE535" s="1421"/>
      <c r="AF535" s="1421"/>
      <c r="AG535" s="65" t="s">
        <v>438</v>
      </c>
      <c r="AH535" s="1224">
        <v>2022</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3" t="s">
        <v>498</v>
      </c>
      <c r="C544" s="1464"/>
      <c r="D544" s="1464"/>
      <c r="E544" s="1464"/>
      <c r="F544" s="1464"/>
      <c r="G544" s="1464"/>
      <c r="H544" s="1464"/>
      <c r="I544" s="1464"/>
      <c r="J544" s="1464"/>
      <c r="K544" s="1464"/>
      <c r="L544" s="1464"/>
      <c r="M544" s="1464"/>
      <c r="N544" s="1464"/>
      <c r="O544" s="1465"/>
      <c r="P544" s="1463" t="s">
        <v>346</v>
      </c>
      <c r="Q544" s="1464"/>
      <c r="R544" s="1464"/>
      <c r="S544" s="1464"/>
      <c r="T544" s="1465"/>
      <c r="U544" s="1463" t="s">
        <v>499</v>
      </c>
      <c r="V544" s="1464"/>
      <c r="W544" s="1464"/>
      <c r="X544" s="1464"/>
      <c r="Y544" s="1465"/>
      <c r="Z544" s="1520" t="s">
        <v>1425</v>
      </c>
      <c r="AA544" s="1521"/>
      <c r="AB544" s="1521"/>
      <c r="AC544" s="1521"/>
      <c r="AD544" s="1522"/>
      <c r="AE544" s="1463" t="s">
        <v>500</v>
      </c>
      <c r="AF544" s="1464"/>
      <c r="AG544" s="1464"/>
      <c r="AH544" s="1464"/>
      <c r="AI544" s="1464"/>
      <c r="AJ544" s="1464"/>
      <c r="AK544" s="146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5" t="s">
        <v>1806</v>
      </c>
      <c r="D545" s="1215"/>
      <c r="E545" s="1215"/>
      <c r="F545" s="1215"/>
      <c r="G545" s="1215"/>
      <c r="H545" s="1215"/>
      <c r="I545" s="1215"/>
      <c r="J545" s="1215"/>
      <c r="K545" s="1215"/>
      <c r="L545" s="1215"/>
      <c r="M545" s="1215"/>
      <c r="N545" s="1215"/>
      <c r="O545" s="1427"/>
      <c r="P545" s="1223">
        <v>22</v>
      </c>
      <c r="Q545" s="1224"/>
      <c r="R545" s="1224"/>
      <c r="S545" s="1224"/>
      <c r="T545" s="1225"/>
      <c r="U545" s="1431">
        <v>3.6499999999999998E-2</v>
      </c>
      <c r="V545" s="1432"/>
      <c r="W545" s="1432"/>
      <c r="X545" s="1432"/>
      <c r="Y545" s="1433"/>
      <c r="Z545" s="1221" t="s">
        <v>1802</v>
      </c>
      <c r="AA545" s="1221"/>
      <c r="AB545" s="1221"/>
      <c r="AC545" s="1221"/>
      <c r="AD545" s="1222"/>
      <c r="AE545" s="1137">
        <v>32423966</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5" t="s">
        <v>1762</v>
      </c>
      <c r="D546" s="1215"/>
      <c r="E546" s="1215"/>
      <c r="F546" s="1215"/>
      <c r="G546" s="1215"/>
      <c r="H546" s="1215"/>
      <c r="I546" s="1215"/>
      <c r="J546" s="1215"/>
      <c r="K546" s="1215"/>
      <c r="L546" s="1215"/>
      <c r="M546" s="1215"/>
      <c r="N546" s="1215"/>
      <c r="O546" s="1427"/>
      <c r="P546" s="1223">
        <v>660</v>
      </c>
      <c r="Q546" s="1224"/>
      <c r="R546" s="1224"/>
      <c r="S546" s="1224"/>
      <c r="T546" s="1225"/>
      <c r="U546" s="1431">
        <v>1.6899999999999998E-2</v>
      </c>
      <c r="V546" s="1432"/>
      <c r="W546" s="1432"/>
      <c r="X546" s="1432"/>
      <c r="Y546" s="1433"/>
      <c r="Z546" s="1221" t="s">
        <v>1803</v>
      </c>
      <c r="AA546" s="1221"/>
      <c r="AB546" s="1221"/>
      <c r="AC546" s="1221"/>
      <c r="AD546" s="1222"/>
      <c r="AE546" s="1137">
        <v>8677431</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5" t="s">
        <v>1763</v>
      </c>
      <c r="D547" s="1215"/>
      <c r="E547" s="1215"/>
      <c r="F547" s="1215"/>
      <c r="G547" s="1215"/>
      <c r="H547" s="1215"/>
      <c r="I547" s="1215"/>
      <c r="J547" s="1215"/>
      <c r="K547" s="1215"/>
      <c r="L547" s="1215"/>
      <c r="M547" s="1215"/>
      <c r="N547" s="1215"/>
      <c r="O547" s="1427"/>
      <c r="P547" s="1223">
        <v>660</v>
      </c>
      <c r="Q547" s="1224"/>
      <c r="R547" s="1224"/>
      <c r="S547" s="1224"/>
      <c r="T547" s="1225"/>
      <c r="U547" s="1431"/>
      <c r="V547" s="1432"/>
      <c r="W547" s="1432"/>
      <c r="X547" s="1432"/>
      <c r="Y547" s="1433"/>
      <c r="Z547" s="1221" t="s">
        <v>1803</v>
      </c>
      <c r="AA547" s="1221"/>
      <c r="AB547" s="1221"/>
      <c r="AC547" s="1221"/>
      <c r="AD547" s="1222"/>
      <c r="AE547" s="1137">
        <v>250000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15" t="s">
        <v>1760</v>
      </c>
      <c r="D548" s="1215"/>
      <c r="E548" s="1215"/>
      <c r="F548" s="1215"/>
      <c r="G548" s="1215"/>
      <c r="H548" s="1215"/>
      <c r="I548" s="1215"/>
      <c r="J548" s="1215"/>
      <c r="K548" s="1215"/>
      <c r="L548" s="1215"/>
      <c r="M548" s="1215"/>
      <c r="N548" s="1215"/>
      <c r="O548" s="1427"/>
      <c r="P548" s="1223">
        <v>660</v>
      </c>
      <c r="Q548" s="1224"/>
      <c r="R548" s="1224"/>
      <c r="S548" s="1224"/>
      <c r="T548" s="1225"/>
      <c r="U548" s="1431"/>
      <c r="V548" s="1432"/>
      <c r="W548" s="1432"/>
      <c r="X548" s="1432"/>
      <c r="Y548" s="1433"/>
      <c r="Z548" s="1221" t="s">
        <v>1803</v>
      </c>
      <c r="AA548" s="1221"/>
      <c r="AB548" s="1221"/>
      <c r="AC548" s="1221"/>
      <c r="AD548" s="1222"/>
      <c r="AE548" s="1137">
        <v>1000000</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15" t="s">
        <v>1805</v>
      </c>
      <c r="D549" s="1215"/>
      <c r="E549" s="1215"/>
      <c r="F549" s="1215"/>
      <c r="G549" s="1215"/>
      <c r="H549" s="1215"/>
      <c r="I549" s="1215"/>
      <c r="J549" s="1215"/>
      <c r="K549" s="1215"/>
      <c r="L549" s="1215"/>
      <c r="M549" s="1215"/>
      <c r="N549" s="1215"/>
      <c r="O549" s="1427"/>
      <c r="P549" s="1223">
        <v>660</v>
      </c>
      <c r="Q549" s="1224"/>
      <c r="R549" s="1224"/>
      <c r="S549" s="1224"/>
      <c r="T549" s="1225"/>
      <c r="U549" s="1431">
        <v>1.6899999999999998E-2</v>
      </c>
      <c r="V549" s="1432"/>
      <c r="W549" s="1432"/>
      <c r="X549" s="1432"/>
      <c r="Y549" s="1433"/>
      <c r="Z549" s="1221" t="s">
        <v>1803</v>
      </c>
      <c r="AA549" s="1221"/>
      <c r="AB549" s="1221"/>
      <c r="AC549" s="1221"/>
      <c r="AD549" s="1222"/>
      <c r="AE549" s="1137">
        <f>316889+32856+172405+51885+15723</f>
        <v>589758</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15" t="s">
        <v>1764</v>
      </c>
      <c r="D550" s="1215"/>
      <c r="E550" s="1215"/>
      <c r="F550" s="1215"/>
      <c r="G550" s="1215"/>
      <c r="H550" s="1215"/>
      <c r="I550" s="1215"/>
      <c r="J550" s="1215"/>
      <c r="K550" s="1215"/>
      <c r="L550" s="1215"/>
      <c r="M550" s="1215"/>
      <c r="N550" s="1215"/>
      <c r="O550" s="1427"/>
      <c r="P550" s="1223">
        <v>660</v>
      </c>
      <c r="Q550" s="1224"/>
      <c r="R550" s="1224"/>
      <c r="S550" s="1224"/>
      <c r="T550" s="1225"/>
      <c r="U550" s="1431">
        <v>1.6899999999999998E-2</v>
      </c>
      <c r="V550" s="1432"/>
      <c r="W550" s="1432"/>
      <c r="X550" s="1432"/>
      <c r="Y550" s="1433"/>
      <c r="Z550" s="1221" t="s">
        <v>1803</v>
      </c>
      <c r="AA550" s="1221"/>
      <c r="AB550" s="1221"/>
      <c r="AC550" s="1221"/>
      <c r="AD550" s="1222"/>
      <c r="AE550" s="1137">
        <v>10077285</v>
      </c>
      <c r="AF550" s="1138"/>
      <c r="AG550" s="1138"/>
      <c r="AH550" s="1138"/>
      <c r="AI550" s="1138"/>
      <c r="AJ550" s="1138"/>
      <c r="AK550" s="113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15" t="s">
        <v>1808</v>
      </c>
      <c r="D551" s="1215"/>
      <c r="E551" s="1215"/>
      <c r="F551" s="1215"/>
      <c r="G551" s="1215"/>
      <c r="H551" s="1215"/>
      <c r="I551" s="1215"/>
      <c r="J551" s="1215"/>
      <c r="K551" s="1215"/>
      <c r="L551" s="1215"/>
      <c r="M551" s="1215"/>
      <c r="N551" s="1215"/>
      <c r="O551" s="1427"/>
      <c r="P551" s="1223"/>
      <c r="Q551" s="1224"/>
      <c r="R551" s="1224"/>
      <c r="S551" s="1224"/>
      <c r="T551" s="1225"/>
      <c r="U551" s="1431"/>
      <c r="V551" s="1432"/>
      <c r="W551" s="1432"/>
      <c r="X551" s="1432"/>
      <c r="Y551" s="1433"/>
      <c r="Z551" s="1221" t="s">
        <v>642</v>
      </c>
      <c r="AA551" s="1221"/>
      <c r="AB551" s="1221"/>
      <c r="AC551" s="1221"/>
      <c r="AD551" s="1222"/>
      <c r="AE551" s="1137">
        <v>929489</v>
      </c>
      <c r="AF551" s="1138"/>
      <c r="AG551" s="1138"/>
      <c r="AH551" s="1138"/>
      <c r="AI551" s="1138"/>
      <c r="AJ551" s="1138"/>
      <c r="AK551" s="113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15" t="s">
        <v>1765</v>
      </c>
      <c r="D552" s="1215"/>
      <c r="E552" s="1215"/>
      <c r="F552" s="1215"/>
      <c r="G552" s="1215"/>
      <c r="H552" s="1215"/>
      <c r="I552" s="1215"/>
      <c r="J552" s="1215"/>
      <c r="K552" s="1215"/>
      <c r="L552" s="1215"/>
      <c r="M552" s="1215"/>
      <c r="N552" s="1215"/>
      <c r="O552" s="1427"/>
      <c r="P552" s="1223"/>
      <c r="Q552" s="1224"/>
      <c r="R552" s="1224"/>
      <c r="S552" s="1224"/>
      <c r="T552" s="1225"/>
      <c r="U552" s="1431"/>
      <c r="V552" s="1432"/>
      <c r="W552" s="1432"/>
      <c r="X552" s="1432"/>
      <c r="Y552" s="1433"/>
      <c r="Z552" s="1221" t="s">
        <v>642</v>
      </c>
      <c r="AA552" s="1221"/>
      <c r="AB552" s="1221"/>
      <c r="AC552" s="1221"/>
      <c r="AD552" s="1222"/>
      <c r="AE552" s="1137">
        <v>2463575</v>
      </c>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215" t="s">
        <v>1801</v>
      </c>
      <c r="D553" s="1215"/>
      <c r="E553" s="1215"/>
      <c r="F553" s="1215"/>
      <c r="G553" s="1215"/>
      <c r="H553" s="1215"/>
      <c r="I553" s="1215"/>
      <c r="J553" s="1215"/>
      <c r="K553" s="1215"/>
      <c r="L553" s="1215"/>
      <c r="M553" s="1215"/>
      <c r="N553" s="1215"/>
      <c r="O553" s="1427"/>
      <c r="P553" s="1223"/>
      <c r="Q553" s="1224"/>
      <c r="R553" s="1224"/>
      <c r="S553" s="1224"/>
      <c r="T553" s="1225"/>
      <c r="U553" s="1431"/>
      <c r="V553" s="1432"/>
      <c r="W553" s="1432"/>
      <c r="X553" s="1432"/>
      <c r="Y553" s="1433"/>
      <c r="Z553" s="1221" t="s">
        <v>642</v>
      </c>
      <c r="AA553" s="1221"/>
      <c r="AB553" s="1221"/>
      <c r="AC553" s="1221"/>
      <c r="AD553" s="1222"/>
      <c r="AE553" s="1137">
        <v>3110778</v>
      </c>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215" t="s">
        <v>1804</v>
      </c>
      <c r="D554" s="1099"/>
      <c r="E554" s="1099"/>
      <c r="F554" s="1099"/>
      <c r="G554" s="1099"/>
      <c r="H554" s="1099"/>
      <c r="I554" s="1099"/>
      <c r="J554" s="1099"/>
      <c r="K554" s="1099"/>
      <c r="L554" s="1099"/>
      <c r="M554" s="1099"/>
      <c r="N554" s="1099"/>
      <c r="O554" s="1226"/>
      <c r="P554" s="1223"/>
      <c r="Q554" s="1224"/>
      <c r="R554" s="1224"/>
      <c r="S554" s="1224"/>
      <c r="T554" s="1225"/>
      <c r="U554" s="1431"/>
      <c r="V554" s="1432"/>
      <c r="W554" s="1432"/>
      <c r="X554" s="1432"/>
      <c r="Y554" s="1433"/>
      <c r="Z554" s="1221" t="s">
        <v>642</v>
      </c>
      <c r="AA554" s="1221"/>
      <c r="AB554" s="1221"/>
      <c r="AC554" s="1221"/>
      <c r="AD554" s="1222"/>
      <c r="AE554" s="1137">
        <v>100</v>
      </c>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15" t="s">
        <v>1800</v>
      </c>
      <c r="D555" s="1099"/>
      <c r="E555" s="1099"/>
      <c r="F555" s="1099"/>
      <c r="G555" s="1099"/>
      <c r="H555" s="1099"/>
      <c r="I555" s="1099"/>
      <c r="J555" s="1099"/>
      <c r="K555" s="1099"/>
      <c r="L555" s="1099"/>
      <c r="M555" s="1099"/>
      <c r="N555" s="1099"/>
      <c r="O555" s="1226"/>
      <c r="P555" s="1223"/>
      <c r="Q555" s="1224"/>
      <c r="R555" s="1224"/>
      <c r="S555" s="1224"/>
      <c r="T555" s="1225"/>
      <c r="U555" s="1431"/>
      <c r="V555" s="1432"/>
      <c r="W555" s="1432"/>
      <c r="X555" s="1432"/>
      <c r="Y555" s="1433"/>
      <c r="Z555" s="1221" t="s">
        <v>642</v>
      </c>
      <c r="AA555" s="1221"/>
      <c r="AB555" s="1221"/>
      <c r="AC555" s="1221"/>
      <c r="AD555" s="1222"/>
      <c r="AE555" s="1137">
        <f>1995384-145000</f>
        <v>1850384</v>
      </c>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6"/>
      <c r="P556" s="1223"/>
      <c r="Q556" s="1224"/>
      <c r="R556" s="1224"/>
      <c r="S556" s="1224"/>
      <c r="T556" s="1225"/>
      <c r="U556" s="1431"/>
      <c r="V556" s="1432"/>
      <c r="W556" s="1432"/>
      <c r="X556" s="1432"/>
      <c r="Y556" s="1433"/>
      <c r="Z556" s="1221" t="s">
        <v>1426</v>
      </c>
      <c r="AA556" s="1221"/>
      <c r="AB556" s="1221"/>
      <c r="AC556" s="1221"/>
      <c r="AD556" s="1222"/>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1" t="s">
        <v>134</v>
      </c>
      <c r="C557" s="1162"/>
      <c r="D557" s="1162"/>
      <c r="E557" s="1162"/>
      <c r="F557" s="1162"/>
      <c r="G557" s="1162"/>
      <c r="H557" s="1162"/>
      <c r="I557" s="1162"/>
      <c r="J557" s="1162"/>
      <c r="K557" s="1162"/>
      <c r="L557" s="1162"/>
      <c r="M557" s="1162"/>
      <c r="N557" s="1162"/>
      <c r="O557" s="1162"/>
      <c r="P557" s="1162"/>
      <c r="Q557" s="1162"/>
      <c r="R557" s="1162"/>
      <c r="S557" s="1162"/>
      <c r="T557" s="1162"/>
      <c r="U557" s="1162"/>
      <c r="V557" s="1162"/>
      <c r="W557" s="1162"/>
      <c r="X557" s="1162"/>
      <c r="Y557" s="1162"/>
      <c r="Z557" s="1162"/>
      <c r="AA557" s="1162"/>
      <c r="AB557" s="1162"/>
      <c r="AC557" s="1162"/>
      <c r="AD557" s="1163"/>
      <c r="AE557" s="1207">
        <f>SUM(AE545:AK556)</f>
        <v>61372766</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Silicon Valley Bank TE Construction Loan</v>
      </c>
      <c r="H559" s="1097"/>
      <c r="I559" s="1097"/>
      <c r="J559" s="1097"/>
      <c r="K559" s="1097"/>
      <c r="L559" s="1097"/>
      <c r="M559" s="1097"/>
      <c r="N559" s="1097"/>
      <c r="O559" s="1097"/>
      <c r="P559" s="1097"/>
      <c r="Q559" s="1097"/>
      <c r="R559" s="1097"/>
      <c r="S559" s="14"/>
      <c r="T559" s="87" t="s">
        <v>120</v>
      </c>
      <c r="U559" s="12" t="s">
        <v>510</v>
      </c>
      <c r="Z559" s="1097" t="str">
        <f>C546</f>
        <v>City of South San Francisco - Assumed Loan</v>
      </c>
      <c r="AA559" s="1097"/>
      <c r="AB559" s="1097"/>
      <c r="AC559" s="1097"/>
      <c r="AD559" s="1097"/>
      <c r="AE559" s="1097"/>
      <c r="AF559" s="1097"/>
      <c r="AG559" s="1097"/>
      <c r="AH559" s="1097"/>
      <c r="AI559" s="1097"/>
      <c r="AJ559" s="1097"/>
      <c r="AK559" s="109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1766</v>
      </c>
      <c r="H560" s="1095"/>
      <c r="I560" s="1095"/>
      <c r="J560" s="1095"/>
      <c r="K560" s="1095"/>
      <c r="L560" s="1095"/>
      <c r="M560" s="1095"/>
      <c r="N560" s="1095"/>
      <c r="O560" s="1095"/>
      <c r="P560" s="1095"/>
      <c r="Q560" s="1095"/>
      <c r="R560" s="1095"/>
      <c r="S560" s="14"/>
      <c r="T560" s="35"/>
      <c r="U560" s="12" t="s">
        <v>92</v>
      </c>
      <c r="Z560" s="1095" t="s">
        <v>1771</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1767</v>
      </c>
      <c r="H561" s="1095"/>
      <c r="I561" s="1095"/>
      <c r="J561" s="1095"/>
      <c r="K561" s="1095"/>
      <c r="L561" s="1095"/>
      <c r="M561" s="1095"/>
      <c r="N561" s="1095"/>
      <c r="O561" s="1095"/>
      <c r="P561" s="1095"/>
      <c r="Q561" s="1095"/>
      <c r="R561" s="1095"/>
      <c r="S561" s="88"/>
      <c r="T561" s="35"/>
      <c r="U561" s="12" t="s">
        <v>631</v>
      </c>
      <c r="Z561" s="1116" t="s">
        <v>1772</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1768</v>
      </c>
      <c r="H562" s="1095"/>
      <c r="I562" s="1095"/>
      <c r="J562" s="1095"/>
      <c r="K562" s="1095"/>
      <c r="L562" s="1095"/>
      <c r="M562" s="1095"/>
      <c r="N562" s="1095"/>
      <c r="O562" s="1095"/>
      <c r="P562" s="1095"/>
      <c r="Q562" s="1095"/>
      <c r="R562" s="1095"/>
      <c r="S562" s="14"/>
      <c r="T562" s="35"/>
      <c r="U562" s="12" t="s">
        <v>19</v>
      </c>
      <c r="Z562" s="1116" t="s">
        <v>1773</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1769</v>
      </c>
      <c r="H563" s="1098"/>
      <c r="I563" s="1098"/>
      <c r="J563" s="1098"/>
      <c r="K563" s="1098"/>
      <c r="L563" s="1098"/>
      <c r="O563" s="140" t="s">
        <v>220</v>
      </c>
      <c r="P563" s="1099"/>
      <c r="Q563" s="1099"/>
      <c r="R563" s="1099"/>
      <c r="S563" s="16"/>
      <c r="T563" s="35"/>
      <c r="U563" s="12" t="s">
        <v>338</v>
      </c>
      <c r="Z563" s="1098" t="s">
        <v>1774</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1770</v>
      </c>
      <c r="I564" s="1095"/>
      <c r="J564" s="1095"/>
      <c r="K564" s="1095"/>
      <c r="L564" s="1095"/>
      <c r="M564" s="1095"/>
      <c r="N564" s="1095"/>
      <c r="O564" s="1095"/>
      <c r="P564" s="1095"/>
      <c r="Q564" s="1095"/>
      <c r="R564" s="1095"/>
      <c r="S564" s="14"/>
      <c r="T564" s="35"/>
      <c r="U564" s="12" t="s">
        <v>20</v>
      </c>
      <c r="AA564" s="1095" t="s">
        <v>1775</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5" t="s">
        <v>1813</v>
      </c>
      <c r="N565" s="1525"/>
      <c r="O565" s="1525"/>
      <c r="P565" s="1525"/>
      <c r="Q565" s="1525"/>
      <c r="R565" s="1525"/>
      <c r="S565" s="14"/>
      <c r="T565" s="35"/>
      <c r="U565" s="530" t="s">
        <v>1427</v>
      </c>
      <c r="V565" s="743"/>
      <c r="W565" s="743"/>
      <c r="X565" s="743"/>
      <c r="Y565" s="743"/>
      <c r="Z565" s="743"/>
      <c r="AA565" s="14"/>
      <c r="AB565" s="14"/>
      <c r="AC565" s="14"/>
      <c r="AD565" s="14"/>
      <c r="AE565" s="14"/>
      <c r="AF565" s="1525"/>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San Mateo County AHF 7.0</v>
      </c>
      <c r="H568" s="1097"/>
      <c r="I568" s="1097"/>
      <c r="J568" s="1097"/>
      <c r="K568" s="1097"/>
      <c r="L568" s="1097"/>
      <c r="M568" s="1097"/>
      <c r="N568" s="1097"/>
      <c r="O568" s="1097"/>
      <c r="P568" s="1097"/>
      <c r="Q568" s="1097"/>
      <c r="R568" s="1097"/>
      <c r="T568" s="87" t="s">
        <v>632</v>
      </c>
      <c r="U568" s="12" t="s">
        <v>510</v>
      </c>
      <c r="Z568" s="1097" t="str">
        <f>C548</f>
        <v>San Mateo County CDBG</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1776</v>
      </c>
      <c r="H569" s="1095"/>
      <c r="I569" s="1095"/>
      <c r="J569" s="1095"/>
      <c r="K569" s="1095"/>
      <c r="L569" s="1095"/>
      <c r="M569" s="1095"/>
      <c r="N569" s="1095"/>
      <c r="O569" s="1095"/>
      <c r="P569" s="1095"/>
      <c r="Q569" s="1095"/>
      <c r="R569" s="1095"/>
      <c r="T569" s="35"/>
      <c r="U569" s="12" t="s">
        <v>92</v>
      </c>
      <c r="Z569" s="1093" t="s">
        <v>1776</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15" t="s">
        <v>1777</v>
      </c>
      <c r="H570" s="1116"/>
      <c r="I570" s="1116"/>
      <c r="J570" s="1116"/>
      <c r="K570" s="1116"/>
      <c r="L570" s="1116"/>
      <c r="M570" s="1116"/>
      <c r="N570" s="1116"/>
      <c r="O570" s="1116"/>
      <c r="P570" s="1116"/>
      <c r="Q570" s="1116"/>
      <c r="R570" s="1116"/>
      <c r="T570" s="35"/>
      <c r="U570" s="12" t="s">
        <v>631</v>
      </c>
      <c r="Z570" s="1215" t="s">
        <v>1777</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1778</v>
      </c>
      <c r="H571" s="1116"/>
      <c r="I571" s="1116"/>
      <c r="J571" s="1116"/>
      <c r="K571" s="1116"/>
      <c r="L571" s="1116"/>
      <c r="M571" s="1116"/>
      <c r="N571" s="1116"/>
      <c r="O571" s="1116"/>
      <c r="P571" s="1116"/>
      <c r="Q571" s="1116"/>
      <c r="R571" s="1116"/>
      <c r="T571" s="35"/>
      <c r="U571" s="12" t="s">
        <v>19</v>
      </c>
      <c r="Z571" s="1116" t="s">
        <v>1778</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1779</v>
      </c>
      <c r="H572" s="1098"/>
      <c r="I572" s="1098"/>
      <c r="J572" s="1098"/>
      <c r="K572" s="1098"/>
      <c r="L572" s="1098"/>
      <c r="O572" s="140" t="s">
        <v>220</v>
      </c>
      <c r="P572" s="1099"/>
      <c r="Q572" s="1099"/>
      <c r="R572" s="1099"/>
      <c r="T572" s="35"/>
      <c r="U572" s="12" t="s">
        <v>338</v>
      </c>
      <c r="Z572" s="1098" t="s">
        <v>1779</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1775</v>
      </c>
      <c r="I573" s="1095"/>
      <c r="J573" s="1095"/>
      <c r="K573" s="1095"/>
      <c r="L573" s="1095"/>
      <c r="M573" s="1095"/>
      <c r="N573" s="1095"/>
      <c r="O573" s="1095"/>
      <c r="P573" s="1095"/>
      <c r="Q573" s="1095"/>
      <c r="R573" s="1095"/>
      <c r="T573" s="35"/>
      <c r="U573" s="12" t="s">
        <v>20</v>
      </c>
      <c r="AA573" s="1095" t="s">
        <v>1775</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723</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Subordinate Loan Deferred/Accrued Interest</v>
      </c>
      <c r="H576" s="1097"/>
      <c r="I576" s="1097"/>
      <c r="J576" s="1097"/>
      <c r="K576" s="1097"/>
      <c r="L576" s="1097"/>
      <c r="M576" s="1097"/>
      <c r="N576" s="1097"/>
      <c r="O576" s="1097"/>
      <c r="P576" s="1097"/>
      <c r="Q576" s="1097"/>
      <c r="R576" s="1097"/>
      <c r="T576" s="87" t="s">
        <v>635</v>
      </c>
      <c r="U576" s="12" t="s">
        <v>510</v>
      </c>
      <c r="Z576" s="1097" t="str">
        <f>C550</f>
        <v>Seller Carryback Loan</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c r="H577" s="1095"/>
      <c r="I577" s="1095"/>
      <c r="J577" s="1095"/>
      <c r="K577" s="1095"/>
      <c r="L577" s="1095"/>
      <c r="M577" s="1095"/>
      <c r="N577" s="1095"/>
      <c r="O577" s="1095"/>
      <c r="P577" s="1095"/>
      <c r="Q577" s="1095"/>
      <c r="R577" s="1095"/>
      <c r="T577" s="35"/>
      <c r="U577" s="12" t="s">
        <v>92</v>
      </c>
      <c r="Z577" s="1095" t="s">
        <v>1780</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c r="H578" s="1095"/>
      <c r="I578" s="1095"/>
      <c r="J578" s="1095"/>
      <c r="K578" s="1095"/>
      <c r="L578" s="1095"/>
      <c r="M578" s="1095"/>
      <c r="N578" s="1095"/>
      <c r="O578" s="1095"/>
      <c r="P578" s="1095"/>
      <c r="Q578" s="1095"/>
      <c r="R578" s="1095"/>
      <c r="T578" s="35"/>
      <c r="U578" s="12" t="s">
        <v>631</v>
      </c>
      <c r="Z578" s="1095" t="s">
        <v>1677</v>
      </c>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c r="H579" s="1095"/>
      <c r="I579" s="1095"/>
      <c r="J579" s="1095"/>
      <c r="K579" s="1095"/>
      <c r="L579" s="1095"/>
      <c r="M579" s="1095"/>
      <c r="N579" s="1095"/>
      <c r="O579" s="1095"/>
      <c r="P579" s="1095"/>
      <c r="Q579" s="1095"/>
      <c r="R579" s="1095"/>
      <c r="T579" s="35"/>
      <c r="U579" s="12" t="s">
        <v>19</v>
      </c>
      <c r="Z579" s="1095" t="s">
        <v>1781</v>
      </c>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c r="H580" s="1098"/>
      <c r="I580" s="1098"/>
      <c r="J580" s="1098"/>
      <c r="K580" s="1098"/>
      <c r="L580" s="1098"/>
      <c r="O580" s="140" t="s">
        <v>220</v>
      </c>
      <c r="P580" s="1099"/>
      <c r="Q580" s="1099"/>
      <c r="R580" s="1099"/>
      <c r="T580" s="35"/>
      <c r="U580" s="12" t="s">
        <v>338</v>
      </c>
      <c r="Z580" s="1098" t="s">
        <v>1782</v>
      </c>
      <c r="AA580" s="1098"/>
      <c r="AB580" s="1098"/>
      <c r="AC580" s="1098"/>
      <c r="AD580" s="1098"/>
      <c r="AE580" s="1098"/>
      <c r="AH580" s="140" t="s">
        <v>220</v>
      </c>
      <c r="AI580" s="1099"/>
      <c r="AJ580" s="1099"/>
      <c r="AK580" s="1099"/>
    </row>
    <row r="581" spans="1:112" ht="12.75">
      <c r="A581" s="35"/>
      <c r="B581" s="12" t="s">
        <v>20</v>
      </c>
      <c r="H581" s="1095"/>
      <c r="I581" s="1095"/>
      <c r="J581" s="1095"/>
      <c r="K581" s="1095"/>
      <c r="L581" s="1095"/>
      <c r="M581" s="1095"/>
      <c r="N581" s="1095"/>
      <c r="O581" s="1095"/>
      <c r="P581" s="1095"/>
      <c r="Q581" s="1095"/>
      <c r="R581" s="1095"/>
      <c r="T581" s="35"/>
      <c r="U581" s="12" t="s">
        <v>20</v>
      </c>
      <c r="AA581" s="1095" t="s">
        <v>1775</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t="str">
        <f>C551</f>
        <v>Costs deferred until Conversion</v>
      </c>
      <c r="H584" s="1097"/>
      <c r="I584" s="1097"/>
      <c r="J584" s="1097"/>
      <c r="K584" s="1097"/>
      <c r="L584" s="1097"/>
      <c r="M584" s="1097"/>
      <c r="N584" s="1097"/>
      <c r="O584" s="1097"/>
      <c r="P584" s="1097"/>
      <c r="Q584" s="1097"/>
      <c r="R584" s="1097"/>
      <c r="T584" s="87" t="s">
        <v>502</v>
      </c>
      <c r="U584" s="12" t="s">
        <v>510</v>
      </c>
      <c r="Z584" s="1097" t="str">
        <f>C552</f>
        <v>Deferred Developer Fee</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1780</v>
      </c>
      <c r="H585" s="1095"/>
      <c r="I585" s="1095"/>
      <c r="J585" s="1095"/>
      <c r="K585" s="1095"/>
      <c r="L585" s="1095"/>
      <c r="M585" s="1095"/>
      <c r="N585" s="1095"/>
      <c r="O585" s="1095"/>
      <c r="P585" s="1095"/>
      <c r="Q585" s="1095"/>
      <c r="R585" s="1095"/>
      <c r="T585" s="35"/>
      <c r="U585" s="12" t="s">
        <v>92</v>
      </c>
      <c r="Z585" s="1095" t="s">
        <v>1780</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t="s">
        <v>1677</v>
      </c>
      <c r="H586" s="1095"/>
      <c r="I586" s="1095"/>
      <c r="J586" s="1095"/>
      <c r="K586" s="1095"/>
      <c r="L586" s="1095"/>
      <c r="M586" s="1095"/>
      <c r="N586" s="1095"/>
      <c r="O586" s="1095"/>
      <c r="P586" s="1095"/>
      <c r="Q586" s="1095"/>
      <c r="R586" s="1095"/>
      <c r="S586" s="12"/>
      <c r="T586" s="35"/>
      <c r="U586" s="12" t="s">
        <v>631</v>
      </c>
      <c r="V586" s="12"/>
      <c r="W586" s="12"/>
      <c r="X586" s="12"/>
      <c r="Y586" s="12"/>
      <c r="Z586" s="1116" t="s">
        <v>1677</v>
      </c>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t="s">
        <v>1781</v>
      </c>
      <c r="H587" s="1095"/>
      <c r="I587" s="1095"/>
      <c r="J587" s="1095"/>
      <c r="K587" s="1095"/>
      <c r="L587" s="1095"/>
      <c r="M587" s="1095"/>
      <c r="N587" s="1095"/>
      <c r="O587" s="1095"/>
      <c r="P587" s="1095"/>
      <c r="Q587" s="1095"/>
      <c r="R587" s="1095"/>
      <c r="S587" s="12"/>
      <c r="T587" s="35"/>
      <c r="U587" s="12" t="s">
        <v>19</v>
      </c>
      <c r="V587" s="12"/>
      <c r="W587" s="12"/>
      <c r="X587" s="12"/>
      <c r="Y587" s="12"/>
      <c r="Z587" s="1095" t="s">
        <v>1781</v>
      </c>
      <c r="AA587" s="1095"/>
      <c r="AB587" s="1095"/>
      <c r="AC587" s="1095"/>
      <c r="AD587" s="1095"/>
      <c r="AE587" s="1095"/>
      <c r="AF587" s="1095"/>
      <c r="AG587" s="1095"/>
      <c r="AH587" s="1095"/>
      <c r="AI587" s="1095"/>
      <c r="AJ587" s="1095"/>
      <c r="AK587" s="109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t="s">
        <v>1782</v>
      </c>
      <c r="H588" s="1098"/>
      <c r="I588" s="1098"/>
      <c r="J588" s="1098"/>
      <c r="K588" s="1098"/>
      <c r="L588" s="1098"/>
      <c r="M588" s="12"/>
      <c r="N588" s="12"/>
      <c r="O588" s="140" t="s">
        <v>220</v>
      </c>
      <c r="P588" s="1099"/>
      <c r="Q588" s="1099"/>
      <c r="R588" s="1099"/>
      <c r="S588" s="12"/>
      <c r="T588" s="35"/>
      <c r="U588" s="12" t="s">
        <v>338</v>
      </c>
      <c r="V588" s="12"/>
      <c r="W588" s="12"/>
      <c r="X588" s="12"/>
      <c r="Y588" s="12"/>
      <c r="Z588" s="1098" t="s">
        <v>1782</v>
      </c>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8"/>
      <c r="AU588" s="1130"/>
      <c r="AV588" s="193" t="s">
        <v>522</v>
      </c>
      <c r="AW588" s="194"/>
      <c r="AX588" s="1128"/>
      <c r="AY588" s="1130"/>
      <c r="AZ588" s="58"/>
      <c r="BA588" s="1216" t="s">
        <v>684</v>
      </c>
      <c r="BB588" s="1217"/>
      <c r="BC588" s="1217"/>
      <c r="BD588" s="1217"/>
      <c r="BE588" s="1218"/>
      <c r="BF588" s="1201" t="s">
        <v>348</v>
      </c>
      <c r="BG588" s="1201"/>
      <c r="BH588" s="1201"/>
      <c r="BI588" s="1201"/>
      <c r="BJ588" s="1201"/>
      <c r="BK588" s="1201" t="s">
        <v>170</v>
      </c>
      <c r="BL588" s="1201"/>
      <c r="BM588" s="1201"/>
      <c r="BN588" s="1201"/>
      <c r="BO588" s="1201"/>
      <c r="BP588" s="1201" t="s">
        <v>171</v>
      </c>
      <c r="BQ588" s="1201"/>
      <c r="BR588" s="1201"/>
      <c r="BS588" s="1201"/>
      <c r="BT588" s="1201"/>
      <c r="BU588" s="1201" t="s">
        <v>507</v>
      </c>
      <c r="BV588" s="1201"/>
      <c r="BW588" s="1201"/>
      <c r="BX588" s="1201"/>
      <c r="BY588" s="1201"/>
      <c r="BZ588" s="1201" t="s">
        <v>33</v>
      </c>
      <c r="CA588" s="1201"/>
      <c r="CB588" s="1201"/>
      <c r="CC588" s="1201"/>
      <c r="CD588" s="1201"/>
      <c r="CE588" s="1201" t="s">
        <v>684</v>
      </c>
      <c r="CF588" s="1201"/>
      <c r="CG588" s="1201"/>
      <c r="CH588" s="1201"/>
      <c r="CI588" s="1201"/>
      <c r="CJ588" s="1201" t="s">
        <v>348</v>
      </c>
      <c r="CK588" s="1201"/>
      <c r="CL588" s="1201"/>
      <c r="CM588" s="1201"/>
      <c r="CN588" s="1201"/>
      <c r="CO588" s="1201" t="s">
        <v>170</v>
      </c>
      <c r="CP588" s="1201"/>
      <c r="CQ588" s="1201"/>
      <c r="CR588" s="1201"/>
      <c r="CS588" s="1201"/>
      <c r="CT588" s="1201" t="s">
        <v>171</v>
      </c>
      <c r="CU588" s="1201"/>
      <c r="CV588" s="1201"/>
      <c r="CW588" s="1201"/>
      <c r="CX588" s="1201"/>
      <c r="CY588" s="1201" t="s">
        <v>507</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5" t="s">
        <v>1783</v>
      </c>
      <c r="I589" s="1095"/>
      <c r="J589" s="1095"/>
      <c r="K589" s="1095"/>
      <c r="L589" s="1095"/>
      <c r="M589" s="1095"/>
      <c r="N589" s="1095"/>
      <c r="O589" s="1095"/>
      <c r="P589" s="1095"/>
      <c r="Q589" s="1095"/>
      <c r="R589" s="1095"/>
      <c r="S589" s="12"/>
      <c r="T589" s="35"/>
      <c r="U589" s="12" t="s">
        <v>20</v>
      </c>
      <c r="V589" s="12"/>
      <c r="W589" s="12"/>
      <c r="X589" s="12"/>
      <c r="Y589" s="12"/>
      <c r="Z589" s="12"/>
      <c r="AA589" s="1095" t="s">
        <v>1765</v>
      </c>
      <c r="AB589" s="1095"/>
      <c r="AC589" s="1095"/>
      <c r="AD589" s="1095"/>
      <c r="AE589" s="1095"/>
      <c r="AF589" s="1095"/>
      <c r="AG589" s="1095"/>
      <c r="AH589" s="1095"/>
      <c r="AI589" s="1095"/>
      <c r="AJ589" s="1095"/>
      <c r="AK589" s="1095"/>
      <c r="AL589" s="12"/>
      <c r="AM589" s="7" t="s">
        <v>348</v>
      </c>
      <c r="AN589" s="58"/>
      <c r="AO589" s="58"/>
      <c r="AP589" s="58"/>
      <c r="AQ589" s="58"/>
      <c r="AR589" s="1523">
        <f t="shared" ref="AR589:AR613" si="0">IF(AND(AD709&lt;=0.5,AD709&gt;=0.36),1,0)</f>
        <v>0</v>
      </c>
      <c r="AS589" s="1524"/>
      <c r="AT589" s="1128">
        <f t="shared" ref="AT589:AT613" si="1">IF(AR589=1,G709,0)</f>
        <v>0</v>
      </c>
      <c r="AU589" s="1130"/>
      <c r="AV589" s="1523">
        <f t="shared" ref="AV589:AV613" si="2">IF(AND(AD709&lt;=0.35,AD709&gt;0),1,0)</f>
        <v>1</v>
      </c>
      <c r="AW589" s="1524"/>
      <c r="AX589" s="1128">
        <f t="shared" ref="AX589:AX613" si="3">IF(AV589=1,G709,0)</f>
        <v>6</v>
      </c>
      <c r="AY589" s="1130"/>
      <c r="AZ589" s="58"/>
      <c r="BA589" s="1128">
        <f t="shared" ref="BA589:BA613" si="4">IF(B709="SRO/Studio",G709,0)</f>
        <v>0</v>
      </c>
      <c r="BB589" s="1129"/>
      <c r="BC589" s="1129"/>
      <c r="BD589" s="1129"/>
      <c r="BE589" s="1130"/>
      <c r="BF589" s="1198">
        <f t="shared" ref="BF589:BF613" si="5">IF(B709="1 Bedroom",G709,0)</f>
        <v>0</v>
      </c>
      <c r="BG589" s="1198"/>
      <c r="BH589" s="1198"/>
      <c r="BI589" s="1198"/>
      <c r="BJ589" s="1198"/>
      <c r="BK589" s="1198">
        <f t="shared" ref="BK589:BK613" si="6">IF(B709="2 Bedrooms",G709,0)</f>
        <v>6</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6">
        <f t="shared" ref="CE589:CE613" si="10">IF(AND(B709="SRO/Studio",AD709&lt;=0.3),G709,0)</f>
        <v>0</v>
      </c>
      <c r="CF589" s="1206"/>
      <c r="CG589" s="1206"/>
      <c r="CH589" s="1206"/>
      <c r="CI589" s="1206"/>
      <c r="CJ589" s="1206">
        <f t="shared" ref="CJ589:CJ613" si="11">IF(AND(B709="1 Bedroom",AD709&lt;=0.3),G709,0)</f>
        <v>0</v>
      </c>
      <c r="CK589" s="1206"/>
      <c r="CL589" s="1206"/>
      <c r="CM589" s="1206"/>
      <c r="CN589" s="1206"/>
      <c r="CO589" s="1206">
        <f t="shared" ref="CO589:CO613" si="12">IF(AND(B709="2 Bedrooms",AD709&lt;=0.3),G709,0)</f>
        <v>6</v>
      </c>
      <c r="CP589" s="1206"/>
      <c r="CQ589" s="1206"/>
      <c r="CR589" s="1206"/>
      <c r="CS589" s="1206"/>
      <c r="CT589" s="1206">
        <f t="shared" ref="CT589:CT613" si="13">IF(AND(B709="3 Bedrooms",AD709&lt;=0.3),G709,0)</f>
        <v>0</v>
      </c>
      <c r="CU589" s="1206"/>
      <c r="CV589" s="1206"/>
      <c r="CW589" s="1206"/>
      <c r="CX589" s="1206"/>
      <c r="CY589" s="1206">
        <f t="shared" ref="CY589:CY613" si="14">IF(AND(B709="4 Bedrooms",AD709&lt;=0.3),G709,0)</f>
        <v>0</v>
      </c>
      <c r="CZ589" s="1206"/>
      <c r="DA589" s="1206"/>
      <c r="DB589" s="1206"/>
      <c r="DC589" s="1206"/>
      <c r="DD589" s="1206">
        <f t="shared" ref="DD589:DD613" si="15">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96" t="s">
        <v>592</v>
      </c>
      <c r="O590" s="1096"/>
      <c r="P590" s="12"/>
      <c r="Q590" s="12"/>
      <c r="R590" s="12"/>
      <c r="S590" s="12"/>
      <c r="T590" s="35"/>
      <c r="U590" s="12" t="s">
        <v>22</v>
      </c>
      <c r="V590" s="12"/>
      <c r="W590" s="12"/>
      <c r="X590" s="12"/>
      <c r="Y590" s="12"/>
      <c r="Z590" s="12"/>
      <c r="AA590" s="12"/>
      <c r="AB590" s="12"/>
      <c r="AC590" s="12"/>
      <c r="AD590" s="12"/>
      <c r="AE590" s="12"/>
      <c r="AF590" s="12"/>
      <c r="AG590" s="1096" t="s">
        <v>592</v>
      </c>
      <c r="AH590" s="1096"/>
      <c r="AI590" s="12"/>
      <c r="AJ590" s="12"/>
      <c r="AK590" s="12"/>
      <c r="AL590" s="12"/>
      <c r="AM590" s="7" t="s">
        <v>170</v>
      </c>
      <c r="AN590" s="58"/>
      <c r="AO590" s="58"/>
      <c r="AP590" s="58"/>
      <c r="AQ590" s="58"/>
      <c r="AR590" s="1523">
        <f t="shared" si="0"/>
        <v>0</v>
      </c>
      <c r="AS590" s="1524"/>
      <c r="AT590" s="1128">
        <f t="shared" si="1"/>
        <v>0</v>
      </c>
      <c r="AU590" s="1130"/>
      <c r="AV590" s="1523">
        <f t="shared" si="2"/>
        <v>1</v>
      </c>
      <c r="AW590" s="1524"/>
      <c r="AX590" s="1128">
        <f t="shared" si="3"/>
        <v>2</v>
      </c>
      <c r="AY590" s="1130"/>
      <c r="AZ590" s="58"/>
      <c r="BA590" s="1128">
        <f t="shared" si="4"/>
        <v>0</v>
      </c>
      <c r="BB590" s="1129"/>
      <c r="BC590" s="1129"/>
      <c r="BD590" s="1129"/>
      <c r="BE590" s="1130"/>
      <c r="BF590" s="1198">
        <f t="shared" si="5"/>
        <v>0</v>
      </c>
      <c r="BG590" s="1198"/>
      <c r="BH590" s="1198"/>
      <c r="BI590" s="1198"/>
      <c r="BJ590" s="1198"/>
      <c r="BK590" s="1198">
        <f t="shared" si="6"/>
        <v>0</v>
      </c>
      <c r="BL590" s="1198"/>
      <c r="BM590" s="1198"/>
      <c r="BN590" s="1198"/>
      <c r="BO590" s="1198"/>
      <c r="BP590" s="1198">
        <f t="shared" si="7"/>
        <v>2</v>
      </c>
      <c r="BQ590" s="1198"/>
      <c r="BR590" s="1198"/>
      <c r="BS590" s="1198"/>
      <c r="BT590" s="1198"/>
      <c r="BU590" s="1198">
        <f t="shared" si="8"/>
        <v>0</v>
      </c>
      <c r="BV590" s="1198"/>
      <c r="BW590" s="1198"/>
      <c r="BX590" s="1198"/>
      <c r="BY590" s="1198"/>
      <c r="BZ590" s="1198">
        <f t="shared" si="9"/>
        <v>0</v>
      </c>
      <c r="CA590" s="1198"/>
      <c r="CB590" s="1198"/>
      <c r="CC590" s="1198"/>
      <c r="CD590" s="1198"/>
      <c r="CE590" s="1206">
        <f t="shared" si="10"/>
        <v>0</v>
      </c>
      <c r="CF590" s="1206"/>
      <c r="CG590" s="1206"/>
      <c r="CH590" s="1206"/>
      <c r="CI590" s="1206"/>
      <c r="CJ590" s="1206">
        <f t="shared" si="11"/>
        <v>0</v>
      </c>
      <c r="CK590" s="1206"/>
      <c r="CL590" s="1206"/>
      <c r="CM590" s="1206"/>
      <c r="CN590" s="1206"/>
      <c r="CO590" s="1206">
        <f t="shared" si="12"/>
        <v>0</v>
      </c>
      <c r="CP590" s="1206"/>
      <c r="CQ590" s="1206"/>
      <c r="CR590" s="1206"/>
      <c r="CS590" s="1206"/>
      <c r="CT590" s="1206">
        <f t="shared" si="13"/>
        <v>2</v>
      </c>
      <c r="CU590" s="1206"/>
      <c r="CV590" s="1206"/>
      <c r="CW590" s="1206"/>
      <c r="CX590" s="1206"/>
      <c r="CY590" s="1206">
        <f t="shared" si="14"/>
        <v>0</v>
      </c>
      <c r="CZ590" s="1206"/>
      <c r="DA590" s="1206"/>
      <c r="DB590" s="1206"/>
      <c r="DC590" s="1206"/>
      <c r="DD590" s="1206">
        <f t="shared" si="15"/>
        <v>0</v>
      </c>
      <c r="DE590" s="1206"/>
      <c r="DF590" s="1206"/>
      <c r="DG590" s="1206"/>
      <c r="DH590" s="1206"/>
    </row>
    <row r="591" spans="1:112" ht="12.75">
      <c r="A591" s="35"/>
      <c r="T591" s="35"/>
      <c r="AM591" s="7" t="s">
        <v>171</v>
      </c>
      <c r="AN591" s="58"/>
      <c r="AO591" s="58"/>
      <c r="AP591" s="58"/>
      <c r="AQ591" s="58"/>
      <c r="AR591" s="1523">
        <f t="shared" si="0"/>
        <v>0</v>
      </c>
      <c r="AS591" s="1524"/>
      <c r="AT591" s="1128">
        <f t="shared" si="1"/>
        <v>0</v>
      </c>
      <c r="AU591" s="1130"/>
      <c r="AV591" s="1523">
        <f t="shared" si="2"/>
        <v>1</v>
      </c>
      <c r="AW591" s="1524"/>
      <c r="AX591" s="1128">
        <f t="shared" si="3"/>
        <v>2</v>
      </c>
      <c r="AY591" s="1130"/>
      <c r="AZ591" s="58"/>
      <c r="BA591" s="1128">
        <f t="shared" si="4"/>
        <v>0</v>
      </c>
      <c r="BB591" s="1129"/>
      <c r="BC591" s="1129"/>
      <c r="BD591" s="1129"/>
      <c r="BE591" s="1130"/>
      <c r="BF591" s="1198">
        <f t="shared" si="5"/>
        <v>0</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2</v>
      </c>
      <c r="BV591" s="1198"/>
      <c r="BW591" s="1198"/>
      <c r="BX591" s="1198"/>
      <c r="BY591" s="1198"/>
      <c r="BZ591" s="1198">
        <f t="shared" si="9"/>
        <v>0</v>
      </c>
      <c r="CA591" s="1198"/>
      <c r="CB591" s="1198"/>
      <c r="CC591" s="1198"/>
      <c r="CD591" s="1198"/>
      <c r="CE591" s="1206">
        <f t="shared" si="10"/>
        <v>0</v>
      </c>
      <c r="CF591" s="1206"/>
      <c r="CG591" s="1206"/>
      <c r="CH591" s="1206"/>
      <c r="CI591" s="1206"/>
      <c r="CJ591" s="1206">
        <f t="shared" si="11"/>
        <v>0</v>
      </c>
      <c r="CK591" s="1206"/>
      <c r="CL591" s="1206"/>
      <c r="CM591" s="1206"/>
      <c r="CN591" s="1206"/>
      <c r="CO591" s="1206">
        <f t="shared" si="12"/>
        <v>0</v>
      </c>
      <c r="CP591" s="1206"/>
      <c r="CQ591" s="1206"/>
      <c r="CR591" s="1206"/>
      <c r="CS591" s="1206"/>
      <c r="CT591" s="1206">
        <f t="shared" si="13"/>
        <v>0</v>
      </c>
      <c r="CU591" s="1206"/>
      <c r="CV591" s="1206"/>
      <c r="CW591" s="1206"/>
      <c r="CX591" s="1206"/>
      <c r="CY591" s="1206">
        <f t="shared" si="14"/>
        <v>2</v>
      </c>
      <c r="CZ591" s="1206"/>
      <c r="DA591" s="1206"/>
      <c r="DB591" s="1206"/>
      <c r="DC591" s="1206"/>
      <c r="DD591" s="1206">
        <f t="shared" si="15"/>
        <v>0</v>
      </c>
      <c r="DE591" s="1206"/>
      <c r="DF591" s="1206"/>
      <c r="DG591" s="1206"/>
      <c r="DH591" s="1206"/>
    </row>
    <row r="592" spans="1:112" ht="12.75">
      <c r="A592" s="87" t="s">
        <v>508</v>
      </c>
      <c r="B592" s="12" t="s">
        <v>510</v>
      </c>
      <c r="G592" s="1097" t="str">
        <f>C553</f>
        <v>GP Capital Contribution - Developer Fee</v>
      </c>
      <c r="H592" s="1097"/>
      <c r="I592" s="1097"/>
      <c r="J592" s="1097"/>
      <c r="K592" s="1097"/>
      <c r="L592" s="1097"/>
      <c r="M592" s="1097"/>
      <c r="N592" s="1097"/>
      <c r="O592" s="1097"/>
      <c r="P592" s="1097"/>
      <c r="Q592" s="1097"/>
      <c r="R592" s="1097"/>
      <c r="T592" s="87" t="s">
        <v>697</v>
      </c>
      <c r="U592" s="12" t="s">
        <v>510</v>
      </c>
      <c r="Z592" s="1097" t="str">
        <f>C554</f>
        <v>GP Capital Contrubution</v>
      </c>
      <c r="AA592" s="1097"/>
      <c r="AB592" s="1097"/>
      <c r="AC592" s="1097"/>
      <c r="AD592" s="1097"/>
      <c r="AE592" s="1097"/>
      <c r="AF592" s="1097"/>
      <c r="AG592" s="1097"/>
      <c r="AH592" s="1097"/>
      <c r="AI592" s="1097"/>
      <c r="AJ592" s="1097"/>
      <c r="AK592" s="1097"/>
      <c r="AM592" s="7" t="s">
        <v>172</v>
      </c>
      <c r="AN592" s="58"/>
      <c r="AO592" s="58"/>
      <c r="AP592" s="58"/>
      <c r="AQ592" s="58"/>
      <c r="AR592" s="1523">
        <f t="shared" si="0"/>
        <v>0</v>
      </c>
      <c r="AS592" s="1524"/>
      <c r="AT592" s="1128">
        <f t="shared" si="1"/>
        <v>0</v>
      </c>
      <c r="AU592" s="1130"/>
      <c r="AV592" s="1523">
        <f t="shared" si="2"/>
        <v>0</v>
      </c>
      <c r="AW592" s="1524"/>
      <c r="AX592" s="1128">
        <f t="shared" si="3"/>
        <v>0</v>
      </c>
      <c r="AY592" s="1130"/>
      <c r="AZ592" s="58"/>
      <c r="BA592" s="1128">
        <f t="shared" si="4"/>
        <v>0</v>
      </c>
      <c r="BB592" s="1129"/>
      <c r="BC592" s="1129"/>
      <c r="BD592" s="1129"/>
      <c r="BE592" s="1130"/>
      <c r="BF592" s="1198">
        <f t="shared" si="5"/>
        <v>0</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6">
        <f t="shared" si="10"/>
        <v>0</v>
      </c>
      <c r="CF592" s="1206"/>
      <c r="CG592" s="1206"/>
      <c r="CH592" s="1206"/>
      <c r="CI592" s="1206"/>
      <c r="CJ592" s="1206">
        <f t="shared" si="11"/>
        <v>0</v>
      </c>
      <c r="CK592" s="1206"/>
      <c r="CL592" s="1206"/>
      <c r="CM592" s="1206"/>
      <c r="CN592" s="1206"/>
      <c r="CO592" s="1206">
        <f t="shared" si="12"/>
        <v>0</v>
      </c>
      <c r="CP592" s="1206"/>
      <c r="CQ592" s="1206"/>
      <c r="CR592" s="1206"/>
      <c r="CS592" s="1206"/>
      <c r="CT592" s="1206">
        <f t="shared" si="13"/>
        <v>0</v>
      </c>
      <c r="CU592" s="1206"/>
      <c r="CV592" s="1206"/>
      <c r="CW592" s="1206"/>
      <c r="CX592" s="1206"/>
      <c r="CY592" s="1206">
        <f t="shared" si="14"/>
        <v>0</v>
      </c>
      <c r="CZ592" s="1206"/>
      <c r="DA592" s="1206"/>
      <c r="DB592" s="1206"/>
      <c r="DC592" s="1206"/>
      <c r="DD592" s="1206">
        <f t="shared" si="15"/>
        <v>0</v>
      </c>
      <c r="DE592" s="1206"/>
      <c r="DF592" s="1206"/>
      <c r="DG592" s="1206"/>
      <c r="DH592" s="1206"/>
    </row>
    <row r="593" spans="1:112" ht="12.75">
      <c r="A593" s="35"/>
      <c r="B593" s="12" t="s">
        <v>92</v>
      </c>
      <c r="G593" s="1095" t="s">
        <v>1780</v>
      </c>
      <c r="H593" s="1095"/>
      <c r="I593" s="1095"/>
      <c r="J593" s="1095"/>
      <c r="K593" s="1095"/>
      <c r="L593" s="1095"/>
      <c r="M593" s="1095"/>
      <c r="N593" s="1095"/>
      <c r="O593" s="1095"/>
      <c r="P593" s="1095"/>
      <c r="Q593" s="1095"/>
      <c r="R593" s="1095"/>
      <c r="T593" s="35"/>
      <c r="U593" s="12" t="s">
        <v>92</v>
      </c>
      <c r="Z593" s="1095" t="s">
        <v>1780</v>
      </c>
      <c r="AA593" s="1095"/>
      <c r="AB593" s="1095"/>
      <c r="AC593" s="1095"/>
      <c r="AD593" s="1095"/>
      <c r="AE593" s="1095"/>
      <c r="AF593" s="1095"/>
      <c r="AG593" s="1095"/>
      <c r="AH593" s="1095"/>
      <c r="AI593" s="1095"/>
      <c r="AJ593" s="1095"/>
      <c r="AK593" s="1095"/>
      <c r="AM593" s="7" t="s">
        <v>33</v>
      </c>
      <c r="AN593" s="58"/>
      <c r="AO593" s="58"/>
      <c r="AP593" s="58"/>
      <c r="AQ593" s="58"/>
      <c r="AR593" s="1523">
        <f t="shared" si="0"/>
        <v>1</v>
      </c>
      <c r="AS593" s="1524"/>
      <c r="AT593" s="1128">
        <f t="shared" si="1"/>
        <v>7</v>
      </c>
      <c r="AU593" s="1130"/>
      <c r="AV593" s="1523">
        <f t="shared" si="2"/>
        <v>0</v>
      </c>
      <c r="AW593" s="1524"/>
      <c r="AX593" s="1128">
        <f t="shared" si="3"/>
        <v>0</v>
      </c>
      <c r="AY593" s="1130"/>
      <c r="AZ593" s="58"/>
      <c r="BA593" s="1128">
        <f t="shared" si="4"/>
        <v>0</v>
      </c>
      <c r="BB593" s="1129"/>
      <c r="BC593" s="1129"/>
      <c r="BD593" s="1129"/>
      <c r="BE593" s="1130"/>
      <c r="BF593" s="1198">
        <f t="shared" si="5"/>
        <v>0</v>
      </c>
      <c r="BG593" s="1198"/>
      <c r="BH593" s="1198"/>
      <c r="BI593" s="1198"/>
      <c r="BJ593" s="1198"/>
      <c r="BK593" s="1198">
        <f t="shared" si="6"/>
        <v>7</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6">
        <f t="shared" si="10"/>
        <v>0</v>
      </c>
      <c r="CF593" s="1206"/>
      <c r="CG593" s="1206"/>
      <c r="CH593" s="1206"/>
      <c r="CI593" s="1206"/>
      <c r="CJ593" s="1206">
        <f t="shared" si="11"/>
        <v>0</v>
      </c>
      <c r="CK593" s="1206"/>
      <c r="CL593" s="1206"/>
      <c r="CM593" s="1206"/>
      <c r="CN593" s="1206"/>
      <c r="CO593" s="1206">
        <f t="shared" si="12"/>
        <v>0</v>
      </c>
      <c r="CP593" s="1206"/>
      <c r="CQ593" s="1206"/>
      <c r="CR593" s="1206"/>
      <c r="CS593" s="1206"/>
      <c r="CT593" s="1206">
        <f t="shared" si="13"/>
        <v>0</v>
      </c>
      <c r="CU593" s="1206"/>
      <c r="CV593" s="1206"/>
      <c r="CW593" s="1206"/>
      <c r="CX593" s="1206"/>
      <c r="CY593" s="1206">
        <f t="shared" si="14"/>
        <v>0</v>
      </c>
      <c r="CZ593" s="1206"/>
      <c r="DA593" s="1206"/>
      <c r="DB593" s="1206"/>
      <c r="DC593" s="1206"/>
      <c r="DD593" s="1206">
        <f t="shared" si="15"/>
        <v>0</v>
      </c>
      <c r="DE593" s="1206"/>
      <c r="DF593" s="1206"/>
      <c r="DG593" s="1206"/>
      <c r="DH593" s="1206"/>
    </row>
    <row r="594" spans="1:112" ht="12.75">
      <c r="A594" s="35"/>
      <c r="B594" s="12" t="s">
        <v>631</v>
      </c>
      <c r="G594" s="1116" t="s">
        <v>1677</v>
      </c>
      <c r="H594" s="1116"/>
      <c r="I594" s="1116"/>
      <c r="J594" s="1116"/>
      <c r="K594" s="1116"/>
      <c r="L594" s="1116"/>
      <c r="M594" s="1116"/>
      <c r="N594" s="1116"/>
      <c r="O594" s="1116"/>
      <c r="P594" s="1116"/>
      <c r="Q594" s="1116"/>
      <c r="R594" s="1116"/>
      <c r="T594" s="35"/>
      <c r="U594" s="12" t="s">
        <v>631</v>
      </c>
      <c r="Z594" s="1116" t="s">
        <v>1677</v>
      </c>
      <c r="AA594" s="1116"/>
      <c r="AB594" s="1116"/>
      <c r="AC594" s="1116"/>
      <c r="AD594" s="1116"/>
      <c r="AE594" s="1116"/>
      <c r="AF594" s="1116"/>
      <c r="AG594" s="1116"/>
      <c r="AH594" s="1116"/>
      <c r="AI594" s="1116"/>
      <c r="AJ594" s="1116"/>
      <c r="AK594" s="1116"/>
      <c r="AM594" s="58"/>
      <c r="AN594" s="58"/>
      <c r="AO594" s="58"/>
      <c r="AP594" s="58"/>
      <c r="AQ594" s="58"/>
      <c r="AR594" s="1523">
        <f t="shared" si="0"/>
        <v>1</v>
      </c>
      <c r="AS594" s="1524"/>
      <c r="AT594" s="1128">
        <f t="shared" si="1"/>
        <v>2</v>
      </c>
      <c r="AU594" s="1130"/>
      <c r="AV594" s="1523">
        <f t="shared" si="2"/>
        <v>0</v>
      </c>
      <c r="AW594" s="1524"/>
      <c r="AX594" s="1128">
        <f t="shared" si="3"/>
        <v>0</v>
      </c>
      <c r="AY594" s="1130"/>
      <c r="AZ594" s="58"/>
      <c r="BA594" s="1128">
        <f t="shared" si="4"/>
        <v>0</v>
      </c>
      <c r="BB594" s="1129"/>
      <c r="BC594" s="1129"/>
      <c r="BD594" s="1129"/>
      <c r="BE594" s="1130"/>
      <c r="BF594" s="1198">
        <f t="shared" si="5"/>
        <v>0</v>
      </c>
      <c r="BG594" s="1198"/>
      <c r="BH594" s="1198"/>
      <c r="BI594" s="1198"/>
      <c r="BJ594" s="1198"/>
      <c r="BK594" s="1198">
        <f t="shared" si="6"/>
        <v>0</v>
      </c>
      <c r="BL594" s="1198"/>
      <c r="BM594" s="1198"/>
      <c r="BN594" s="1198"/>
      <c r="BO594" s="1198"/>
      <c r="BP594" s="1198">
        <f t="shared" si="7"/>
        <v>2</v>
      </c>
      <c r="BQ594" s="1198"/>
      <c r="BR594" s="1198"/>
      <c r="BS594" s="1198"/>
      <c r="BT594" s="1198"/>
      <c r="BU594" s="1198">
        <f t="shared" si="8"/>
        <v>0</v>
      </c>
      <c r="BV594" s="1198"/>
      <c r="BW594" s="1198"/>
      <c r="BX594" s="1198"/>
      <c r="BY594" s="1198"/>
      <c r="BZ594" s="1198">
        <f t="shared" si="9"/>
        <v>0</v>
      </c>
      <c r="CA594" s="1198"/>
      <c r="CB594" s="1198"/>
      <c r="CC594" s="1198"/>
      <c r="CD594" s="1198"/>
      <c r="CE594" s="1206">
        <f t="shared" si="10"/>
        <v>0</v>
      </c>
      <c r="CF594" s="1206"/>
      <c r="CG594" s="1206"/>
      <c r="CH594" s="1206"/>
      <c r="CI594" s="1206"/>
      <c r="CJ594" s="1206">
        <f t="shared" si="11"/>
        <v>0</v>
      </c>
      <c r="CK594" s="1206"/>
      <c r="CL594" s="1206"/>
      <c r="CM594" s="1206"/>
      <c r="CN594" s="1206"/>
      <c r="CO594" s="1206">
        <f t="shared" si="12"/>
        <v>0</v>
      </c>
      <c r="CP594" s="1206"/>
      <c r="CQ594" s="1206"/>
      <c r="CR594" s="1206"/>
      <c r="CS594" s="1206"/>
      <c r="CT594" s="1206">
        <f t="shared" si="13"/>
        <v>0</v>
      </c>
      <c r="CU594" s="1206"/>
      <c r="CV594" s="1206"/>
      <c r="CW594" s="1206"/>
      <c r="CX594" s="1206"/>
      <c r="CY594" s="1206">
        <f t="shared" si="14"/>
        <v>0</v>
      </c>
      <c r="CZ594" s="1206"/>
      <c r="DA594" s="1206"/>
      <c r="DB594" s="1206"/>
      <c r="DC594" s="1206"/>
      <c r="DD594" s="1206">
        <f t="shared" si="15"/>
        <v>0</v>
      </c>
      <c r="DE594" s="1206"/>
      <c r="DF594" s="1206"/>
      <c r="DG594" s="1206"/>
      <c r="DH594" s="1206"/>
    </row>
    <row r="595" spans="1:112" ht="12.75">
      <c r="A595" s="35"/>
      <c r="B595" s="12" t="s">
        <v>19</v>
      </c>
      <c r="G595" s="1095" t="s">
        <v>1781</v>
      </c>
      <c r="H595" s="1095"/>
      <c r="I595" s="1095"/>
      <c r="J595" s="1095"/>
      <c r="K595" s="1095"/>
      <c r="L595" s="1095"/>
      <c r="M595" s="1095"/>
      <c r="N595" s="1095"/>
      <c r="O595" s="1095"/>
      <c r="P595" s="1095"/>
      <c r="Q595" s="1095"/>
      <c r="R595" s="1095"/>
      <c r="T595" s="35"/>
      <c r="U595" s="12" t="s">
        <v>19</v>
      </c>
      <c r="Z595" s="1095" t="s">
        <v>1781</v>
      </c>
      <c r="AA595" s="1095"/>
      <c r="AB595" s="1095"/>
      <c r="AC595" s="1095"/>
      <c r="AD595" s="1095"/>
      <c r="AE595" s="1095"/>
      <c r="AF595" s="1095"/>
      <c r="AG595" s="1095"/>
      <c r="AH595" s="1095"/>
      <c r="AI595" s="1095"/>
      <c r="AJ595" s="1095"/>
      <c r="AK595" s="1095"/>
      <c r="AM595" s="58"/>
      <c r="AN595" s="58"/>
      <c r="AO595" s="58"/>
      <c r="AP595" s="58"/>
      <c r="AQ595" s="58"/>
      <c r="AR595" s="1523">
        <f t="shared" si="0"/>
        <v>1</v>
      </c>
      <c r="AS595" s="1524"/>
      <c r="AT595" s="1128">
        <f t="shared" si="1"/>
        <v>6</v>
      </c>
      <c r="AU595" s="1130"/>
      <c r="AV595" s="1523">
        <f t="shared" si="2"/>
        <v>0</v>
      </c>
      <c r="AW595" s="1524"/>
      <c r="AX595" s="1128">
        <f t="shared" si="3"/>
        <v>0</v>
      </c>
      <c r="AY595" s="1130"/>
      <c r="AZ595" s="58"/>
      <c r="BA595" s="1128">
        <f t="shared" si="4"/>
        <v>0</v>
      </c>
      <c r="BB595" s="1129"/>
      <c r="BC595" s="1129"/>
      <c r="BD595" s="1129"/>
      <c r="BE595" s="1130"/>
      <c r="BF595" s="1198">
        <f t="shared" si="5"/>
        <v>0</v>
      </c>
      <c r="BG595" s="1198"/>
      <c r="BH595" s="1198"/>
      <c r="BI595" s="1198"/>
      <c r="BJ595" s="1198"/>
      <c r="BK595" s="1198">
        <f t="shared" si="6"/>
        <v>0</v>
      </c>
      <c r="BL595" s="1198"/>
      <c r="BM595" s="1198"/>
      <c r="BN595" s="1198"/>
      <c r="BO595" s="1198"/>
      <c r="BP595" s="1198">
        <f t="shared" si="7"/>
        <v>6</v>
      </c>
      <c r="BQ595" s="1198"/>
      <c r="BR595" s="1198"/>
      <c r="BS595" s="1198"/>
      <c r="BT595" s="1198"/>
      <c r="BU595" s="1198">
        <f t="shared" si="8"/>
        <v>0</v>
      </c>
      <c r="BV595" s="1198"/>
      <c r="BW595" s="1198"/>
      <c r="BX595" s="1198"/>
      <c r="BY595" s="1198"/>
      <c r="BZ595" s="1198">
        <f t="shared" si="9"/>
        <v>0</v>
      </c>
      <c r="CA595" s="1198"/>
      <c r="CB595" s="1198"/>
      <c r="CC595" s="1198"/>
      <c r="CD595" s="1198"/>
      <c r="CE595" s="1206">
        <f t="shared" si="10"/>
        <v>0</v>
      </c>
      <c r="CF595" s="1206"/>
      <c r="CG595" s="1206"/>
      <c r="CH595" s="1206"/>
      <c r="CI595" s="1206"/>
      <c r="CJ595" s="1206">
        <f t="shared" si="11"/>
        <v>0</v>
      </c>
      <c r="CK595" s="1206"/>
      <c r="CL595" s="1206"/>
      <c r="CM595" s="1206"/>
      <c r="CN595" s="1206"/>
      <c r="CO595" s="1206">
        <f t="shared" si="12"/>
        <v>0</v>
      </c>
      <c r="CP595" s="1206"/>
      <c r="CQ595" s="1206"/>
      <c r="CR595" s="1206"/>
      <c r="CS595" s="1206"/>
      <c r="CT595" s="1206">
        <f t="shared" si="13"/>
        <v>0</v>
      </c>
      <c r="CU595" s="1206"/>
      <c r="CV595" s="1206"/>
      <c r="CW595" s="1206"/>
      <c r="CX595" s="1206"/>
      <c r="CY595" s="1206">
        <f t="shared" si="14"/>
        <v>0</v>
      </c>
      <c r="CZ595" s="1206"/>
      <c r="DA595" s="1206"/>
      <c r="DB595" s="1206"/>
      <c r="DC595" s="1206"/>
      <c r="DD595" s="1206">
        <f t="shared" si="15"/>
        <v>0</v>
      </c>
      <c r="DE595" s="1206"/>
      <c r="DF595" s="1206"/>
      <c r="DG595" s="1206"/>
      <c r="DH595" s="1206"/>
    </row>
    <row r="596" spans="1:112" ht="12.75">
      <c r="A596" s="35"/>
      <c r="B596" s="12" t="s">
        <v>338</v>
      </c>
      <c r="G596" s="1098" t="s">
        <v>1782</v>
      </c>
      <c r="H596" s="1098"/>
      <c r="I596" s="1098"/>
      <c r="J596" s="1098"/>
      <c r="K596" s="1098"/>
      <c r="L596" s="1098"/>
      <c r="O596" s="140" t="s">
        <v>220</v>
      </c>
      <c r="P596" s="1099"/>
      <c r="Q596" s="1099"/>
      <c r="R596" s="1099"/>
      <c r="T596" s="35"/>
      <c r="U596" s="12" t="s">
        <v>338</v>
      </c>
      <c r="Z596" s="1098" t="s">
        <v>1782</v>
      </c>
      <c r="AA596" s="1098"/>
      <c r="AB596" s="1098"/>
      <c r="AC596" s="1098"/>
      <c r="AD596" s="1098"/>
      <c r="AE596" s="1098"/>
      <c r="AH596" s="140" t="s">
        <v>220</v>
      </c>
      <c r="AI596" s="1099"/>
      <c r="AJ596" s="1099"/>
      <c r="AK596" s="1099"/>
      <c r="AM596" s="58"/>
      <c r="AN596" s="58"/>
      <c r="AO596" s="58"/>
      <c r="AP596" s="58"/>
      <c r="AQ596" s="58"/>
      <c r="AR596" s="1523">
        <f t="shared" si="0"/>
        <v>1</v>
      </c>
      <c r="AS596" s="1524"/>
      <c r="AT596" s="1128">
        <f t="shared" si="1"/>
        <v>1</v>
      </c>
      <c r="AU596" s="1130"/>
      <c r="AV596" s="1523">
        <f t="shared" si="2"/>
        <v>0</v>
      </c>
      <c r="AW596" s="1524"/>
      <c r="AX596" s="1128">
        <f t="shared" si="3"/>
        <v>0</v>
      </c>
      <c r="AY596" s="1130"/>
      <c r="AZ596" s="58"/>
      <c r="BA596" s="1128">
        <f t="shared" si="4"/>
        <v>0</v>
      </c>
      <c r="BB596" s="1129"/>
      <c r="BC596" s="1129"/>
      <c r="BD596" s="1129"/>
      <c r="BE596" s="1130"/>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1</v>
      </c>
      <c r="BV596" s="1198"/>
      <c r="BW596" s="1198"/>
      <c r="BX596" s="1198"/>
      <c r="BY596" s="1198"/>
      <c r="BZ596" s="1198">
        <f t="shared" si="9"/>
        <v>0</v>
      </c>
      <c r="CA596" s="1198"/>
      <c r="CB596" s="1198"/>
      <c r="CC596" s="1198"/>
      <c r="CD596" s="1198"/>
      <c r="CE596" s="1206">
        <f t="shared" si="10"/>
        <v>0</v>
      </c>
      <c r="CF596" s="1206"/>
      <c r="CG596" s="1206"/>
      <c r="CH596" s="1206"/>
      <c r="CI596" s="1206"/>
      <c r="CJ596" s="1206">
        <f t="shared" si="11"/>
        <v>0</v>
      </c>
      <c r="CK596" s="1206"/>
      <c r="CL596" s="1206"/>
      <c r="CM596" s="1206"/>
      <c r="CN596" s="1206"/>
      <c r="CO596" s="1206">
        <f t="shared" si="12"/>
        <v>0</v>
      </c>
      <c r="CP596" s="1206"/>
      <c r="CQ596" s="1206"/>
      <c r="CR596" s="1206"/>
      <c r="CS596" s="1206"/>
      <c r="CT596" s="1206">
        <f t="shared" si="13"/>
        <v>0</v>
      </c>
      <c r="CU596" s="1206"/>
      <c r="CV596" s="1206"/>
      <c r="CW596" s="1206"/>
      <c r="CX596" s="1206"/>
      <c r="CY596" s="1206">
        <f t="shared" si="14"/>
        <v>0</v>
      </c>
      <c r="CZ596" s="1206"/>
      <c r="DA596" s="1206"/>
      <c r="DB596" s="1206"/>
      <c r="DC596" s="1206"/>
      <c r="DD596" s="1206">
        <f t="shared" si="15"/>
        <v>0</v>
      </c>
      <c r="DE596" s="1206"/>
      <c r="DF596" s="1206"/>
      <c r="DG596" s="1206"/>
      <c r="DH596" s="1206"/>
    </row>
    <row r="597" spans="1:112" s="7" customFormat="1" ht="12.75">
      <c r="A597" s="35"/>
      <c r="B597" s="12" t="s">
        <v>20</v>
      </c>
      <c r="C597" s="12"/>
      <c r="D597" s="12"/>
      <c r="E597" s="12"/>
      <c r="F597" s="12"/>
      <c r="G597" s="12"/>
      <c r="H597" s="1095" t="s">
        <v>1784</v>
      </c>
      <c r="I597" s="1095"/>
      <c r="J597" s="1095"/>
      <c r="K597" s="1095"/>
      <c r="L597" s="1095"/>
      <c r="M597" s="1095"/>
      <c r="N597" s="1095"/>
      <c r="O597" s="1095"/>
      <c r="P597" s="1095"/>
      <c r="Q597" s="1095"/>
      <c r="R597" s="1095"/>
      <c r="S597" s="12"/>
      <c r="T597" s="35"/>
      <c r="U597" s="12" t="s">
        <v>20</v>
      </c>
      <c r="V597" s="12"/>
      <c r="W597" s="12"/>
      <c r="X597" s="12"/>
      <c r="Y597" s="12"/>
      <c r="Z597" s="12"/>
      <c r="AA597" s="1095" t="s">
        <v>1784</v>
      </c>
      <c r="AB597" s="1095"/>
      <c r="AC597" s="1095"/>
      <c r="AD597" s="1095"/>
      <c r="AE597" s="1095"/>
      <c r="AF597" s="1095"/>
      <c r="AG597" s="1095"/>
      <c r="AH597" s="1095"/>
      <c r="AI597" s="1095"/>
      <c r="AJ597" s="1095"/>
      <c r="AK597" s="1095"/>
      <c r="AL597" s="12"/>
      <c r="AM597" s="58"/>
      <c r="AN597" s="58"/>
      <c r="AO597" s="58"/>
      <c r="AP597" s="58"/>
      <c r="AQ597" s="58"/>
      <c r="AR597" s="1523">
        <f t="shared" si="0"/>
        <v>0</v>
      </c>
      <c r="AS597" s="1524"/>
      <c r="AT597" s="1128">
        <f t="shared" si="1"/>
        <v>0</v>
      </c>
      <c r="AU597" s="1130"/>
      <c r="AV597" s="1523">
        <f t="shared" si="2"/>
        <v>0</v>
      </c>
      <c r="AW597" s="1524"/>
      <c r="AX597" s="1128">
        <f t="shared" si="3"/>
        <v>0</v>
      </c>
      <c r="AY597" s="1130"/>
      <c r="AZ597" s="58"/>
      <c r="BA597" s="1128">
        <f t="shared" si="4"/>
        <v>0</v>
      </c>
      <c r="BB597" s="1129"/>
      <c r="BC597" s="1129"/>
      <c r="BD597" s="1129"/>
      <c r="BE597" s="1130"/>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6">
        <f t="shared" si="10"/>
        <v>0</v>
      </c>
      <c r="CF597" s="1206"/>
      <c r="CG597" s="1206"/>
      <c r="CH597" s="1206"/>
      <c r="CI597" s="1206"/>
      <c r="CJ597" s="1206">
        <f t="shared" si="11"/>
        <v>0</v>
      </c>
      <c r="CK597" s="1206"/>
      <c r="CL597" s="1206"/>
      <c r="CM597" s="1206"/>
      <c r="CN597" s="1206"/>
      <c r="CO597" s="1206">
        <f t="shared" si="12"/>
        <v>0</v>
      </c>
      <c r="CP597" s="1206"/>
      <c r="CQ597" s="1206"/>
      <c r="CR597" s="1206"/>
      <c r="CS597" s="1206"/>
      <c r="CT597" s="1206">
        <f t="shared" si="13"/>
        <v>0</v>
      </c>
      <c r="CU597" s="1206"/>
      <c r="CV597" s="1206"/>
      <c r="CW597" s="1206"/>
      <c r="CX597" s="1206"/>
      <c r="CY597" s="1206">
        <f t="shared" si="14"/>
        <v>0</v>
      </c>
      <c r="CZ597" s="1206"/>
      <c r="DA597" s="1206"/>
      <c r="DB597" s="1206"/>
      <c r="DC597" s="1206"/>
      <c r="DD597" s="1206">
        <f t="shared" si="15"/>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96" t="s">
        <v>592</v>
      </c>
      <c r="O598" s="1096"/>
      <c r="P598" s="12"/>
      <c r="Q598" s="12"/>
      <c r="R598" s="12"/>
      <c r="S598" s="12"/>
      <c r="T598" s="35"/>
      <c r="U598" s="12" t="s">
        <v>22</v>
      </c>
      <c r="V598" s="12"/>
      <c r="W598" s="12"/>
      <c r="X598" s="12"/>
      <c r="Y598" s="12"/>
      <c r="Z598" s="12"/>
      <c r="AA598" s="12"/>
      <c r="AB598" s="12"/>
      <c r="AC598" s="12"/>
      <c r="AD598" s="12"/>
      <c r="AE598" s="12"/>
      <c r="AF598" s="12"/>
      <c r="AG598" s="1096" t="s">
        <v>592</v>
      </c>
      <c r="AH598" s="1096"/>
      <c r="AI598" s="12"/>
      <c r="AJ598" s="12"/>
      <c r="AK598" s="12"/>
      <c r="AL598" s="12"/>
      <c r="AM598" s="58"/>
      <c r="AN598" s="58"/>
      <c r="AO598" s="58"/>
      <c r="AP598" s="58"/>
      <c r="AQ598" s="58"/>
      <c r="AR598" s="1523">
        <f t="shared" si="0"/>
        <v>1</v>
      </c>
      <c r="AS598" s="1524"/>
      <c r="AT598" s="1128">
        <f t="shared" si="1"/>
        <v>3</v>
      </c>
      <c r="AU598" s="1130"/>
      <c r="AV598" s="1523">
        <f t="shared" si="2"/>
        <v>0</v>
      </c>
      <c r="AW598" s="1524"/>
      <c r="AX598" s="1128">
        <f t="shared" si="3"/>
        <v>0</v>
      </c>
      <c r="AY598" s="1130"/>
      <c r="AZ598" s="58"/>
      <c r="BA598" s="1128">
        <f t="shared" si="4"/>
        <v>0</v>
      </c>
      <c r="BB598" s="1129"/>
      <c r="BC598" s="1129"/>
      <c r="BD598" s="1129"/>
      <c r="BE598" s="1130"/>
      <c r="BF598" s="1198">
        <f t="shared" si="5"/>
        <v>0</v>
      </c>
      <c r="BG598" s="1198"/>
      <c r="BH598" s="1198"/>
      <c r="BI598" s="1198"/>
      <c r="BJ598" s="1198"/>
      <c r="BK598" s="1198">
        <f t="shared" si="6"/>
        <v>3</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6">
        <f t="shared" si="10"/>
        <v>0</v>
      </c>
      <c r="CF598" s="1206"/>
      <c r="CG598" s="1206"/>
      <c r="CH598" s="1206"/>
      <c r="CI598" s="1206"/>
      <c r="CJ598" s="1206">
        <f t="shared" si="11"/>
        <v>0</v>
      </c>
      <c r="CK598" s="1206"/>
      <c r="CL598" s="1206"/>
      <c r="CM598" s="1206"/>
      <c r="CN598" s="1206"/>
      <c r="CO598" s="1206">
        <f t="shared" si="12"/>
        <v>0</v>
      </c>
      <c r="CP598" s="1206"/>
      <c r="CQ598" s="1206"/>
      <c r="CR598" s="1206"/>
      <c r="CS598" s="1206"/>
      <c r="CT598" s="1206">
        <f t="shared" si="13"/>
        <v>0</v>
      </c>
      <c r="CU598" s="1206"/>
      <c r="CV598" s="1206"/>
      <c r="CW598" s="1206"/>
      <c r="CX598" s="1206"/>
      <c r="CY598" s="1206">
        <f t="shared" si="14"/>
        <v>0</v>
      </c>
      <c r="CZ598" s="1206"/>
      <c r="DA598" s="1206"/>
      <c r="DB598" s="1206"/>
      <c r="DC598" s="1206"/>
      <c r="DD598" s="1206">
        <f t="shared" si="15"/>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0"/>
        <v>1</v>
      </c>
      <c r="AS599" s="1524"/>
      <c r="AT599" s="1128">
        <f t="shared" si="1"/>
        <v>1</v>
      </c>
      <c r="AU599" s="1130"/>
      <c r="AV599" s="1523">
        <f t="shared" si="2"/>
        <v>0</v>
      </c>
      <c r="AW599" s="1524"/>
      <c r="AX599" s="1128">
        <f t="shared" si="3"/>
        <v>0</v>
      </c>
      <c r="AY599" s="1130"/>
      <c r="AZ599" s="58"/>
      <c r="BA599" s="1128">
        <f t="shared" si="4"/>
        <v>0</v>
      </c>
      <c r="BB599" s="1129"/>
      <c r="BC599" s="1129"/>
      <c r="BD599" s="1129"/>
      <c r="BE599" s="1130"/>
      <c r="BF599" s="1198">
        <f t="shared" si="5"/>
        <v>0</v>
      </c>
      <c r="BG599" s="1198"/>
      <c r="BH599" s="1198"/>
      <c r="BI599" s="1198"/>
      <c r="BJ599" s="1198"/>
      <c r="BK599" s="1198">
        <f t="shared" si="6"/>
        <v>0</v>
      </c>
      <c r="BL599" s="1198"/>
      <c r="BM599" s="1198"/>
      <c r="BN599" s="1198"/>
      <c r="BO599" s="1198"/>
      <c r="BP599" s="1198">
        <f t="shared" si="7"/>
        <v>1</v>
      </c>
      <c r="BQ599" s="1198"/>
      <c r="BR599" s="1198"/>
      <c r="BS599" s="1198"/>
      <c r="BT599" s="1198"/>
      <c r="BU599" s="1198">
        <f t="shared" si="8"/>
        <v>0</v>
      </c>
      <c r="BV599" s="1198"/>
      <c r="BW599" s="1198"/>
      <c r="BX599" s="1198"/>
      <c r="BY599" s="1198"/>
      <c r="BZ599" s="1198">
        <f t="shared" si="9"/>
        <v>0</v>
      </c>
      <c r="CA599" s="1198"/>
      <c r="CB599" s="1198"/>
      <c r="CC599" s="1198"/>
      <c r="CD599" s="1198"/>
      <c r="CE599" s="1206">
        <f t="shared" si="10"/>
        <v>0</v>
      </c>
      <c r="CF599" s="1206"/>
      <c r="CG599" s="1206"/>
      <c r="CH599" s="1206"/>
      <c r="CI599" s="1206"/>
      <c r="CJ599" s="1206">
        <f t="shared" si="11"/>
        <v>0</v>
      </c>
      <c r="CK599" s="1206"/>
      <c r="CL599" s="1206"/>
      <c r="CM599" s="1206"/>
      <c r="CN599" s="1206"/>
      <c r="CO599" s="1206">
        <f t="shared" si="12"/>
        <v>0</v>
      </c>
      <c r="CP599" s="1206"/>
      <c r="CQ599" s="1206"/>
      <c r="CR599" s="1206"/>
      <c r="CS599" s="1206"/>
      <c r="CT599" s="1206">
        <f t="shared" si="13"/>
        <v>0</v>
      </c>
      <c r="CU599" s="1206"/>
      <c r="CV599" s="1206"/>
      <c r="CW599" s="1206"/>
      <c r="CX599" s="1206"/>
      <c r="CY599" s="1206">
        <f t="shared" si="14"/>
        <v>0</v>
      </c>
      <c r="CZ599" s="1206"/>
      <c r="DA599" s="1206"/>
      <c r="DB599" s="1206"/>
      <c r="DC599" s="1206"/>
      <c r="DD599" s="1206">
        <f t="shared" si="15"/>
        <v>0</v>
      </c>
      <c r="DE599" s="1206"/>
      <c r="DF599" s="1206"/>
      <c r="DG599" s="1206"/>
      <c r="DH599" s="1206"/>
    </row>
    <row r="600" spans="1:112" ht="12.75">
      <c r="A600" s="87" t="s">
        <v>386</v>
      </c>
      <c r="B600" s="12" t="s">
        <v>510</v>
      </c>
      <c r="G600" s="1097" t="str">
        <f>C555</f>
        <v xml:space="preserve">LP Equity </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23">
        <f t="shared" si="0"/>
        <v>0</v>
      </c>
      <c r="AS600" s="1524"/>
      <c r="AT600" s="1128">
        <f t="shared" si="1"/>
        <v>0</v>
      </c>
      <c r="AU600" s="1130"/>
      <c r="AV600" s="1523">
        <f t="shared" si="2"/>
        <v>0</v>
      </c>
      <c r="AW600" s="1524"/>
      <c r="AX600" s="1128">
        <f t="shared" si="3"/>
        <v>0</v>
      </c>
      <c r="AY600" s="1130"/>
      <c r="AZ600" s="58"/>
      <c r="BA600" s="1128">
        <f t="shared" si="4"/>
        <v>0</v>
      </c>
      <c r="BB600" s="1129"/>
      <c r="BC600" s="1129"/>
      <c r="BD600" s="1129"/>
      <c r="BE600" s="1130"/>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6">
        <f t="shared" si="10"/>
        <v>0</v>
      </c>
      <c r="CF600" s="1206"/>
      <c r="CG600" s="1206"/>
      <c r="CH600" s="1206"/>
      <c r="CI600" s="1206"/>
      <c r="CJ600" s="1206">
        <f t="shared" si="11"/>
        <v>0</v>
      </c>
      <c r="CK600" s="1206"/>
      <c r="CL600" s="1206"/>
      <c r="CM600" s="1206"/>
      <c r="CN600" s="1206"/>
      <c r="CO600" s="1206">
        <f t="shared" si="12"/>
        <v>0</v>
      </c>
      <c r="CP600" s="1206"/>
      <c r="CQ600" s="1206"/>
      <c r="CR600" s="1206"/>
      <c r="CS600" s="1206"/>
      <c r="CT600" s="1206">
        <f t="shared" si="13"/>
        <v>0</v>
      </c>
      <c r="CU600" s="1206"/>
      <c r="CV600" s="1206"/>
      <c r="CW600" s="1206"/>
      <c r="CX600" s="1206"/>
      <c r="CY600" s="1206">
        <f t="shared" si="14"/>
        <v>0</v>
      </c>
      <c r="CZ600" s="1206"/>
      <c r="DA600" s="1206"/>
      <c r="DB600" s="1206"/>
      <c r="DC600" s="1206"/>
      <c r="DD600" s="1206">
        <f t="shared" si="15"/>
        <v>0</v>
      </c>
      <c r="DE600" s="1206"/>
      <c r="DF600" s="1206"/>
      <c r="DG600" s="1206"/>
      <c r="DH600" s="1206"/>
    </row>
    <row r="601" spans="1:112" ht="12.75">
      <c r="B601" s="12" t="s">
        <v>92</v>
      </c>
      <c r="G601" s="1095" t="s">
        <v>1713</v>
      </c>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23">
        <f t="shared" si="0"/>
        <v>0</v>
      </c>
      <c r="AS601" s="1524"/>
      <c r="AT601" s="1128">
        <f t="shared" si="1"/>
        <v>0</v>
      </c>
      <c r="AU601" s="1130"/>
      <c r="AV601" s="1523">
        <f t="shared" si="2"/>
        <v>0</v>
      </c>
      <c r="AW601" s="1524"/>
      <c r="AX601" s="1128">
        <f t="shared" si="3"/>
        <v>0</v>
      </c>
      <c r="AY601" s="1130"/>
      <c r="AZ601" s="58"/>
      <c r="BA601" s="1128">
        <f t="shared" si="4"/>
        <v>0</v>
      </c>
      <c r="BB601" s="1129"/>
      <c r="BC601" s="1129"/>
      <c r="BD601" s="1129"/>
      <c r="BE601" s="1130"/>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6">
        <f t="shared" si="10"/>
        <v>0</v>
      </c>
      <c r="CF601" s="1206"/>
      <c r="CG601" s="1206"/>
      <c r="CH601" s="1206"/>
      <c r="CI601" s="1206"/>
      <c r="CJ601" s="1206">
        <f t="shared" si="11"/>
        <v>0</v>
      </c>
      <c r="CK601" s="1206"/>
      <c r="CL601" s="1206"/>
      <c r="CM601" s="1206"/>
      <c r="CN601" s="1206"/>
      <c r="CO601" s="1206">
        <f t="shared" si="12"/>
        <v>0</v>
      </c>
      <c r="CP601" s="1206"/>
      <c r="CQ601" s="1206"/>
      <c r="CR601" s="1206"/>
      <c r="CS601" s="1206"/>
      <c r="CT601" s="1206">
        <f t="shared" si="13"/>
        <v>0</v>
      </c>
      <c r="CU601" s="1206"/>
      <c r="CV601" s="1206"/>
      <c r="CW601" s="1206"/>
      <c r="CX601" s="1206"/>
      <c r="CY601" s="1206">
        <f t="shared" si="14"/>
        <v>0</v>
      </c>
      <c r="CZ601" s="1206"/>
      <c r="DA601" s="1206"/>
      <c r="DB601" s="1206"/>
      <c r="DC601" s="1206"/>
      <c r="DD601" s="1206">
        <f t="shared" si="15"/>
        <v>0</v>
      </c>
      <c r="DE601" s="1206"/>
      <c r="DF601" s="1206"/>
      <c r="DG601" s="1206"/>
      <c r="DH601" s="1206"/>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23">
        <f t="shared" si="0"/>
        <v>0</v>
      </c>
      <c r="AS602" s="1524"/>
      <c r="AT602" s="1128">
        <f t="shared" si="1"/>
        <v>0</v>
      </c>
      <c r="AU602" s="1130"/>
      <c r="AV602" s="1523">
        <f t="shared" si="2"/>
        <v>0</v>
      </c>
      <c r="AW602" s="1524"/>
      <c r="AX602" s="1128">
        <f t="shared" si="3"/>
        <v>0</v>
      </c>
      <c r="AY602" s="1130"/>
      <c r="AZ602" s="58"/>
      <c r="BA602" s="1128">
        <f t="shared" si="4"/>
        <v>0</v>
      </c>
      <c r="BB602" s="1129"/>
      <c r="BC602" s="1129"/>
      <c r="BD602" s="1129"/>
      <c r="BE602" s="1130"/>
      <c r="BF602" s="1198">
        <f t="shared" si="5"/>
        <v>0</v>
      </c>
      <c r="BG602" s="1198"/>
      <c r="BH602" s="1198"/>
      <c r="BI602" s="1198"/>
      <c r="BJ602" s="1198"/>
      <c r="BK602" s="1198">
        <f t="shared" si="6"/>
        <v>1</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6">
        <f t="shared" si="10"/>
        <v>0</v>
      </c>
      <c r="CF602" s="1206"/>
      <c r="CG602" s="1206"/>
      <c r="CH602" s="1206"/>
      <c r="CI602" s="1206"/>
      <c r="CJ602" s="1206">
        <f t="shared" si="11"/>
        <v>0</v>
      </c>
      <c r="CK602" s="1206"/>
      <c r="CL602" s="1206"/>
      <c r="CM602" s="1206"/>
      <c r="CN602" s="1206"/>
      <c r="CO602" s="1206">
        <f t="shared" si="12"/>
        <v>0</v>
      </c>
      <c r="CP602" s="1206"/>
      <c r="CQ602" s="1206"/>
      <c r="CR602" s="1206"/>
      <c r="CS602" s="1206"/>
      <c r="CT602" s="1206">
        <f t="shared" si="13"/>
        <v>0</v>
      </c>
      <c r="CU602" s="1206"/>
      <c r="CV602" s="1206"/>
      <c r="CW602" s="1206"/>
      <c r="CX602" s="1206"/>
      <c r="CY602" s="1206">
        <f t="shared" si="14"/>
        <v>0</v>
      </c>
      <c r="CZ602" s="1206"/>
      <c r="DA602" s="1206"/>
      <c r="DB602" s="1206"/>
      <c r="DC602" s="1206"/>
      <c r="DD602" s="1206">
        <f t="shared" si="15"/>
        <v>0</v>
      </c>
      <c r="DE602" s="1206"/>
      <c r="DF602" s="1206"/>
      <c r="DG602" s="1206"/>
      <c r="DH602" s="1206"/>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23">
        <f t="shared" si="0"/>
        <v>0</v>
      </c>
      <c r="AS603" s="1524"/>
      <c r="AT603" s="1128">
        <f t="shared" si="1"/>
        <v>0</v>
      </c>
      <c r="AU603" s="1130"/>
      <c r="AV603" s="1523">
        <f t="shared" si="2"/>
        <v>0</v>
      </c>
      <c r="AW603" s="1524"/>
      <c r="AX603" s="1128">
        <f t="shared" si="3"/>
        <v>0</v>
      </c>
      <c r="AY603" s="1130"/>
      <c r="AZ603" s="58"/>
      <c r="BA603" s="1128">
        <f t="shared" si="4"/>
        <v>0</v>
      </c>
      <c r="BB603" s="1129"/>
      <c r="BC603" s="1129"/>
      <c r="BD603" s="1129"/>
      <c r="BE603" s="1130"/>
      <c r="BF603" s="1198">
        <f t="shared" si="5"/>
        <v>0</v>
      </c>
      <c r="BG603" s="1198"/>
      <c r="BH603" s="1198"/>
      <c r="BI603" s="1198"/>
      <c r="BJ603" s="1198"/>
      <c r="BK603" s="1198">
        <f t="shared" si="6"/>
        <v>0</v>
      </c>
      <c r="BL603" s="1198"/>
      <c r="BM603" s="1198"/>
      <c r="BN603" s="1198"/>
      <c r="BO603" s="1198"/>
      <c r="BP603" s="1198">
        <f t="shared" si="7"/>
        <v>1</v>
      </c>
      <c r="BQ603" s="1198"/>
      <c r="BR603" s="1198"/>
      <c r="BS603" s="1198"/>
      <c r="BT603" s="1198"/>
      <c r="BU603" s="1198">
        <f t="shared" si="8"/>
        <v>0</v>
      </c>
      <c r="BV603" s="1198"/>
      <c r="BW603" s="1198"/>
      <c r="BX603" s="1198"/>
      <c r="BY603" s="1198"/>
      <c r="BZ603" s="1198">
        <f t="shared" si="9"/>
        <v>0</v>
      </c>
      <c r="CA603" s="1198"/>
      <c r="CB603" s="1198"/>
      <c r="CC603" s="1198"/>
      <c r="CD603" s="1198"/>
      <c r="CE603" s="1206">
        <f t="shared" si="10"/>
        <v>0</v>
      </c>
      <c r="CF603" s="1206"/>
      <c r="CG603" s="1206"/>
      <c r="CH603" s="1206"/>
      <c r="CI603" s="1206"/>
      <c r="CJ603" s="1206">
        <f t="shared" si="11"/>
        <v>0</v>
      </c>
      <c r="CK603" s="1206"/>
      <c r="CL603" s="1206"/>
      <c r="CM603" s="1206"/>
      <c r="CN603" s="1206"/>
      <c r="CO603" s="1206">
        <f t="shared" si="12"/>
        <v>0</v>
      </c>
      <c r="CP603" s="1206"/>
      <c r="CQ603" s="1206"/>
      <c r="CR603" s="1206"/>
      <c r="CS603" s="1206"/>
      <c r="CT603" s="1206">
        <f t="shared" si="13"/>
        <v>0</v>
      </c>
      <c r="CU603" s="1206"/>
      <c r="CV603" s="1206"/>
      <c r="CW603" s="1206"/>
      <c r="CX603" s="1206"/>
      <c r="CY603" s="1206">
        <f t="shared" si="14"/>
        <v>0</v>
      </c>
      <c r="CZ603" s="1206"/>
      <c r="DA603" s="1206"/>
      <c r="DB603" s="1206"/>
      <c r="DC603" s="1206"/>
      <c r="DD603" s="1206">
        <f t="shared" si="15"/>
        <v>0</v>
      </c>
      <c r="DE603" s="1206"/>
      <c r="DF603" s="1206"/>
      <c r="DG603" s="1206"/>
      <c r="DH603" s="1206"/>
    </row>
    <row r="604" spans="1:112" ht="12.75">
      <c r="B604" s="12" t="s">
        <v>338</v>
      </c>
      <c r="G604" s="1136"/>
      <c r="H604" s="1136"/>
      <c r="I604" s="1136"/>
      <c r="J604" s="1136"/>
      <c r="K604" s="1136"/>
      <c r="L604" s="1136"/>
      <c r="O604" s="140" t="s">
        <v>220</v>
      </c>
      <c r="P604" s="1099"/>
      <c r="Q604" s="1099"/>
      <c r="R604" s="1099"/>
      <c r="U604" s="12" t="s">
        <v>338</v>
      </c>
      <c r="Z604" s="1136"/>
      <c r="AA604" s="1136"/>
      <c r="AB604" s="1136"/>
      <c r="AC604" s="1136"/>
      <c r="AD604" s="1136"/>
      <c r="AE604" s="1136"/>
      <c r="AH604" s="140" t="s">
        <v>220</v>
      </c>
      <c r="AI604" s="1099"/>
      <c r="AJ604" s="1099"/>
      <c r="AK604" s="1099"/>
      <c r="AM604" s="58"/>
      <c r="AN604" s="58"/>
      <c r="AO604" s="58"/>
      <c r="AP604" s="58"/>
      <c r="AQ604" s="58"/>
      <c r="AR604" s="1523">
        <f t="shared" si="0"/>
        <v>0</v>
      </c>
      <c r="AS604" s="1524"/>
      <c r="AT604" s="1128">
        <f t="shared" si="1"/>
        <v>0</v>
      </c>
      <c r="AU604" s="1130"/>
      <c r="AV604" s="1523">
        <f t="shared" si="2"/>
        <v>0</v>
      </c>
      <c r="AW604" s="1524"/>
      <c r="AX604" s="1128">
        <f t="shared" si="3"/>
        <v>0</v>
      </c>
      <c r="AY604" s="1130"/>
      <c r="AZ604" s="58"/>
      <c r="BA604" s="1128">
        <f t="shared" si="4"/>
        <v>0</v>
      </c>
      <c r="BB604" s="1129"/>
      <c r="BC604" s="1129"/>
      <c r="BD604" s="1129"/>
      <c r="BE604" s="1130"/>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1</v>
      </c>
      <c r="BV604" s="1198"/>
      <c r="BW604" s="1198"/>
      <c r="BX604" s="1198"/>
      <c r="BY604" s="1198"/>
      <c r="BZ604" s="1198">
        <f t="shared" si="9"/>
        <v>0</v>
      </c>
      <c r="CA604" s="1198"/>
      <c r="CB604" s="1198"/>
      <c r="CC604" s="1198"/>
      <c r="CD604" s="1198"/>
      <c r="CE604" s="1206">
        <f t="shared" si="10"/>
        <v>0</v>
      </c>
      <c r="CF604" s="1206"/>
      <c r="CG604" s="1206"/>
      <c r="CH604" s="1206"/>
      <c r="CI604" s="1206"/>
      <c r="CJ604" s="1206">
        <f t="shared" si="11"/>
        <v>0</v>
      </c>
      <c r="CK604" s="1206"/>
      <c r="CL604" s="1206"/>
      <c r="CM604" s="1206"/>
      <c r="CN604" s="1206"/>
      <c r="CO604" s="1206">
        <f t="shared" si="12"/>
        <v>0</v>
      </c>
      <c r="CP604" s="1206"/>
      <c r="CQ604" s="1206"/>
      <c r="CR604" s="1206"/>
      <c r="CS604" s="1206"/>
      <c r="CT604" s="1206">
        <f t="shared" si="13"/>
        <v>0</v>
      </c>
      <c r="CU604" s="1206"/>
      <c r="CV604" s="1206"/>
      <c r="CW604" s="1206"/>
      <c r="CX604" s="1206"/>
      <c r="CY604" s="1206">
        <f t="shared" si="14"/>
        <v>0</v>
      </c>
      <c r="CZ604" s="1206"/>
      <c r="DA604" s="1206"/>
      <c r="DB604" s="1206"/>
      <c r="DC604" s="1206"/>
      <c r="DD604" s="1206">
        <f t="shared" si="15"/>
        <v>0</v>
      </c>
      <c r="DE604" s="1206"/>
      <c r="DF604" s="1206"/>
      <c r="DG604" s="1206"/>
      <c r="DH604" s="1206"/>
    </row>
    <row r="605" spans="1:112" ht="12.75">
      <c r="B605" s="12" t="s">
        <v>20</v>
      </c>
      <c r="H605" s="1095" t="s">
        <v>1799</v>
      </c>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23">
        <f t="shared" si="0"/>
        <v>0</v>
      </c>
      <c r="AS605" s="1524"/>
      <c r="AT605" s="1128">
        <f t="shared" si="1"/>
        <v>0</v>
      </c>
      <c r="AU605" s="1130"/>
      <c r="AV605" s="1523">
        <f t="shared" si="2"/>
        <v>0</v>
      </c>
      <c r="AW605" s="1524"/>
      <c r="AX605" s="1128">
        <f t="shared" si="3"/>
        <v>0</v>
      </c>
      <c r="AY605" s="1130"/>
      <c r="AZ605" s="58"/>
      <c r="BA605" s="1128">
        <f t="shared" si="4"/>
        <v>0</v>
      </c>
      <c r="BB605" s="1129"/>
      <c r="BC605" s="1129"/>
      <c r="BD605" s="1129"/>
      <c r="BE605" s="1130"/>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6">
        <f t="shared" si="10"/>
        <v>0</v>
      </c>
      <c r="CF605" s="1206"/>
      <c r="CG605" s="1206"/>
      <c r="CH605" s="1206"/>
      <c r="CI605" s="1206"/>
      <c r="CJ605" s="1206">
        <f t="shared" si="11"/>
        <v>0</v>
      </c>
      <c r="CK605" s="1206"/>
      <c r="CL605" s="1206"/>
      <c r="CM605" s="1206"/>
      <c r="CN605" s="1206"/>
      <c r="CO605" s="1206">
        <f t="shared" si="12"/>
        <v>0</v>
      </c>
      <c r="CP605" s="1206"/>
      <c r="CQ605" s="1206"/>
      <c r="CR605" s="1206"/>
      <c r="CS605" s="1206"/>
      <c r="CT605" s="1206">
        <f t="shared" si="13"/>
        <v>0</v>
      </c>
      <c r="CU605" s="1206"/>
      <c r="CV605" s="1206"/>
      <c r="CW605" s="1206"/>
      <c r="CX605" s="1206"/>
      <c r="CY605" s="1206">
        <f t="shared" si="14"/>
        <v>0</v>
      </c>
      <c r="CZ605" s="1206"/>
      <c r="DA605" s="1206"/>
      <c r="DB605" s="1206"/>
      <c r="DC605" s="1206"/>
      <c r="DD605" s="1206">
        <f t="shared" si="15"/>
        <v>0</v>
      </c>
      <c r="DE605" s="1206"/>
      <c r="DF605" s="1206"/>
      <c r="DG605" s="1206"/>
      <c r="DH605" s="1206"/>
    </row>
    <row r="606" spans="1:112" ht="12.75">
      <c r="B606" s="12" t="s">
        <v>22</v>
      </c>
      <c r="N606" s="1096" t="s">
        <v>723</v>
      </c>
      <c r="O606" s="1096"/>
      <c r="U606" s="12" t="s">
        <v>22</v>
      </c>
      <c r="AG606" s="1096" t="s">
        <v>723</v>
      </c>
      <c r="AH606" s="1096"/>
      <c r="AM606" s="58"/>
      <c r="AN606" s="58"/>
      <c r="AO606" s="58"/>
      <c r="AP606" s="58"/>
      <c r="AQ606" s="58"/>
      <c r="AR606" s="1523">
        <f t="shared" si="0"/>
        <v>0</v>
      </c>
      <c r="AS606" s="1524"/>
      <c r="AT606" s="1128">
        <f t="shared" si="1"/>
        <v>0</v>
      </c>
      <c r="AU606" s="1130"/>
      <c r="AV606" s="1523">
        <f t="shared" si="2"/>
        <v>0</v>
      </c>
      <c r="AW606" s="1524"/>
      <c r="AX606" s="1128">
        <f t="shared" si="3"/>
        <v>0</v>
      </c>
      <c r="AY606" s="1130"/>
      <c r="AZ606" s="58"/>
      <c r="BA606" s="1128">
        <f t="shared" si="4"/>
        <v>0</v>
      </c>
      <c r="BB606" s="1129"/>
      <c r="BC606" s="1129"/>
      <c r="BD606" s="1129"/>
      <c r="BE606" s="1130"/>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6">
        <f t="shared" si="10"/>
        <v>0</v>
      </c>
      <c r="CF606" s="1206"/>
      <c r="CG606" s="1206"/>
      <c r="CH606" s="1206"/>
      <c r="CI606" s="1206"/>
      <c r="CJ606" s="1206">
        <f t="shared" si="11"/>
        <v>0</v>
      </c>
      <c r="CK606" s="1206"/>
      <c r="CL606" s="1206"/>
      <c r="CM606" s="1206"/>
      <c r="CN606" s="1206"/>
      <c r="CO606" s="1206">
        <f t="shared" si="12"/>
        <v>0</v>
      </c>
      <c r="CP606" s="1206"/>
      <c r="CQ606" s="1206"/>
      <c r="CR606" s="1206"/>
      <c r="CS606" s="1206"/>
      <c r="CT606" s="1206">
        <f t="shared" si="13"/>
        <v>0</v>
      </c>
      <c r="CU606" s="1206"/>
      <c r="CV606" s="1206"/>
      <c r="CW606" s="1206"/>
      <c r="CX606" s="1206"/>
      <c r="CY606" s="1206">
        <f t="shared" si="14"/>
        <v>0</v>
      </c>
      <c r="CZ606" s="1206"/>
      <c r="DA606" s="1206"/>
      <c r="DB606" s="1206"/>
      <c r="DC606" s="1206"/>
      <c r="DD606" s="1206">
        <f t="shared" si="15"/>
        <v>0</v>
      </c>
      <c r="DE606" s="1206"/>
      <c r="DF606" s="1206"/>
      <c r="DG606" s="1206"/>
      <c r="DH606" s="1206"/>
    </row>
    <row r="607" spans="1:112" ht="12.75">
      <c r="AM607" s="58"/>
      <c r="AN607" s="58"/>
      <c r="AO607" s="58"/>
      <c r="AP607" s="58"/>
      <c r="AQ607" s="58"/>
      <c r="AR607" s="1523">
        <f t="shared" si="0"/>
        <v>1</v>
      </c>
      <c r="AS607" s="1524"/>
      <c r="AT607" s="1128">
        <f t="shared" si="1"/>
        <v>15</v>
      </c>
      <c r="AU607" s="1130"/>
      <c r="AV607" s="1523">
        <f t="shared" si="2"/>
        <v>0</v>
      </c>
      <c r="AW607" s="1524"/>
      <c r="AX607" s="1128">
        <f t="shared" si="3"/>
        <v>0</v>
      </c>
      <c r="AY607" s="1130"/>
      <c r="AZ607" s="58"/>
      <c r="BA607" s="1128">
        <f t="shared" si="4"/>
        <v>0</v>
      </c>
      <c r="BB607" s="1129"/>
      <c r="BC607" s="1129"/>
      <c r="BD607" s="1129"/>
      <c r="BE607" s="1130"/>
      <c r="BF607" s="1198">
        <f t="shared" si="5"/>
        <v>0</v>
      </c>
      <c r="BG607" s="1198"/>
      <c r="BH607" s="1198"/>
      <c r="BI607" s="1198"/>
      <c r="BJ607" s="1198"/>
      <c r="BK607" s="1198">
        <f t="shared" si="6"/>
        <v>15</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6">
        <f t="shared" si="10"/>
        <v>0</v>
      </c>
      <c r="CF607" s="1206"/>
      <c r="CG607" s="1206"/>
      <c r="CH607" s="1206"/>
      <c r="CI607" s="1206"/>
      <c r="CJ607" s="1206">
        <f t="shared" si="11"/>
        <v>0</v>
      </c>
      <c r="CK607" s="1206"/>
      <c r="CL607" s="1206"/>
      <c r="CM607" s="1206"/>
      <c r="CN607" s="1206"/>
      <c r="CO607" s="1206">
        <f t="shared" si="12"/>
        <v>0</v>
      </c>
      <c r="CP607" s="1206"/>
      <c r="CQ607" s="1206"/>
      <c r="CR607" s="1206"/>
      <c r="CS607" s="1206"/>
      <c r="CT607" s="1206">
        <f t="shared" si="13"/>
        <v>0</v>
      </c>
      <c r="CU607" s="1206"/>
      <c r="CV607" s="1206"/>
      <c r="CW607" s="1206"/>
      <c r="CX607" s="1206"/>
      <c r="CY607" s="1206">
        <f t="shared" si="14"/>
        <v>0</v>
      </c>
      <c r="CZ607" s="1206"/>
      <c r="DA607" s="1206"/>
      <c r="DB607" s="1206"/>
      <c r="DC607" s="1206"/>
      <c r="DD607" s="1206">
        <f t="shared" si="15"/>
        <v>0</v>
      </c>
      <c r="DE607" s="1206"/>
      <c r="DF607" s="1206"/>
      <c r="DG607" s="1206"/>
      <c r="DH607" s="1206"/>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23">
        <f t="shared" si="0"/>
        <v>0</v>
      </c>
      <c r="AS608" s="1524"/>
      <c r="AT608" s="1128">
        <f t="shared" si="1"/>
        <v>0</v>
      </c>
      <c r="AU608" s="1130"/>
      <c r="AV608" s="1523">
        <f t="shared" si="2"/>
        <v>0</v>
      </c>
      <c r="AW608" s="1524"/>
      <c r="AX608" s="1128">
        <f t="shared" si="3"/>
        <v>0</v>
      </c>
      <c r="AY608" s="1130"/>
      <c r="AZ608" s="58"/>
      <c r="BA608" s="1128">
        <f t="shared" si="4"/>
        <v>0</v>
      </c>
      <c r="BB608" s="1129"/>
      <c r="BC608" s="1129"/>
      <c r="BD608" s="1129"/>
      <c r="BE608" s="1130"/>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6">
        <f t="shared" si="10"/>
        <v>0</v>
      </c>
      <c r="CF608" s="1206"/>
      <c r="CG608" s="1206"/>
      <c r="CH608" s="1206"/>
      <c r="CI608" s="1206"/>
      <c r="CJ608" s="1206">
        <f t="shared" si="11"/>
        <v>0</v>
      </c>
      <c r="CK608" s="1206"/>
      <c r="CL608" s="1206"/>
      <c r="CM608" s="1206"/>
      <c r="CN608" s="1206"/>
      <c r="CO608" s="1206">
        <f t="shared" si="12"/>
        <v>0</v>
      </c>
      <c r="CP608" s="1206"/>
      <c r="CQ608" s="1206"/>
      <c r="CR608" s="1206"/>
      <c r="CS608" s="1206"/>
      <c r="CT608" s="1206">
        <f t="shared" si="13"/>
        <v>0</v>
      </c>
      <c r="CU608" s="1206"/>
      <c r="CV608" s="1206"/>
      <c r="CW608" s="1206"/>
      <c r="CX608" s="1206"/>
      <c r="CY608" s="1206">
        <f t="shared" si="14"/>
        <v>0</v>
      </c>
      <c r="CZ608" s="1206"/>
      <c r="DA608" s="1206"/>
      <c r="DB608" s="1206"/>
      <c r="DC608" s="1206"/>
      <c r="DD608" s="1206">
        <f t="shared" si="15"/>
        <v>0</v>
      </c>
      <c r="DE608" s="1206"/>
      <c r="DF608" s="1206"/>
      <c r="DG608" s="1206"/>
      <c r="DH608" s="1206"/>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23">
        <f t="shared" si="0"/>
        <v>0</v>
      </c>
      <c r="AS609" s="1524"/>
      <c r="AT609" s="1128">
        <f t="shared" si="1"/>
        <v>0</v>
      </c>
      <c r="AU609" s="1130"/>
      <c r="AV609" s="1523">
        <f t="shared" si="2"/>
        <v>0</v>
      </c>
      <c r="AW609" s="1524"/>
      <c r="AX609" s="1128">
        <f t="shared" si="3"/>
        <v>0</v>
      </c>
      <c r="AY609" s="1130"/>
      <c r="AZ609" s="58"/>
      <c r="BA609" s="1128">
        <f t="shared" si="4"/>
        <v>0</v>
      </c>
      <c r="BB609" s="1129"/>
      <c r="BC609" s="1129"/>
      <c r="BD609" s="1129"/>
      <c r="BE609" s="1130"/>
      <c r="BF609" s="1198">
        <f t="shared" si="5"/>
        <v>0</v>
      </c>
      <c r="BG609" s="1198"/>
      <c r="BH609" s="1198"/>
      <c r="BI609" s="1198"/>
      <c r="BJ609" s="1198"/>
      <c r="BK609" s="1198">
        <f t="shared" si="6"/>
        <v>12</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6">
        <f t="shared" si="10"/>
        <v>0</v>
      </c>
      <c r="CF609" s="1206"/>
      <c r="CG609" s="1206"/>
      <c r="CH609" s="1206"/>
      <c r="CI609" s="1206"/>
      <c r="CJ609" s="1206">
        <f t="shared" si="11"/>
        <v>0</v>
      </c>
      <c r="CK609" s="1206"/>
      <c r="CL609" s="1206"/>
      <c r="CM609" s="1206"/>
      <c r="CN609" s="1206"/>
      <c r="CO609" s="1206">
        <f t="shared" si="12"/>
        <v>0</v>
      </c>
      <c r="CP609" s="1206"/>
      <c r="CQ609" s="1206"/>
      <c r="CR609" s="1206"/>
      <c r="CS609" s="1206"/>
      <c r="CT609" s="1206">
        <f t="shared" si="13"/>
        <v>0</v>
      </c>
      <c r="CU609" s="1206"/>
      <c r="CV609" s="1206"/>
      <c r="CW609" s="1206"/>
      <c r="CX609" s="1206"/>
      <c r="CY609" s="1206">
        <f t="shared" si="14"/>
        <v>0</v>
      </c>
      <c r="CZ609" s="1206"/>
      <c r="DA609" s="1206"/>
      <c r="DB609" s="1206"/>
      <c r="DC609" s="1206"/>
      <c r="DD609" s="1206">
        <f t="shared" si="15"/>
        <v>0</v>
      </c>
      <c r="DE609" s="1206"/>
      <c r="DF609" s="1206"/>
      <c r="DG609" s="1206"/>
      <c r="DH609" s="1206"/>
    </row>
    <row r="610" spans="1:112" ht="13.5" thickTop="1">
      <c r="A610" s="25"/>
      <c r="B610" s="25"/>
      <c r="C610" s="25"/>
      <c r="D610" s="25"/>
      <c r="E610" s="25"/>
      <c r="F610" s="25"/>
      <c r="G610" s="3"/>
      <c r="H610" s="25"/>
      <c r="AM610" s="58"/>
      <c r="AN610" s="58"/>
      <c r="AO610" s="58"/>
      <c r="AP610" s="58"/>
      <c r="AQ610" s="58"/>
      <c r="AR610" s="1523">
        <f t="shared" si="0"/>
        <v>0</v>
      </c>
      <c r="AS610" s="1524"/>
      <c r="AT610" s="1128">
        <f t="shared" si="1"/>
        <v>0</v>
      </c>
      <c r="AU610" s="1130"/>
      <c r="AV610" s="1523">
        <f t="shared" si="2"/>
        <v>0</v>
      </c>
      <c r="AW610" s="1524"/>
      <c r="AX610" s="1128">
        <f t="shared" si="3"/>
        <v>0</v>
      </c>
      <c r="AY610" s="1130"/>
      <c r="AZ610" s="58"/>
      <c r="BA610" s="1128">
        <f t="shared" si="4"/>
        <v>0</v>
      </c>
      <c r="BB610" s="1129"/>
      <c r="BC610" s="1129"/>
      <c r="BD610" s="1129"/>
      <c r="BE610" s="1130"/>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6">
        <f t="shared" si="10"/>
        <v>0</v>
      </c>
      <c r="CF610" s="1206"/>
      <c r="CG610" s="1206"/>
      <c r="CH610" s="1206"/>
      <c r="CI610" s="1206"/>
      <c r="CJ610" s="1206">
        <f t="shared" si="11"/>
        <v>0</v>
      </c>
      <c r="CK610" s="1206"/>
      <c r="CL610" s="1206"/>
      <c r="CM610" s="1206"/>
      <c r="CN610" s="1206"/>
      <c r="CO610" s="1206">
        <f t="shared" si="12"/>
        <v>0</v>
      </c>
      <c r="CP610" s="1206"/>
      <c r="CQ610" s="1206"/>
      <c r="CR610" s="1206"/>
      <c r="CS610" s="1206"/>
      <c r="CT610" s="1206">
        <f t="shared" si="13"/>
        <v>0</v>
      </c>
      <c r="CU610" s="1206"/>
      <c r="CV610" s="1206"/>
      <c r="CW610" s="1206"/>
      <c r="CX610" s="1206"/>
      <c r="CY610" s="1206">
        <f t="shared" si="14"/>
        <v>0</v>
      </c>
      <c r="CZ610" s="1206"/>
      <c r="DA610" s="1206"/>
      <c r="DB610" s="1206"/>
      <c r="DC610" s="1206"/>
      <c r="DD610" s="1206">
        <f t="shared" si="15"/>
        <v>0</v>
      </c>
      <c r="DE610" s="1206"/>
      <c r="DF610" s="1206"/>
      <c r="DG610" s="1206"/>
      <c r="DH610" s="1206"/>
    </row>
    <row r="611" spans="1:112" ht="12.75">
      <c r="A611" s="50" t="s">
        <v>341</v>
      </c>
      <c r="B611" s="50"/>
      <c r="C611" s="50" t="s">
        <v>23</v>
      </c>
      <c r="AM611" s="58"/>
      <c r="AN611" s="58"/>
      <c r="AO611" s="58"/>
      <c r="AP611" s="58"/>
      <c r="AQ611" s="58"/>
      <c r="AR611" s="1523">
        <f t="shared" si="0"/>
        <v>0</v>
      </c>
      <c r="AS611" s="1524"/>
      <c r="AT611" s="1128">
        <f t="shared" si="1"/>
        <v>0</v>
      </c>
      <c r="AU611" s="1130"/>
      <c r="AV611" s="1523">
        <f t="shared" si="2"/>
        <v>0</v>
      </c>
      <c r="AW611" s="1524"/>
      <c r="AX611" s="1128">
        <f t="shared" si="3"/>
        <v>0</v>
      </c>
      <c r="AY611" s="1130"/>
      <c r="AZ611" s="58"/>
      <c r="BA611" s="1128">
        <f t="shared" si="4"/>
        <v>0</v>
      </c>
      <c r="BB611" s="1129"/>
      <c r="BC611" s="1129"/>
      <c r="BD611" s="1129"/>
      <c r="BE611" s="1130"/>
      <c r="BF611" s="1198">
        <f t="shared" si="5"/>
        <v>0</v>
      </c>
      <c r="BG611" s="1198"/>
      <c r="BH611" s="1198"/>
      <c r="BI611" s="1198"/>
      <c r="BJ611" s="1198"/>
      <c r="BK611" s="1198">
        <f t="shared" si="6"/>
        <v>8</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6">
        <f t="shared" si="10"/>
        <v>0</v>
      </c>
      <c r="CF611" s="1206"/>
      <c r="CG611" s="1206"/>
      <c r="CH611" s="1206"/>
      <c r="CI611" s="1206"/>
      <c r="CJ611" s="1206">
        <f t="shared" si="11"/>
        <v>0</v>
      </c>
      <c r="CK611" s="1206"/>
      <c r="CL611" s="1206"/>
      <c r="CM611" s="1206"/>
      <c r="CN611" s="1206"/>
      <c r="CO611" s="1206">
        <f t="shared" si="12"/>
        <v>0</v>
      </c>
      <c r="CP611" s="1206"/>
      <c r="CQ611" s="1206"/>
      <c r="CR611" s="1206"/>
      <c r="CS611" s="1206"/>
      <c r="CT611" s="1206">
        <f t="shared" si="13"/>
        <v>0</v>
      </c>
      <c r="CU611" s="1206"/>
      <c r="CV611" s="1206"/>
      <c r="CW611" s="1206"/>
      <c r="CX611" s="1206"/>
      <c r="CY611" s="1206">
        <f t="shared" si="14"/>
        <v>0</v>
      </c>
      <c r="CZ611" s="1206"/>
      <c r="DA611" s="1206"/>
      <c r="DB611" s="1206"/>
      <c r="DC611" s="1206"/>
      <c r="DD611" s="1206">
        <f t="shared" si="15"/>
        <v>0</v>
      </c>
      <c r="DE611" s="1206"/>
      <c r="DF611" s="1206"/>
      <c r="DG611" s="1206"/>
      <c r="DH611" s="1206"/>
    </row>
    <row r="612" spans="1:112" ht="12.75">
      <c r="A612" s="50"/>
      <c r="B612" s="50"/>
      <c r="C612" s="50"/>
      <c r="AM612" s="58"/>
      <c r="AN612" s="58"/>
      <c r="AO612" s="58"/>
      <c r="AP612" s="58"/>
      <c r="AQ612" s="58"/>
      <c r="AR612" s="1523">
        <f t="shared" si="0"/>
        <v>0</v>
      </c>
      <c r="AS612" s="1524"/>
      <c r="AT612" s="1128">
        <f t="shared" si="1"/>
        <v>0</v>
      </c>
      <c r="AU612" s="1130"/>
      <c r="AV612" s="1523">
        <f t="shared" si="2"/>
        <v>0</v>
      </c>
      <c r="AW612" s="1524"/>
      <c r="AX612" s="1128">
        <f t="shared" si="3"/>
        <v>0</v>
      </c>
      <c r="AY612" s="1130"/>
      <c r="AZ612" s="58"/>
      <c r="BA612" s="1128">
        <f t="shared" si="4"/>
        <v>0</v>
      </c>
      <c r="BB612" s="1129"/>
      <c r="BC612" s="1129"/>
      <c r="BD612" s="1129"/>
      <c r="BE612" s="1130"/>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6">
        <f t="shared" si="10"/>
        <v>0</v>
      </c>
      <c r="CF612" s="1206"/>
      <c r="CG612" s="1206"/>
      <c r="CH612" s="1206"/>
      <c r="CI612" s="1206"/>
      <c r="CJ612" s="1206">
        <f t="shared" si="11"/>
        <v>0</v>
      </c>
      <c r="CK612" s="1206"/>
      <c r="CL612" s="1206"/>
      <c r="CM612" s="1206"/>
      <c r="CN612" s="1206"/>
      <c r="CO612" s="1206">
        <f t="shared" si="12"/>
        <v>0</v>
      </c>
      <c r="CP612" s="1206"/>
      <c r="CQ612" s="1206"/>
      <c r="CR612" s="1206"/>
      <c r="CS612" s="1206"/>
      <c r="CT612" s="1206">
        <f t="shared" si="13"/>
        <v>0</v>
      </c>
      <c r="CU612" s="1206"/>
      <c r="CV612" s="1206"/>
      <c r="CW612" s="1206"/>
      <c r="CX612" s="1206"/>
      <c r="CY612" s="1206">
        <f t="shared" si="14"/>
        <v>0</v>
      </c>
      <c r="CZ612" s="1206"/>
      <c r="DA612" s="1206"/>
      <c r="DB612" s="1206"/>
      <c r="DC612" s="1206"/>
      <c r="DD612" s="1206">
        <f t="shared" si="15"/>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0"/>
        <v>0</v>
      </c>
      <c r="AS613" s="1524"/>
      <c r="AT613" s="1128">
        <f t="shared" si="1"/>
        <v>0</v>
      </c>
      <c r="AU613" s="1130"/>
      <c r="AV613" s="1523">
        <f t="shared" si="2"/>
        <v>0</v>
      </c>
      <c r="AW613" s="1524"/>
      <c r="AX613" s="1128">
        <f t="shared" si="3"/>
        <v>0</v>
      </c>
      <c r="AY613" s="1130"/>
      <c r="AZ613" s="58"/>
      <c r="BA613" s="1128">
        <f t="shared" si="4"/>
        <v>0</v>
      </c>
      <c r="BB613" s="1129"/>
      <c r="BC613" s="1129"/>
      <c r="BD613" s="1129"/>
      <c r="BE613" s="1130"/>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6">
        <f t="shared" si="10"/>
        <v>0</v>
      </c>
      <c r="CF613" s="1206"/>
      <c r="CG613" s="1206"/>
      <c r="CH613" s="1206"/>
      <c r="CI613" s="1206"/>
      <c r="CJ613" s="1206">
        <f t="shared" si="11"/>
        <v>0</v>
      </c>
      <c r="CK613" s="1206"/>
      <c r="CL613" s="1206"/>
      <c r="CM613" s="1206"/>
      <c r="CN613" s="1206"/>
      <c r="CO613" s="1206">
        <f t="shared" si="12"/>
        <v>0</v>
      </c>
      <c r="CP613" s="1206"/>
      <c r="CQ613" s="1206"/>
      <c r="CR613" s="1206"/>
      <c r="CS613" s="1206"/>
      <c r="CT613" s="1206">
        <f t="shared" si="13"/>
        <v>0</v>
      </c>
      <c r="CU613" s="1206"/>
      <c r="CV613" s="1206"/>
      <c r="CW613" s="1206"/>
      <c r="CX613" s="1206"/>
      <c r="CY613" s="1206">
        <f t="shared" si="14"/>
        <v>0</v>
      </c>
      <c r="CZ613" s="1206"/>
      <c r="DA613" s="1206"/>
      <c r="DB613" s="1206"/>
      <c r="DC613" s="1206"/>
      <c r="DD613" s="1206">
        <f t="shared" si="15"/>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35</v>
      </c>
      <c r="AU614" s="1524"/>
      <c r="AV614" s="58"/>
      <c r="AW614" s="58"/>
      <c r="AX614" s="1523">
        <f>SUM(AX589:AY613)</f>
        <v>10</v>
      </c>
      <c r="AY614" s="1524"/>
      <c r="AZ614" s="58"/>
      <c r="BA614" s="1523">
        <f>SUM(BA589:BE613)</f>
        <v>0</v>
      </c>
      <c r="BB614" s="1531"/>
      <c r="BC614" s="1531"/>
      <c r="BD614" s="1531"/>
      <c r="BE614" s="1524"/>
      <c r="BF614" s="1211">
        <f>SUM(BF589:BJ613)</f>
        <v>0</v>
      </c>
      <c r="BG614" s="1211"/>
      <c r="BH614" s="1211"/>
      <c r="BI614" s="1211"/>
      <c r="BJ614" s="1211"/>
      <c r="BK614" s="1211">
        <f>SUM(BK589:BO613)</f>
        <v>52</v>
      </c>
      <c r="BL614" s="1211"/>
      <c r="BM614" s="1211"/>
      <c r="BN614" s="1211"/>
      <c r="BO614" s="1211"/>
      <c r="BP614" s="1211">
        <f>SUM(BP589:BT613)</f>
        <v>12</v>
      </c>
      <c r="BQ614" s="1211"/>
      <c r="BR614" s="1211"/>
      <c r="BS614" s="1211"/>
      <c r="BT614" s="1211"/>
      <c r="BU614" s="1211">
        <f>SUM(BU589:BY613)</f>
        <v>4</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6</v>
      </c>
      <c r="CP614" s="1211"/>
      <c r="CQ614" s="1211"/>
      <c r="CR614" s="1211"/>
      <c r="CS614" s="1211"/>
      <c r="CT614" s="1211">
        <f>SUM(CT589:CX613)</f>
        <v>2</v>
      </c>
      <c r="CU614" s="1211"/>
      <c r="CV614" s="1211"/>
      <c r="CW614" s="1211"/>
      <c r="CX614" s="1211"/>
      <c r="CY614" s="1211">
        <f>SUM(CY589:DC613)</f>
        <v>2</v>
      </c>
      <c r="CZ614" s="1211"/>
      <c r="DA614" s="1211"/>
      <c r="DB614" s="1211"/>
      <c r="DC614" s="1211"/>
      <c r="DD614" s="1211">
        <f>SUM(DD589:DH613)</f>
        <v>0</v>
      </c>
      <c r="DE614" s="1211"/>
      <c r="DF614" s="1211"/>
      <c r="DG614" s="1211"/>
      <c r="DH614" s="1211"/>
    </row>
    <row r="615" spans="1:112" ht="12.75">
      <c r="B615" s="1435" t="s">
        <v>498</v>
      </c>
      <c r="C615" s="1436"/>
      <c r="D615" s="1436"/>
      <c r="E615" s="1436"/>
      <c r="F615" s="1436"/>
      <c r="G615" s="1436"/>
      <c r="H615" s="1436"/>
      <c r="I615" s="1436"/>
      <c r="J615" s="1436"/>
      <c r="K615" s="1436"/>
      <c r="L615" s="1436"/>
      <c r="M615" s="1436"/>
      <c r="N615" s="1436"/>
      <c r="O615" s="1437"/>
      <c r="P615" s="1444" t="s">
        <v>346</v>
      </c>
      <c r="Q615" s="1445"/>
      <c r="R615" s="1446"/>
      <c r="S615" s="1537" t="s">
        <v>499</v>
      </c>
      <c r="T615" s="1538"/>
      <c r="U615" s="1539"/>
      <c r="V615" s="1434" t="s">
        <v>18</v>
      </c>
      <c r="W615" s="1434"/>
      <c r="X615" s="1434"/>
      <c r="Y615" s="1434"/>
      <c r="Z615" s="1434"/>
      <c r="AA615" s="1434"/>
      <c r="AB615" s="1434" t="s">
        <v>17</v>
      </c>
      <c r="AC615" s="1434"/>
      <c r="AD615" s="1434"/>
      <c r="AE615" s="1434"/>
      <c r="AF615" s="1434"/>
      <c r="AG615" s="1434" t="s">
        <v>500</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40"/>
      <c r="T616" s="1541"/>
      <c r="U616" s="1542"/>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3"/>
      <c r="T617" s="1544"/>
      <c r="U617" s="1545"/>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28">
        <f>IF(J754="SRO/Studio",O754,0)</f>
        <v>0</v>
      </c>
      <c r="BB617" s="1129"/>
      <c r="BC617" s="1129"/>
      <c r="BD617" s="1129"/>
      <c r="BE617" s="1130"/>
      <c r="BF617" s="1198">
        <f>IF(J754="1 Bedroom",O754,0)</f>
        <v>0</v>
      </c>
      <c r="BG617" s="1198"/>
      <c r="BH617" s="1198"/>
      <c r="BI617" s="1198"/>
      <c r="BJ617" s="1198"/>
      <c r="BK617" s="1198">
        <f>IF(J754="2 Bedrooms",O754,0)</f>
        <v>1</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215" t="s">
        <v>1807</v>
      </c>
      <c r="D618" s="1215"/>
      <c r="E618" s="1215"/>
      <c r="F618" s="1215"/>
      <c r="G618" s="1215"/>
      <c r="H618" s="1215"/>
      <c r="I618" s="1215"/>
      <c r="J618" s="1215"/>
      <c r="K618" s="1215"/>
      <c r="L618" s="1215"/>
      <c r="M618" s="1215"/>
      <c r="N618" s="1215"/>
      <c r="O618" s="1427"/>
      <c r="P618" s="1223">
        <f>16*12</f>
        <v>192</v>
      </c>
      <c r="Q618" s="1224"/>
      <c r="R618" s="1225"/>
      <c r="S618" s="1220">
        <v>3.3099999999999997E-2</v>
      </c>
      <c r="T618" s="1221"/>
      <c r="U618" s="1222"/>
      <c r="V618" s="1223"/>
      <c r="W618" s="1224"/>
      <c r="X618" s="1224"/>
      <c r="Y618" s="1224"/>
      <c r="Z618" s="1224"/>
      <c r="AA618" s="1225"/>
      <c r="AB618" s="1227">
        <v>408715</v>
      </c>
      <c r="AC618" s="1227"/>
      <c r="AD618" s="1227"/>
      <c r="AE618" s="1227"/>
      <c r="AF618" s="1227"/>
      <c r="AG618" s="1227">
        <v>8465000</v>
      </c>
      <c r="AH618" s="1227"/>
      <c r="AI618" s="1227"/>
      <c r="AJ618" s="1227"/>
      <c r="AK618" s="1227"/>
      <c r="AL618" s="58"/>
      <c r="AM618" s="61"/>
      <c r="AN618" s="61"/>
      <c r="AO618" s="61"/>
      <c r="AP618" s="61"/>
      <c r="AQ618" s="61"/>
      <c r="AR618" s="61"/>
      <c r="AS618" s="61"/>
      <c r="AT618" s="61"/>
      <c r="AU618" s="61"/>
      <c r="AV618" s="61"/>
      <c r="AW618" s="61"/>
      <c r="AX618" s="61"/>
      <c r="AY618" s="61"/>
      <c r="AZ618" s="61"/>
      <c r="BA618" s="1128">
        <f>IF(J755="SRO/Studio",O755,0)</f>
        <v>0</v>
      </c>
      <c r="BB618" s="1129"/>
      <c r="BC618" s="1129"/>
      <c r="BD618" s="1129"/>
      <c r="BE618" s="1130"/>
      <c r="BF618" s="1198">
        <f>IF(J755="1 Bedroom",O755,0)</f>
        <v>0</v>
      </c>
      <c r="BG618" s="1198"/>
      <c r="BH618" s="1198"/>
      <c r="BI618" s="1198"/>
      <c r="BJ618" s="1198"/>
      <c r="BK618" s="1198">
        <f>IF(J755="2 Bedrooms",O755,0)</f>
        <v>0</v>
      </c>
      <c r="BL618" s="1198"/>
      <c r="BM618" s="1198"/>
      <c r="BN618" s="1198"/>
      <c r="BO618" s="1198"/>
      <c r="BP618" s="1198">
        <f>IF(J755="3 Bedrooms",O755,0)</f>
        <v>1</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215" t="str">
        <f>C546</f>
        <v>City of South San Francisco - Assumed Loan</v>
      </c>
      <c r="D619" s="1215"/>
      <c r="E619" s="1215"/>
      <c r="F619" s="1215"/>
      <c r="G619" s="1215"/>
      <c r="H619" s="1215"/>
      <c r="I619" s="1215"/>
      <c r="J619" s="1215"/>
      <c r="K619" s="1215"/>
      <c r="L619" s="1215"/>
      <c r="M619" s="1215"/>
      <c r="N619" s="1215"/>
      <c r="O619" s="1427"/>
      <c r="P619" s="1223">
        <v>660</v>
      </c>
      <c r="Q619" s="1224"/>
      <c r="R619" s="1225"/>
      <c r="S619" s="1220">
        <v>1.6899999999999998E-2</v>
      </c>
      <c r="T619" s="1221"/>
      <c r="U619" s="1222"/>
      <c r="V619" s="1223" t="s">
        <v>504</v>
      </c>
      <c r="W619" s="1224"/>
      <c r="X619" s="1224"/>
      <c r="Y619" s="1224"/>
      <c r="Z619" s="1224"/>
      <c r="AA619" s="1225"/>
      <c r="AB619" s="1227"/>
      <c r="AC619" s="1227"/>
      <c r="AD619" s="1227"/>
      <c r="AE619" s="1227"/>
      <c r="AF619" s="1227"/>
      <c r="AG619" s="1227">
        <f>AE546</f>
        <v>8677431</v>
      </c>
      <c r="AH619" s="1227"/>
      <c r="AI619" s="1227"/>
      <c r="AJ619" s="1227"/>
      <c r="AK619" s="1227"/>
      <c r="AL619" s="58"/>
      <c r="AM619" s="61"/>
      <c r="AN619" s="61"/>
      <c r="AO619" s="61"/>
      <c r="AP619" s="61"/>
      <c r="AQ619" s="61"/>
      <c r="AR619" s="61"/>
      <c r="AS619" s="61"/>
      <c r="AT619" s="61"/>
      <c r="AU619" s="61"/>
      <c r="AV619" s="61"/>
      <c r="AW619" s="61"/>
      <c r="AX619" s="61"/>
      <c r="AY619" s="61"/>
      <c r="AZ619" s="61"/>
      <c r="BA619" s="1128">
        <f>IF(J756="SRO/Studio",O756,0)</f>
        <v>0</v>
      </c>
      <c r="BB619" s="1129"/>
      <c r="BC619" s="1129"/>
      <c r="BD619" s="1129"/>
      <c r="BE619" s="1130"/>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215" t="str">
        <f t="shared" ref="C620:C623" si="16">C547</f>
        <v>San Mateo County AHF 7.0</v>
      </c>
      <c r="D620" s="1215"/>
      <c r="E620" s="1215"/>
      <c r="F620" s="1215"/>
      <c r="G620" s="1215"/>
      <c r="H620" s="1215"/>
      <c r="I620" s="1215"/>
      <c r="J620" s="1215"/>
      <c r="K620" s="1215"/>
      <c r="L620" s="1215"/>
      <c r="M620" s="1215"/>
      <c r="N620" s="1215"/>
      <c r="O620" s="1427"/>
      <c r="P620" s="1223">
        <v>660</v>
      </c>
      <c r="Q620" s="1224"/>
      <c r="R620" s="1225"/>
      <c r="S620" s="1220">
        <v>0</v>
      </c>
      <c r="T620" s="1221"/>
      <c r="U620" s="1222"/>
      <c r="V620" s="1223" t="s">
        <v>504</v>
      </c>
      <c r="W620" s="1224"/>
      <c r="X620" s="1224"/>
      <c r="Y620" s="1224"/>
      <c r="Z620" s="1224"/>
      <c r="AA620" s="1225"/>
      <c r="AB620" s="1227"/>
      <c r="AC620" s="1227"/>
      <c r="AD620" s="1227"/>
      <c r="AE620" s="1227"/>
      <c r="AF620" s="1227"/>
      <c r="AG620" s="1227">
        <f t="shared" ref="AG620:AG627" si="17">AE547</f>
        <v>250000</v>
      </c>
      <c r="AH620" s="1227"/>
      <c r="AI620" s="1227"/>
      <c r="AJ620" s="1227"/>
      <c r="AK620" s="1227"/>
      <c r="AL620" s="58"/>
      <c r="AM620" s="61"/>
      <c r="AN620" s="61"/>
      <c r="AO620" s="61"/>
      <c r="AP620" s="61"/>
      <c r="AQ620" s="61"/>
      <c r="AR620" s="61"/>
      <c r="AS620" s="61"/>
      <c r="AT620" s="61"/>
      <c r="AU620" s="61"/>
      <c r="AV620" s="61"/>
      <c r="AW620" s="61"/>
      <c r="AX620" s="61"/>
      <c r="AY620" s="61"/>
      <c r="AZ620" s="61"/>
      <c r="BA620" s="1128">
        <f>IF(J757="SRO/Studio",O757,0)</f>
        <v>0</v>
      </c>
      <c r="BB620" s="1129"/>
      <c r="BC620" s="1129"/>
      <c r="BD620" s="1129"/>
      <c r="BE620" s="1130"/>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632</v>
      </c>
      <c r="C621" s="1215" t="str">
        <f t="shared" si="16"/>
        <v>San Mateo County CDBG</v>
      </c>
      <c r="D621" s="1215"/>
      <c r="E621" s="1215"/>
      <c r="F621" s="1215"/>
      <c r="G621" s="1215"/>
      <c r="H621" s="1215"/>
      <c r="I621" s="1215"/>
      <c r="J621" s="1215"/>
      <c r="K621" s="1215"/>
      <c r="L621" s="1215"/>
      <c r="M621" s="1215"/>
      <c r="N621" s="1215"/>
      <c r="O621" s="1427"/>
      <c r="P621" s="1223">
        <v>660</v>
      </c>
      <c r="Q621" s="1224"/>
      <c r="R621" s="1225"/>
      <c r="S621" s="1220"/>
      <c r="T621" s="1221"/>
      <c r="U621" s="1222"/>
      <c r="V621" s="1223" t="s">
        <v>504</v>
      </c>
      <c r="W621" s="1224"/>
      <c r="X621" s="1224"/>
      <c r="Y621" s="1224"/>
      <c r="Z621" s="1224"/>
      <c r="AA621" s="1225"/>
      <c r="AB621" s="1227"/>
      <c r="AC621" s="1227"/>
      <c r="AD621" s="1227"/>
      <c r="AE621" s="1227"/>
      <c r="AF621" s="1227"/>
      <c r="AG621" s="1227">
        <f t="shared" si="17"/>
        <v>1000000</v>
      </c>
      <c r="AH621" s="1227"/>
      <c r="AI621" s="1227"/>
      <c r="AJ621" s="1227"/>
      <c r="AK621" s="1227"/>
      <c r="AL621" s="58"/>
      <c r="AM621" s="61"/>
      <c r="AN621" s="61"/>
      <c r="AO621" s="61"/>
      <c r="AP621" s="61"/>
      <c r="AQ621" s="61"/>
      <c r="AR621" s="61"/>
      <c r="AS621" s="61"/>
      <c r="AT621" s="61"/>
      <c r="AU621" s="61"/>
      <c r="AV621" s="61"/>
      <c r="AW621" s="61"/>
      <c r="AX621" s="61"/>
      <c r="AY621" s="61"/>
      <c r="AZ621" s="61"/>
      <c r="BA621" s="1131">
        <f>SUM(BA617:BE620)</f>
        <v>0</v>
      </c>
      <c r="BB621" s="1132"/>
      <c r="BC621" s="1132"/>
      <c r="BD621" s="1132"/>
      <c r="BE621" s="1133"/>
      <c r="BF621" s="1131">
        <f>SUM(BF617:BJ620)</f>
        <v>0</v>
      </c>
      <c r="BG621" s="1132"/>
      <c r="BH621" s="1132"/>
      <c r="BI621" s="1132"/>
      <c r="BJ621" s="1133"/>
      <c r="BK621" s="1131">
        <f>SUM(BK617:BO620)</f>
        <v>1</v>
      </c>
      <c r="BL621" s="1132"/>
      <c r="BM621" s="1132"/>
      <c r="BN621" s="1132"/>
      <c r="BO621" s="1133"/>
      <c r="BP621" s="1131">
        <f>SUM(BP617:BT620)</f>
        <v>1</v>
      </c>
      <c r="BQ621" s="1132"/>
      <c r="BR621" s="1132"/>
      <c r="BS621" s="1132"/>
      <c r="BT621" s="1133"/>
      <c r="BU621" s="1131">
        <f>SUM(BU617:BY620)</f>
        <v>0</v>
      </c>
      <c r="BV621" s="1132"/>
      <c r="BW621" s="1132"/>
      <c r="BX621" s="1132"/>
      <c r="BY621" s="1133"/>
      <c r="BZ621" s="1131">
        <f>SUM(BZ617:CD620)</f>
        <v>0</v>
      </c>
      <c r="CA621" s="1132"/>
      <c r="CB621" s="1132"/>
      <c r="CC621" s="1132"/>
      <c r="CD621" s="1133"/>
      <c r="CE621" s="58"/>
      <c r="CF621" s="58"/>
      <c r="CG621" s="58"/>
      <c r="CH621" s="58"/>
      <c r="CI621" s="58"/>
      <c r="CJ621" s="58"/>
      <c r="CK621" s="58"/>
      <c r="CL621" s="58"/>
      <c r="CM621" s="58"/>
      <c r="CN621" s="58"/>
      <c r="CO621" s="58"/>
      <c r="CP621" s="58"/>
      <c r="CQ621" s="58"/>
      <c r="CR621" s="58"/>
    </row>
    <row r="622" spans="1:112" ht="12.75">
      <c r="B622" s="84" t="s">
        <v>842</v>
      </c>
      <c r="C622" s="1215" t="str">
        <f t="shared" si="16"/>
        <v>Subordinate Loan Deferred/Accrued Interest</v>
      </c>
      <c r="D622" s="1215"/>
      <c r="E622" s="1215"/>
      <c r="F622" s="1215"/>
      <c r="G622" s="1215"/>
      <c r="H622" s="1215"/>
      <c r="I622" s="1215"/>
      <c r="J622" s="1215"/>
      <c r="K622" s="1215"/>
      <c r="L622" s="1215"/>
      <c r="M622" s="1215"/>
      <c r="N622" s="1215"/>
      <c r="O622" s="1427"/>
      <c r="P622" s="1223">
        <v>660</v>
      </c>
      <c r="Q622" s="1224"/>
      <c r="R622" s="1225"/>
      <c r="S622" s="1220">
        <v>1.6899999999999998E-2</v>
      </c>
      <c r="T622" s="1221"/>
      <c r="U622" s="1222"/>
      <c r="V622" s="1223" t="s">
        <v>504</v>
      </c>
      <c r="W622" s="1224"/>
      <c r="X622" s="1224"/>
      <c r="Y622" s="1224"/>
      <c r="Z622" s="1224"/>
      <c r="AA622" s="1225"/>
      <c r="AB622" s="1227"/>
      <c r="AC622" s="1227"/>
      <c r="AD622" s="1227"/>
      <c r="AE622" s="1227"/>
      <c r="AF622" s="1227"/>
      <c r="AG622" s="1227">
        <f t="shared" si="17"/>
        <v>589758</v>
      </c>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15" t="str">
        <f t="shared" si="16"/>
        <v>Seller Carryback Loan</v>
      </c>
      <c r="D623" s="1215"/>
      <c r="E623" s="1215"/>
      <c r="F623" s="1215"/>
      <c r="G623" s="1215"/>
      <c r="H623" s="1215"/>
      <c r="I623" s="1215"/>
      <c r="J623" s="1215"/>
      <c r="K623" s="1215"/>
      <c r="L623" s="1215"/>
      <c r="M623" s="1215"/>
      <c r="N623" s="1215"/>
      <c r="O623" s="1427"/>
      <c r="P623" s="1223">
        <v>660</v>
      </c>
      <c r="Q623" s="1224"/>
      <c r="R623" s="1225"/>
      <c r="S623" s="1220">
        <v>1.6899999999999998E-2</v>
      </c>
      <c r="T623" s="1221"/>
      <c r="U623" s="1222"/>
      <c r="V623" s="1223" t="s">
        <v>504</v>
      </c>
      <c r="W623" s="1224"/>
      <c r="X623" s="1224"/>
      <c r="Y623" s="1224"/>
      <c r="Z623" s="1224"/>
      <c r="AA623" s="1225"/>
      <c r="AB623" s="1227"/>
      <c r="AC623" s="1227"/>
      <c r="AD623" s="1227"/>
      <c r="AE623" s="1227"/>
      <c r="AF623" s="1227"/>
      <c r="AG623" s="1227">
        <f t="shared" si="17"/>
        <v>10077285</v>
      </c>
      <c r="AH623" s="1227"/>
      <c r="AI623" s="1227"/>
      <c r="AJ623" s="1227"/>
      <c r="AK623" s="1227"/>
      <c r="AL623" s="58"/>
      <c r="AM623" s="61"/>
      <c r="AN623" s="61"/>
      <c r="AO623" s="61"/>
      <c r="AP623" s="61"/>
      <c r="AQ623" s="61"/>
      <c r="AR623" s="61"/>
      <c r="AS623" s="61"/>
      <c r="AT623" s="61"/>
      <c r="AU623" s="61"/>
      <c r="AV623" s="61"/>
      <c r="AW623" s="61"/>
      <c r="AX623" s="61"/>
      <c r="AY623" s="61"/>
      <c r="AZ623" s="61"/>
      <c r="BA623" s="1128">
        <f t="shared" ref="BA623:BA632" si="18">IF(J768="SRO/Studio",O768,0)</f>
        <v>0</v>
      </c>
      <c r="BB623" s="1129"/>
      <c r="BC623" s="1129"/>
      <c r="BD623" s="1129"/>
      <c r="BE623" s="1130"/>
      <c r="BF623" s="1198">
        <f t="shared" ref="BF623:BF632" si="19">IF(J768="1 Bedroom",O768,0)</f>
        <v>0</v>
      </c>
      <c r="BG623" s="1198"/>
      <c r="BH623" s="1198"/>
      <c r="BI623" s="1198"/>
      <c r="BJ623" s="1198"/>
      <c r="BK623" s="1198">
        <f t="shared" ref="BK623:BK632" si="20">IF(J768="2 Bedrooms",O768,0)</f>
        <v>0</v>
      </c>
      <c r="BL623" s="1198"/>
      <c r="BM623" s="1198"/>
      <c r="BN623" s="1198"/>
      <c r="BO623" s="1198"/>
      <c r="BP623" s="1198">
        <f t="shared" ref="BP623:BP632" si="21">IF(J768="3 Bedrooms",O768,0)</f>
        <v>0</v>
      </c>
      <c r="BQ623" s="1198"/>
      <c r="BR623" s="1198"/>
      <c r="BS623" s="1198"/>
      <c r="BT623" s="1198"/>
      <c r="BU623" s="1198">
        <f t="shared" ref="BU623:BU632" si="22">IF(J768="4 Bedrooms",O768,0)</f>
        <v>0</v>
      </c>
      <c r="BV623" s="1198"/>
      <c r="BW623" s="1198"/>
      <c r="BX623" s="1198"/>
      <c r="BY623" s="1198"/>
      <c r="BZ623" s="1198">
        <f t="shared" ref="BZ623:BZ632" si="23">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501</v>
      </c>
      <c r="C624" s="1215" t="s">
        <v>1785</v>
      </c>
      <c r="D624" s="1215"/>
      <c r="E624" s="1215"/>
      <c r="F624" s="1215"/>
      <c r="G624" s="1215"/>
      <c r="H624" s="1215"/>
      <c r="I624" s="1215"/>
      <c r="J624" s="1215"/>
      <c r="K624" s="1215"/>
      <c r="L624" s="1215"/>
      <c r="M624" s="1215"/>
      <c r="N624" s="1215"/>
      <c r="O624" s="1427"/>
      <c r="P624" s="1223"/>
      <c r="Q624" s="1224"/>
      <c r="R624" s="1225"/>
      <c r="S624" s="1220"/>
      <c r="T624" s="1221"/>
      <c r="U624" s="1222"/>
      <c r="V624" s="1223" t="s">
        <v>505</v>
      </c>
      <c r="W624" s="1224"/>
      <c r="X624" s="1224"/>
      <c r="Y624" s="1224"/>
      <c r="Z624" s="1224"/>
      <c r="AA624" s="1225"/>
      <c r="AB624" s="1227"/>
      <c r="AC624" s="1227"/>
      <c r="AD624" s="1227"/>
      <c r="AE624" s="1227"/>
      <c r="AF624" s="1227"/>
      <c r="AG624" s="1227">
        <v>6930000</v>
      </c>
      <c r="AH624" s="1227"/>
      <c r="AI624" s="1227"/>
      <c r="AJ624" s="1227"/>
      <c r="AK624" s="1227"/>
      <c r="AL624" s="58"/>
      <c r="AM624" s="61"/>
      <c r="AN624" s="61"/>
      <c r="AO624" s="61"/>
      <c r="AP624" s="61"/>
      <c r="AQ624" s="61"/>
      <c r="AR624" s="61"/>
      <c r="AS624" s="61"/>
      <c r="AT624" s="61"/>
      <c r="AU624" s="61"/>
      <c r="AV624" s="61"/>
      <c r="AW624" s="61"/>
      <c r="AX624" s="61"/>
      <c r="AY624" s="61"/>
      <c r="AZ624" s="61"/>
      <c r="BA624" s="1128">
        <f t="shared" si="18"/>
        <v>0</v>
      </c>
      <c r="BB624" s="1129"/>
      <c r="BC624" s="1129"/>
      <c r="BD624" s="1129"/>
      <c r="BE624" s="1130"/>
      <c r="BF624" s="1198">
        <f t="shared" si="19"/>
        <v>0</v>
      </c>
      <c r="BG624" s="1198"/>
      <c r="BH624" s="1198"/>
      <c r="BI624" s="1198"/>
      <c r="BJ624" s="1198"/>
      <c r="BK624" s="1198">
        <f t="shared" si="20"/>
        <v>0</v>
      </c>
      <c r="BL624" s="1198"/>
      <c r="BM624" s="1198"/>
      <c r="BN624" s="1198"/>
      <c r="BO624" s="1198"/>
      <c r="BP624" s="1198">
        <f t="shared" si="21"/>
        <v>0</v>
      </c>
      <c r="BQ624" s="1198"/>
      <c r="BR624" s="1198"/>
      <c r="BS624" s="1198"/>
      <c r="BT624" s="1198"/>
      <c r="BU624" s="1198">
        <f t="shared" si="22"/>
        <v>0</v>
      </c>
      <c r="BV624" s="1198"/>
      <c r="BW624" s="1198"/>
      <c r="BX624" s="1198"/>
      <c r="BY624" s="1198"/>
      <c r="BZ624" s="1198">
        <f t="shared" si="23"/>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502</v>
      </c>
      <c r="C625" s="1215" t="str">
        <f>C552</f>
        <v>Deferred Developer Fee</v>
      </c>
      <c r="D625" s="1215"/>
      <c r="E625" s="1215"/>
      <c r="F625" s="1215"/>
      <c r="G625" s="1215"/>
      <c r="H625" s="1215"/>
      <c r="I625" s="1215"/>
      <c r="J625" s="1215"/>
      <c r="K625" s="1215"/>
      <c r="L625" s="1215"/>
      <c r="M625" s="1215"/>
      <c r="N625" s="1215"/>
      <c r="O625" s="1427"/>
      <c r="P625" s="1223"/>
      <c r="Q625" s="1224"/>
      <c r="R625" s="1225"/>
      <c r="S625" s="1220"/>
      <c r="T625" s="1221"/>
      <c r="U625" s="1222"/>
      <c r="V625" s="1223" t="s">
        <v>505</v>
      </c>
      <c r="W625" s="1224"/>
      <c r="X625" s="1224"/>
      <c r="Y625" s="1224"/>
      <c r="Z625" s="1224"/>
      <c r="AA625" s="1225"/>
      <c r="AB625" s="1227"/>
      <c r="AC625" s="1227"/>
      <c r="AD625" s="1227"/>
      <c r="AE625" s="1227"/>
      <c r="AF625" s="1227"/>
      <c r="AG625" s="1227">
        <f t="shared" si="17"/>
        <v>2463575</v>
      </c>
      <c r="AH625" s="1227"/>
      <c r="AI625" s="1227"/>
      <c r="AJ625" s="1227"/>
      <c r="AK625" s="1227"/>
      <c r="AL625" s="58"/>
      <c r="AM625" s="61"/>
      <c r="AN625" s="61"/>
      <c r="AO625" s="61"/>
      <c r="AP625" s="61"/>
      <c r="AQ625" s="61"/>
      <c r="AR625" s="61"/>
      <c r="AS625" s="61"/>
      <c r="AT625" s="61"/>
      <c r="AU625" s="61"/>
      <c r="AV625" s="61"/>
      <c r="AW625" s="61"/>
      <c r="AX625" s="61"/>
      <c r="AY625" s="61"/>
      <c r="AZ625" s="61"/>
      <c r="BA625" s="1128">
        <f t="shared" si="18"/>
        <v>0</v>
      </c>
      <c r="BB625" s="1129"/>
      <c r="BC625" s="1129"/>
      <c r="BD625" s="1129"/>
      <c r="BE625" s="1130"/>
      <c r="BF625" s="1198">
        <f t="shared" si="19"/>
        <v>0</v>
      </c>
      <c r="BG625" s="1198"/>
      <c r="BH625" s="1198"/>
      <c r="BI625" s="1198"/>
      <c r="BJ625" s="1198"/>
      <c r="BK625" s="1198">
        <f t="shared" si="20"/>
        <v>0</v>
      </c>
      <c r="BL625" s="1198"/>
      <c r="BM625" s="1198"/>
      <c r="BN625" s="1198"/>
      <c r="BO625" s="1198"/>
      <c r="BP625" s="1198">
        <f t="shared" si="21"/>
        <v>0</v>
      </c>
      <c r="BQ625" s="1198"/>
      <c r="BR625" s="1198"/>
      <c r="BS625" s="1198"/>
      <c r="BT625" s="1198"/>
      <c r="BU625" s="1198">
        <f t="shared" si="22"/>
        <v>0</v>
      </c>
      <c r="BV625" s="1198"/>
      <c r="BW625" s="1198"/>
      <c r="BX625" s="1198"/>
      <c r="BY625" s="1198"/>
      <c r="BZ625" s="1198">
        <f t="shared" si="23"/>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508</v>
      </c>
      <c r="C626" s="1215" t="str">
        <f t="shared" ref="C626:C627" si="24">C553</f>
        <v>GP Capital Contribution - Developer Fee</v>
      </c>
      <c r="D626" s="1215"/>
      <c r="E626" s="1215"/>
      <c r="F626" s="1215"/>
      <c r="G626" s="1215"/>
      <c r="H626" s="1215"/>
      <c r="I626" s="1215"/>
      <c r="J626" s="1215"/>
      <c r="K626" s="1215"/>
      <c r="L626" s="1215"/>
      <c r="M626" s="1215"/>
      <c r="N626" s="1215"/>
      <c r="O626" s="1427"/>
      <c r="P626" s="1223"/>
      <c r="Q626" s="1224"/>
      <c r="R626" s="1225"/>
      <c r="S626" s="1220"/>
      <c r="T626" s="1221"/>
      <c r="U626" s="1222"/>
      <c r="V626" s="1223"/>
      <c r="W626" s="1224"/>
      <c r="X626" s="1224"/>
      <c r="Y626" s="1224"/>
      <c r="Z626" s="1224"/>
      <c r="AA626" s="1225"/>
      <c r="AB626" s="1227"/>
      <c r="AC626" s="1227"/>
      <c r="AD626" s="1227"/>
      <c r="AE626" s="1227"/>
      <c r="AF626" s="1227"/>
      <c r="AG626" s="1227">
        <f t="shared" si="17"/>
        <v>3110778</v>
      </c>
      <c r="AH626" s="1227"/>
      <c r="AI626" s="1227"/>
      <c r="AJ626" s="1227"/>
      <c r="AK626" s="1227"/>
      <c r="AL626" s="58"/>
      <c r="AM626" s="58"/>
      <c r="AN626" s="58"/>
      <c r="AO626" s="58"/>
      <c r="AP626" s="58"/>
      <c r="AQ626" s="58"/>
      <c r="AR626" s="58"/>
      <c r="AS626" s="58"/>
      <c r="AT626" s="58"/>
      <c r="AU626" s="58"/>
      <c r="AV626" s="58"/>
      <c r="AW626" s="58"/>
      <c r="AX626" s="58"/>
      <c r="AY626" s="58"/>
      <c r="AZ626" s="58"/>
      <c r="BA626" s="1128">
        <f t="shared" si="18"/>
        <v>0</v>
      </c>
      <c r="BB626" s="1129"/>
      <c r="BC626" s="1129"/>
      <c r="BD626" s="1129"/>
      <c r="BE626" s="1130"/>
      <c r="BF626" s="1198">
        <f t="shared" si="19"/>
        <v>0</v>
      </c>
      <c r="BG626" s="1198"/>
      <c r="BH626" s="1198"/>
      <c r="BI626" s="1198"/>
      <c r="BJ626" s="1198"/>
      <c r="BK626" s="1198">
        <f t="shared" si="20"/>
        <v>0</v>
      </c>
      <c r="BL626" s="1198"/>
      <c r="BM626" s="1198"/>
      <c r="BN626" s="1198"/>
      <c r="BO626" s="1198"/>
      <c r="BP626" s="1198">
        <f t="shared" si="21"/>
        <v>0</v>
      </c>
      <c r="BQ626" s="1198"/>
      <c r="BR626" s="1198"/>
      <c r="BS626" s="1198"/>
      <c r="BT626" s="1198"/>
      <c r="BU626" s="1198">
        <f t="shared" si="22"/>
        <v>0</v>
      </c>
      <c r="BV626" s="1198"/>
      <c r="BW626" s="1198"/>
      <c r="BX626" s="1198"/>
      <c r="BY626" s="1198"/>
      <c r="BZ626" s="1198">
        <f t="shared" si="23"/>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697</v>
      </c>
      <c r="C627" s="1215" t="str">
        <f t="shared" si="24"/>
        <v>GP Capital Contrubution</v>
      </c>
      <c r="D627" s="1215"/>
      <c r="E627" s="1215"/>
      <c r="F627" s="1215"/>
      <c r="G627" s="1215"/>
      <c r="H627" s="1215"/>
      <c r="I627" s="1215"/>
      <c r="J627" s="1215"/>
      <c r="K627" s="1215"/>
      <c r="L627" s="1215"/>
      <c r="M627" s="1215"/>
      <c r="N627" s="1215"/>
      <c r="O627" s="1427"/>
      <c r="P627" s="1223"/>
      <c r="Q627" s="1224"/>
      <c r="R627" s="1225"/>
      <c r="S627" s="1220"/>
      <c r="T627" s="1221"/>
      <c r="U627" s="1222"/>
      <c r="V627" s="1223"/>
      <c r="W627" s="1224"/>
      <c r="X627" s="1224"/>
      <c r="Y627" s="1224"/>
      <c r="Z627" s="1224"/>
      <c r="AA627" s="1225"/>
      <c r="AB627" s="1227"/>
      <c r="AC627" s="1227"/>
      <c r="AD627" s="1227"/>
      <c r="AE627" s="1227"/>
      <c r="AF627" s="1227"/>
      <c r="AG627" s="1227">
        <f t="shared" si="17"/>
        <v>100</v>
      </c>
      <c r="AH627" s="1227"/>
      <c r="AI627" s="1227"/>
      <c r="AJ627" s="1227"/>
      <c r="AK627" s="1227"/>
      <c r="AL627" s="58"/>
      <c r="AM627" s="58"/>
      <c r="AN627" s="58"/>
      <c r="AO627" s="58"/>
      <c r="AP627" s="58"/>
      <c r="AQ627" s="58"/>
      <c r="AR627" s="58"/>
      <c r="AS627" s="58"/>
      <c r="AT627" s="58"/>
      <c r="AU627" s="58"/>
      <c r="AV627" s="58"/>
      <c r="AW627" s="58"/>
      <c r="AX627" s="58"/>
      <c r="AY627" s="58"/>
      <c r="AZ627" s="58"/>
      <c r="BA627" s="1128">
        <f t="shared" si="18"/>
        <v>0</v>
      </c>
      <c r="BB627" s="1129"/>
      <c r="BC627" s="1129"/>
      <c r="BD627" s="1129"/>
      <c r="BE627" s="1130"/>
      <c r="BF627" s="1198">
        <f t="shared" si="19"/>
        <v>0</v>
      </c>
      <c r="BG627" s="1198"/>
      <c r="BH627" s="1198"/>
      <c r="BI627" s="1198"/>
      <c r="BJ627" s="1198"/>
      <c r="BK627" s="1198">
        <f t="shared" si="20"/>
        <v>0</v>
      </c>
      <c r="BL627" s="1198"/>
      <c r="BM627" s="1198"/>
      <c r="BN627" s="1198"/>
      <c r="BO627" s="1198"/>
      <c r="BP627" s="1198">
        <f t="shared" si="21"/>
        <v>0</v>
      </c>
      <c r="BQ627" s="1198"/>
      <c r="BR627" s="1198"/>
      <c r="BS627" s="1198"/>
      <c r="BT627" s="1198"/>
      <c r="BU627" s="1198">
        <f t="shared" si="22"/>
        <v>0</v>
      </c>
      <c r="BV627" s="1198"/>
      <c r="BW627" s="1198"/>
      <c r="BX627" s="1198"/>
      <c r="BY627" s="1198"/>
      <c r="BZ627" s="1198">
        <f t="shared" si="23"/>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6"/>
      <c r="P628" s="1223"/>
      <c r="Q628" s="1224"/>
      <c r="R628" s="1225"/>
      <c r="S628" s="1220"/>
      <c r="T628" s="1221"/>
      <c r="U628" s="1222"/>
      <c r="V628" s="1223"/>
      <c r="W628" s="1224"/>
      <c r="X628" s="1224"/>
      <c r="Y628" s="1224"/>
      <c r="Z628" s="1224"/>
      <c r="AA628" s="1225"/>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28">
        <f t="shared" si="18"/>
        <v>0</v>
      </c>
      <c r="BB628" s="1129"/>
      <c r="BC628" s="1129"/>
      <c r="BD628" s="1129"/>
      <c r="BE628" s="1130"/>
      <c r="BF628" s="1198">
        <f t="shared" si="19"/>
        <v>0</v>
      </c>
      <c r="BG628" s="1198"/>
      <c r="BH628" s="1198"/>
      <c r="BI628" s="1198"/>
      <c r="BJ628" s="1198"/>
      <c r="BK628" s="1198">
        <f t="shared" si="20"/>
        <v>0</v>
      </c>
      <c r="BL628" s="1198"/>
      <c r="BM628" s="1198"/>
      <c r="BN628" s="1198"/>
      <c r="BO628" s="1198"/>
      <c r="BP628" s="1198">
        <f t="shared" si="21"/>
        <v>0</v>
      </c>
      <c r="BQ628" s="1198"/>
      <c r="BR628" s="1198"/>
      <c r="BS628" s="1198"/>
      <c r="BT628" s="1198"/>
      <c r="BU628" s="1198">
        <f t="shared" si="22"/>
        <v>0</v>
      </c>
      <c r="BV628" s="1198"/>
      <c r="BW628" s="1198"/>
      <c r="BX628" s="1198"/>
      <c r="BY628" s="1198"/>
      <c r="BZ628" s="1198">
        <f t="shared" si="23"/>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215"/>
      <c r="D629" s="1099"/>
      <c r="E629" s="1099"/>
      <c r="F629" s="1099"/>
      <c r="G629" s="1099"/>
      <c r="H629" s="1099"/>
      <c r="I629" s="1099"/>
      <c r="J629" s="1099"/>
      <c r="K629" s="1099"/>
      <c r="L629" s="1099"/>
      <c r="M629" s="1099"/>
      <c r="N629" s="1099"/>
      <c r="O629" s="1226"/>
      <c r="P629" s="1223"/>
      <c r="Q629" s="1224"/>
      <c r="R629" s="1225"/>
      <c r="S629" s="1220"/>
      <c r="T629" s="1221"/>
      <c r="U629" s="1222"/>
      <c r="V629" s="1223"/>
      <c r="W629" s="1224"/>
      <c r="X629" s="1224"/>
      <c r="Y629" s="1224"/>
      <c r="Z629" s="1224"/>
      <c r="AA629" s="1225"/>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28">
        <f t="shared" si="18"/>
        <v>0</v>
      </c>
      <c r="BB629" s="1129"/>
      <c r="BC629" s="1129"/>
      <c r="BD629" s="1129"/>
      <c r="BE629" s="1130"/>
      <c r="BF629" s="1198">
        <f t="shared" si="19"/>
        <v>0</v>
      </c>
      <c r="BG629" s="1198"/>
      <c r="BH629" s="1198"/>
      <c r="BI629" s="1198"/>
      <c r="BJ629" s="1198"/>
      <c r="BK629" s="1198">
        <f t="shared" si="20"/>
        <v>0</v>
      </c>
      <c r="BL629" s="1198"/>
      <c r="BM629" s="1198"/>
      <c r="BN629" s="1198"/>
      <c r="BO629" s="1198"/>
      <c r="BP629" s="1198">
        <f t="shared" si="21"/>
        <v>0</v>
      </c>
      <c r="BQ629" s="1198"/>
      <c r="BR629" s="1198"/>
      <c r="BS629" s="1198"/>
      <c r="BT629" s="1198"/>
      <c r="BU629" s="1198">
        <f t="shared" si="22"/>
        <v>0</v>
      </c>
      <c r="BV629" s="1198"/>
      <c r="BW629" s="1198"/>
      <c r="BX629" s="1198"/>
      <c r="BY629" s="1198"/>
      <c r="BZ629" s="1198">
        <f t="shared" si="23"/>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27" t="s">
        <v>135</v>
      </c>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207">
        <f>SUM(AG618:AJ629)</f>
        <v>41563927</v>
      </c>
      <c r="AH630" s="1208"/>
      <c r="AI630" s="1208"/>
      <c r="AJ630" s="1208"/>
      <c r="AK630" s="1209"/>
      <c r="AM630" s="61"/>
      <c r="AN630" s="61"/>
      <c r="AO630" s="61"/>
      <c r="AP630" s="61"/>
      <c r="AQ630" s="61"/>
      <c r="AR630" s="61"/>
      <c r="AS630" s="61"/>
      <c r="AT630" s="61"/>
      <c r="AU630" s="61"/>
      <c r="AV630" s="61"/>
      <c r="AW630" s="61"/>
      <c r="AX630" s="61"/>
      <c r="AY630" s="61"/>
      <c r="AZ630" s="61"/>
      <c r="BA630" s="1128">
        <f t="shared" si="18"/>
        <v>0</v>
      </c>
      <c r="BB630" s="1129"/>
      <c r="BC630" s="1129"/>
      <c r="BD630" s="1129"/>
      <c r="BE630" s="1130"/>
      <c r="BF630" s="1198">
        <f t="shared" si="19"/>
        <v>0</v>
      </c>
      <c r="BG630" s="1198"/>
      <c r="BH630" s="1198"/>
      <c r="BI630" s="1198"/>
      <c r="BJ630" s="1198"/>
      <c r="BK630" s="1198">
        <f t="shared" si="20"/>
        <v>0</v>
      </c>
      <c r="BL630" s="1198"/>
      <c r="BM630" s="1198"/>
      <c r="BN630" s="1198"/>
      <c r="BO630" s="1198"/>
      <c r="BP630" s="1198">
        <f t="shared" si="21"/>
        <v>0</v>
      </c>
      <c r="BQ630" s="1198"/>
      <c r="BR630" s="1198"/>
      <c r="BS630" s="1198"/>
      <c r="BT630" s="1198"/>
      <c r="BU630" s="1198">
        <f t="shared" si="22"/>
        <v>0</v>
      </c>
      <c r="BV630" s="1198"/>
      <c r="BW630" s="1198"/>
      <c r="BX630" s="1198"/>
      <c r="BY630" s="1198"/>
      <c r="BZ630" s="1198">
        <f t="shared" si="23"/>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27" t="s">
        <v>283</v>
      </c>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37">
        <f>19953839-145000</f>
        <v>19808839</v>
      </c>
      <c r="AH631" s="1138"/>
      <c r="AI631" s="1138"/>
      <c r="AJ631" s="1138"/>
      <c r="AK631" s="1139"/>
      <c r="AM631" s="61"/>
      <c r="AN631" s="61"/>
      <c r="AO631" s="61"/>
      <c r="AP631" s="61"/>
      <c r="AQ631" s="61"/>
      <c r="AR631" s="61"/>
      <c r="AS631" s="61"/>
      <c r="AT631" s="61"/>
      <c r="AU631" s="61"/>
      <c r="AV631" s="61"/>
      <c r="AW631" s="61"/>
      <c r="AX631" s="61"/>
      <c r="AY631" s="61"/>
      <c r="AZ631" s="61"/>
      <c r="BA631" s="1128">
        <f t="shared" si="18"/>
        <v>0</v>
      </c>
      <c r="BB631" s="1129"/>
      <c r="BC631" s="1129"/>
      <c r="BD631" s="1129"/>
      <c r="BE631" s="1130"/>
      <c r="BF631" s="1198">
        <f t="shared" si="19"/>
        <v>0</v>
      </c>
      <c r="BG631" s="1198"/>
      <c r="BH631" s="1198"/>
      <c r="BI631" s="1198"/>
      <c r="BJ631" s="1198"/>
      <c r="BK631" s="1198">
        <f t="shared" si="20"/>
        <v>0</v>
      </c>
      <c r="BL631" s="1198"/>
      <c r="BM631" s="1198"/>
      <c r="BN631" s="1198"/>
      <c r="BO631" s="1198"/>
      <c r="BP631" s="1198">
        <f t="shared" si="21"/>
        <v>0</v>
      </c>
      <c r="BQ631" s="1198"/>
      <c r="BR631" s="1198"/>
      <c r="BS631" s="1198"/>
      <c r="BT631" s="1198"/>
      <c r="BU631" s="1198">
        <f t="shared" si="22"/>
        <v>0</v>
      </c>
      <c r="BV631" s="1198"/>
      <c r="BW631" s="1198"/>
      <c r="BX631" s="1198"/>
      <c r="BY631" s="1198"/>
      <c r="BZ631" s="1198">
        <f t="shared" si="23"/>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27" t="s">
        <v>284</v>
      </c>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207">
        <f>AG630+AG631</f>
        <v>61372766</v>
      </c>
      <c r="AH632" s="1208"/>
      <c r="AI632" s="1208"/>
      <c r="AJ632" s="1208"/>
      <c r="AK632" s="1209"/>
      <c r="AM632" s="61"/>
      <c r="AN632" s="61"/>
      <c r="AO632" s="61"/>
      <c r="AP632" s="61"/>
      <c r="AQ632" s="61"/>
      <c r="AR632" s="61"/>
      <c r="AS632" s="61"/>
      <c r="AT632" s="61"/>
      <c r="AU632" s="61"/>
      <c r="AV632" s="61"/>
      <c r="AW632" s="61"/>
      <c r="AX632" s="61"/>
      <c r="AY632" s="61"/>
      <c r="AZ632" s="61"/>
      <c r="BA632" s="1128">
        <f t="shared" si="18"/>
        <v>0</v>
      </c>
      <c r="BB632" s="1129"/>
      <c r="BC632" s="1129"/>
      <c r="BD632" s="1129"/>
      <c r="BE632" s="1130"/>
      <c r="BF632" s="1198">
        <f t="shared" si="19"/>
        <v>0</v>
      </c>
      <c r="BG632" s="1198"/>
      <c r="BH632" s="1198"/>
      <c r="BI632" s="1198"/>
      <c r="BJ632" s="1198"/>
      <c r="BK632" s="1198">
        <f t="shared" si="20"/>
        <v>0</v>
      </c>
      <c r="BL632" s="1198"/>
      <c r="BM632" s="1198"/>
      <c r="BN632" s="1198"/>
      <c r="BO632" s="1198"/>
      <c r="BP632" s="1198">
        <f t="shared" si="21"/>
        <v>0</v>
      </c>
      <c r="BQ632" s="1198"/>
      <c r="BR632" s="1198"/>
      <c r="BS632" s="1198"/>
      <c r="BT632" s="1198"/>
      <c r="BU632" s="1198">
        <f t="shared" si="22"/>
        <v>0</v>
      </c>
      <c r="BV632" s="1198"/>
      <c r="BW632" s="1198"/>
      <c r="BX632" s="1198"/>
      <c r="BY632" s="1198"/>
      <c r="BZ632" s="1198">
        <f t="shared" si="23"/>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1">
        <f>SUM(BA623:BE632)</f>
        <v>0</v>
      </c>
      <c r="BB633" s="1132"/>
      <c r="BC633" s="1132"/>
      <c r="BD633" s="1132"/>
      <c r="BE633" s="1133"/>
      <c r="BF633" s="1131">
        <f>SUM(BF623:BJ632)</f>
        <v>0</v>
      </c>
      <c r="BG633" s="1132"/>
      <c r="BH633" s="1132"/>
      <c r="BI633" s="1132"/>
      <c r="BJ633" s="1133"/>
      <c r="BK633" s="1131">
        <f>SUM(BK623:BO632)</f>
        <v>0</v>
      </c>
      <c r="BL633" s="1132"/>
      <c r="BM633" s="1132"/>
      <c r="BN633" s="1132"/>
      <c r="BO633" s="1133"/>
      <c r="BP633" s="1131">
        <f>SUM(BP623:BT632)</f>
        <v>0</v>
      </c>
      <c r="BQ633" s="1132"/>
      <c r="BR633" s="1132"/>
      <c r="BS633" s="1132"/>
      <c r="BT633" s="1133"/>
      <c r="BU633" s="1131">
        <f>SUM(BU623:BY632)</f>
        <v>0</v>
      </c>
      <c r="BV633" s="1132"/>
      <c r="BW633" s="1132"/>
      <c r="BX633" s="1132"/>
      <c r="BY633" s="1133"/>
      <c r="BZ633" s="1131">
        <f>SUM(BZ623:CD632)</f>
        <v>0</v>
      </c>
      <c r="CA633" s="1132"/>
      <c r="CB633" s="1132"/>
      <c r="CC633" s="1132"/>
      <c r="CD633" s="1133"/>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CCRC TE Permanent Loan</v>
      </c>
      <c r="H634" s="1097"/>
      <c r="I634" s="1097"/>
      <c r="J634" s="1097"/>
      <c r="K634" s="1097"/>
      <c r="L634" s="1097"/>
      <c r="M634" s="1097"/>
      <c r="N634" s="1097"/>
      <c r="O634" s="1097"/>
      <c r="P634" s="1097"/>
      <c r="Q634" s="1097"/>
      <c r="R634" s="1097"/>
      <c r="S634" s="14"/>
      <c r="T634" s="87" t="s">
        <v>120</v>
      </c>
      <c r="U634" s="12" t="s">
        <v>510</v>
      </c>
      <c r="Z634" s="1097" t="str">
        <f>C619</f>
        <v>City of South San Francisco - Assumed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1791</v>
      </c>
      <c r="H635" s="1095"/>
      <c r="I635" s="1095"/>
      <c r="J635" s="1095"/>
      <c r="K635" s="1095"/>
      <c r="L635" s="1095"/>
      <c r="M635" s="1095"/>
      <c r="N635" s="1095"/>
      <c r="O635" s="1095"/>
      <c r="P635" s="1095"/>
      <c r="Q635" s="1095"/>
      <c r="R635" s="1095"/>
      <c r="S635" s="14"/>
      <c r="T635" s="35"/>
      <c r="U635" s="12" t="s">
        <v>92</v>
      </c>
      <c r="Z635" s="1095" t="s">
        <v>1771</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1">
        <f>BA614+BA621+BA633</f>
        <v>0</v>
      </c>
      <c r="BB635" s="1132"/>
      <c r="BC635" s="1132"/>
      <c r="BD635" s="1132"/>
      <c r="BE635" s="1133"/>
      <c r="BF635" s="1131">
        <f>BF614+BF621+BF633</f>
        <v>0</v>
      </c>
      <c r="BG635" s="1132"/>
      <c r="BH635" s="1132"/>
      <c r="BI635" s="1132"/>
      <c r="BJ635" s="1133"/>
      <c r="BK635" s="1131">
        <f>BK614+BK621+BK633</f>
        <v>53</v>
      </c>
      <c r="BL635" s="1132"/>
      <c r="BM635" s="1132"/>
      <c r="BN635" s="1132"/>
      <c r="BO635" s="1133"/>
      <c r="BP635" s="1131">
        <f>BP614+BP621+BP633</f>
        <v>13</v>
      </c>
      <c r="BQ635" s="1132"/>
      <c r="BR635" s="1132"/>
      <c r="BS635" s="1132"/>
      <c r="BT635" s="1133"/>
      <c r="BU635" s="1131">
        <f>BU614+BU621+BU633</f>
        <v>4</v>
      </c>
      <c r="BV635" s="1132"/>
      <c r="BW635" s="1132"/>
      <c r="BX635" s="1132"/>
      <c r="BY635" s="1133"/>
      <c r="BZ635" s="1523">
        <f>BZ633+BZ621+BZ614</f>
        <v>0</v>
      </c>
      <c r="CA635" s="1531"/>
      <c r="CB635" s="1531"/>
      <c r="CC635" s="1531"/>
      <c r="CD635" s="1524"/>
      <c r="CE635" s="58"/>
      <c r="CF635" s="58"/>
      <c r="CG635" s="58"/>
      <c r="CH635" s="58"/>
      <c r="CI635" s="58"/>
      <c r="CJ635" s="58"/>
      <c r="CK635" s="58"/>
      <c r="CL635" s="58"/>
      <c r="CM635" s="58"/>
      <c r="CN635" s="58"/>
      <c r="CO635" s="58"/>
      <c r="CP635" s="58"/>
      <c r="CQ635" s="58"/>
      <c r="CR635" s="58"/>
    </row>
    <row r="636" spans="1:96" ht="12.75">
      <c r="A636" s="35"/>
      <c r="B636" s="12" t="s">
        <v>631</v>
      </c>
      <c r="G636" s="1093" t="s">
        <v>1792</v>
      </c>
      <c r="H636" s="1095"/>
      <c r="I636" s="1095"/>
      <c r="J636" s="1095"/>
      <c r="K636" s="1095"/>
      <c r="L636" s="1095"/>
      <c r="M636" s="1095"/>
      <c r="N636" s="1095"/>
      <c r="O636" s="1095"/>
      <c r="P636" s="1095"/>
      <c r="Q636" s="1095"/>
      <c r="R636" s="1095"/>
      <c r="S636" s="88"/>
      <c r="T636" s="35"/>
      <c r="U636" s="12" t="s">
        <v>631</v>
      </c>
      <c r="Z636" s="1116" t="s">
        <v>1772</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1793</v>
      </c>
      <c r="H637" s="1095"/>
      <c r="I637" s="1095"/>
      <c r="J637" s="1095"/>
      <c r="K637" s="1095"/>
      <c r="L637" s="1095"/>
      <c r="M637" s="1095"/>
      <c r="N637" s="1095"/>
      <c r="O637" s="1095"/>
      <c r="P637" s="1095"/>
      <c r="Q637" s="1095"/>
      <c r="R637" s="1095"/>
      <c r="S637" s="14"/>
      <c r="T637" s="35"/>
      <c r="U637" s="12" t="s">
        <v>19</v>
      </c>
      <c r="Z637" s="1116" t="s">
        <v>1773</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1794</v>
      </c>
      <c r="H638" s="1136"/>
      <c r="I638" s="1136"/>
      <c r="J638" s="1136"/>
      <c r="K638" s="1136"/>
      <c r="L638" s="1136"/>
      <c r="O638" s="140" t="s">
        <v>220</v>
      </c>
      <c r="P638" s="1099"/>
      <c r="Q638" s="1099"/>
      <c r="R638" s="1099"/>
      <c r="S638" s="16"/>
      <c r="T638" s="35"/>
      <c r="U638" s="12" t="s">
        <v>338</v>
      </c>
      <c r="Z638" s="1098" t="s">
        <v>1774</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1812</v>
      </c>
      <c r="I639" s="1095"/>
      <c r="J639" s="1095"/>
      <c r="K639" s="1095"/>
      <c r="L639" s="1095"/>
      <c r="M639" s="1095"/>
      <c r="N639" s="1095"/>
      <c r="O639" s="1095"/>
      <c r="P639" s="1095"/>
      <c r="Q639" s="1095"/>
      <c r="R639" s="1095"/>
      <c r="S639" s="14"/>
      <c r="T639" s="35"/>
      <c r="U639" s="12" t="s">
        <v>20</v>
      </c>
      <c r="AA639" s="1095" t="s">
        <v>1809</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San Mateo County AHF 7.0</v>
      </c>
      <c r="H642" s="1097"/>
      <c r="I642" s="1097"/>
      <c r="J642" s="1097"/>
      <c r="K642" s="1097"/>
      <c r="L642" s="1097"/>
      <c r="M642" s="1097"/>
      <c r="N642" s="1097"/>
      <c r="O642" s="1097"/>
      <c r="P642" s="1097"/>
      <c r="Q642" s="1097"/>
      <c r="R642" s="1097"/>
      <c r="T642" s="87" t="s">
        <v>632</v>
      </c>
      <c r="U642" s="12" t="s">
        <v>510</v>
      </c>
      <c r="Z642" s="1097" t="str">
        <f>C621</f>
        <v>San Mateo County CDBG</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1776</v>
      </c>
      <c r="H643" s="1095"/>
      <c r="I643" s="1095"/>
      <c r="J643" s="1095"/>
      <c r="K643" s="1095"/>
      <c r="L643" s="1095"/>
      <c r="M643" s="1095"/>
      <c r="N643" s="1095"/>
      <c r="O643" s="1095"/>
      <c r="P643" s="1095"/>
      <c r="Q643" s="1095"/>
      <c r="R643" s="1095"/>
      <c r="T643" s="35"/>
      <c r="U643" s="12" t="s">
        <v>92</v>
      </c>
      <c r="Z643" s="1093" t="s">
        <v>1776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15" t="s">
        <v>1777</v>
      </c>
      <c r="H644" s="1116"/>
      <c r="I644" s="1116"/>
      <c r="J644" s="1116"/>
      <c r="K644" s="1116"/>
      <c r="L644" s="1116"/>
      <c r="M644" s="1116"/>
      <c r="N644" s="1116"/>
      <c r="O644" s="1116"/>
      <c r="P644" s="1116"/>
      <c r="Q644" s="1116"/>
      <c r="R644" s="1116"/>
      <c r="T644" s="35"/>
      <c r="U644" s="12" t="s">
        <v>631</v>
      </c>
      <c r="Z644" s="1215" t="s">
        <v>1777</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1778</v>
      </c>
      <c r="H645" s="1116"/>
      <c r="I645" s="1116"/>
      <c r="J645" s="1116"/>
      <c r="K645" s="1116"/>
      <c r="L645" s="1116"/>
      <c r="M645" s="1116"/>
      <c r="N645" s="1116"/>
      <c r="O645" s="1116"/>
      <c r="P645" s="1116"/>
      <c r="Q645" s="1116"/>
      <c r="R645" s="1116"/>
      <c r="T645" s="35"/>
      <c r="U645" s="12" t="s">
        <v>19</v>
      </c>
      <c r="Z645" s="1116" t="s">
        <v>1778</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1779</v>
      </c>
      <c r="H646" s="1098"/>
      <c r="I646" s="1098"/>
      <c r="J646" s="1098"/>
      <c r="K646" s="1098"/>
      <c r="L646" s="1098"/>
      <c r="O646" s="140" t="s">
        <v>220</v>
      </c>
      <c r="P646" s="1099"/>
      <c r="Q646" s="1099"/>
      <c r="R646" s="1099"/>
      <c r="T646" s="35"/>
      <c r="U646" s="12" t="s">
        <v>338</v>
      </c>
      <c r="Z646" s="1098" t="s">
        <v>1779</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1809</v>
      </c>
      <c r="I647" s="1095"/>
      <c r="J647" s="1095"/>
      <c r="K647" s="1095"/>
      <c r="L647" s="1095"/>
      <c r="M647" s="1095"/>
      <c r="N647" s="1095"/>
      <c r="O647" s="1095"/>
      <c r="P647" s="1095"/>
      <c r="Q647" s="1095"/>
      <c r="R647" s="1095"/>
      <c r="T647" s="35"/>
      <c r="U647" s="12" t="s">
        <v>20</v>
      </c>
      <c r="AA647" s="1095" t="s">
        <v>1809</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723</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5">IF($G709=0,"N/A",VLOOKUP($T$191,TC_Rent,(MATCH($B709,bedrooms,FALSE))))</f>
        <v>3914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Subordinate Loan Deferred/Accrued Interest</v>
      </c>
      <c r="H650" s="1097"/>
      <c r="I650" s="1097"/>
      <c r="J650" s="1097"/>
      <c r="K650" s="1097"/>
      <c r="L650" s="1097"/>
      <c r="M650" s="1097"/>
      <c r="N650" s="1097"/>
      <c r="O650" s="1097"/>
      <c r="P650" s="1097"/>
      <c r="Q650" s="1097"/>
      <c r="R650" s="1097"/>
      <c r="T650" s="87" t="s">
        <v>635</v>
      </c>
      <c r="U650" s="12" t="s">
        <v>510</v>
      </c>
      <c r="Z650" s="1097" t="str">
        <f>C623</f>
        <v>Seller Carryback Loan</v>
      </c>
      <c r="AA650" s="1097"/>
      <c r="AB650" s="1097"/>
      <c r="AC650" s="1097"/>
      <c r="AD650" s="1097"/>
      <c r="AE650" s="1097"/>
      <c r="AF650" s="1097"/>
      <c r="AG650" s="1097"/>
      <c r="AH650" s="1097"/>
      <c r="AI650" s="1097"/>
      <c r="AJ650" s="1097"/>
      <c r="AK650" s="1097"/>
      <c r="AM650" s="58"/>
      <c r="AN650" s="463">
        <f t="shared" si="25"/>
        <v>4524</v>
      </c>
      <c r="AO650" s="58"/>
      <c r="AP650" s="58"/>
      <c r="AQ650" s="58"/>
      <c r="AR650" s="58"/>
      <c r="AS650" s="399"/>
      <c r="AT650" s="473">
        <f t="shared" ref="AT650:AT674" si="26">G709</f>
        <v>6</v>
      </c>
      <c r="AU650" s="477">
        <f>AT650/$AT$675</f>
        <v>8.8235294117647065E-2</v>
      </c>
      <c r="AV650" s="478">
        <f t="shared" ref="AV650:AV674" si="27">IF(AU650=0," ",AU650*AD709)</f>
        <v>2.6470588235294117E-2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c r="H651" s="1095"/>
      <c r="I651" s="1095"/>
      <c r="J651" s="1095"/>
      <c r="K651" s="1095"/>
      <c r="L651" s="1095"/>
      <c r="M651" s="1095"/>
      <c r="N651" s="1095"/>
      <c r="O651" s="1095"/>
      <c r="P651" s="1095"/>
      <c r="Q651" s="1095"/>
      <c r="R651" s="1095"/>
      <c r="T651" s="35"/>
      <c r="U651" s="12" t="s">
        <v>92</v>
      </c>
      <c r="Z651" s="1095" t="s">
        <v>1780</v>
      </c>
      <c r="AA651" s="1095"/>
      <c r="AB651" s="1095"/>
      <c r="AC651" s="1095"/>
      <c r="AD651" s="1095"/>
      <c r="AE651" s="1095"/>
      <c r="AF651" s="1095"/>
      <c r="AG651" s="1095"/>
      <c r="AH651" s="1095"/>
      <c r="AI651" s="1095"/>
      <c r="AJ651" s="1095"/>
      <c r="AK651" s="1095"/>
      <c r="AM651" s="58"/>
      <c r="AN651" s="463">
        <f t="shared" si="25"/>
        <v>5046</v>
      </c>
      <c r="AO651" s="58"/>
      <c r="AP651" s="58"/>
      <c r="AQ651" s="58"/>
      <c r="AR651" s="58"/>
      <c r="AS651" s="399"/>
      <c r="AT651" s="474">
        <f t="shared" si="26"/>
        <v>2</v>
      </c>
      <c r="AU651" s="477">
        <f t="shared" ref="AU651:AU674" si="28">AT651/$AT$675</f>
        <v>2.9411764705882353E-2</v>
      </c>
      <c r="AV651" s="478">
        <f t="shared" si="27"/>
        <v>8.8235294117647058E-3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215"/>
      <c r="H652" s="1116"/>
      <c r="I652" s="1116"/>
      <c r="J652" s="1116"/>
      <c r="K652" s="1116"/>
      <c r="L652" s="1116"/>
      <c r="M652" s="1116"/>
      <c r="N652" s="1116"/>
      <c r="O652" s="1116"/>
      <c r="P652" s="1116"/>
      <c r="Q652" s="1116"/>
      <c r="R652" s="1116"/>
      <c r="T652" s="35"/>
      <c r="U652" s="12" t="s">
        <v>631</v>
      </c>
      <c r="Z652" s="1116" t="s">
        <v>1677</v>
      </c>
      <c r="AA652" s="1116"/>
      <c r="AB652" s="1116"/>
      <c r="AC652" s="1116"/>
      <c r="AD652" s="1116"/>
      <c r="AE652" s="1116"/>
      <c r="AF652" s="1116"/>
      <c r="AG652" s="1116"/>
      <c r="AH652" s="1116"/>
      <c r="AI652" s="1116"/>
      <c r="AJ652" s="1116"/>
      <c r="AK652" s="1116"/>
      <c r="AM652" s="58"/>
      <c r="AN652" s="463" t="str">
        <f t="shared" si="25"/>
        <v>N/A</v>
      </c>
      <c r="AO652" s="58"/>
      <c r="AP652" s="58"/>
      <c r="AQ652" s="58"/>
      <c r="AR652" s="58"/>
      <c r="AS652" s="399"/>
      <c r="AT652" s="474">
        <f t="shared" si="26"/>
        <v>2</v>
      </c>
      <c r="AU652" s="477">
        <f t="shared" si="28"/>
        <v>2.9411764705882353E-2</v>
      </c>
      <c r="AV652" s="478">
        <f t="shared" si="27"/>
        <v>8.8235294117647058E-3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c r="H653" s="1116"/>
      <c r="I653" s="1116"/>
      <c r="J653" s="1116"/>
      <c r="K653" s="1116"/>
      <c r="L653" s="1116"/>
      <c r="M653" s="1116"/>
      <c r="N653" s="1116"/>
      <c r="O653" s="1116"/>
      <c r="P653" s="1116"/>
      <c r="Q653" s="1116"/>
      <c r="R653" s="1116"/>
      <c r="T653" s="35"/>
      <c r="U653" s="12" t="s">
        <v>19</v>
      </c>
      <c r="Z653" s="1116" t="s">
        <v>1781</v>
      </c>
      <c r="AA653" s="1116"/>
      <c r="AB653" s="1116"/>
      <c r="AC653" s="1116"/>
      <c r="AD653" s="1116"/>
      <c r="AE653" s="1116"/>
      <c r="AF653" s="1116"/>
      <c r="AG653" s="1116"/>
      <c r="AH653" s="1116"/>
      <c r="AI653" s="1116"/>
      <c r="AJ653" s="1116"/>
      <c r="AK653" s="1116"/>
      <c r="AM653" s="58"/>
      <c r="AN653" s="463">
        <f t="shared" si="25"/>
        <v>3914</v>
      </c>
      <c r="AO653" s="58"/>
      <c r="AP653" s="58"/>
      <c r="AQ653" s="58"/>
      <c r="AR653" s="58"/>
      <c r="AS653" s="399"/>
      <c r="AT653" s="474">
        <f t="shared" si="26"/>
        <v>0</v>
      </c>
      <c r="AU653" s="477">
        <f t="shared" si="28"/>
        <v>0</v>
      </c>
      <c r="AV653" s="478" t="str">
        <f t="shared" si="27"/>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c r="H654" s="1098"/>
      <c r="I654" s="1098"/>
      <c r="J654" s="1098"/>
      <c r="K654" s="1098"/>
      <c r="L654" s="1098"/>
      <c r="O654" s="140" t="s">
        <v>220</v>
      </c>
      <c r="P654" s="1099"/>
      <c r="Q654" s="1099"/>
      <c r="R654" s="1099"/>
      <c r="T654" s="35"/>
      <c r="U654" s="12" t="s">
        <v>338</v>
      </c>
      <c r="Z654" s="1098" t="s">
        <v>1782</v>
      </c>
      <c r="AA654" s="1098"/>
      <c r="AB654" s="1098"/>
      <c r="AC654" s="1098"/>
      <c r="AD654" s="1098"/>
      <c r="AE654" s="1098"/>
      <c r="AH654" s="140" t="s">
        <v>220</v>
      </c>
      <c r="AI654" s="1099"/>
      <c r="AJ654" s="1099"/>
      <c r="AK654" s="1099"/>
      <c r="AM654" s="58"/>
      <c r="AN654" s="463">
        <f t="shared" si="25"/>
        <v>4524</v>
      </c>
      <c r="AO654" s="58"/>
      <c r="AP654" s="58"/>
      <c r="AQ654" s="58"/>
      <c r="AR654" s="58"/>
      <c r="AS654" s="399"/>
      <c r="AT654" s="474">
        <f t="shared" si="26"/>
        <v>7</v>
      </c>
      <c r="AU654" s="477">
        <f t="shared" si="28"/>
        <v>0.10294117647058823</v>
      </c>
      <c r="AV654" s="478">
        <f t="shared" si="27"/>
        <v>4.1176470588235294E-2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t="s">
        <v>1809</v>
      </c>
      <c r="AB655" s="1095"/>
      <c r="AC655" s="1095"/>
      <c r="AD655" s="1095"/>
      <c r="AE655" s="1095"/>
      <c r="AF655" s="1095"/>
      <c r="AG655" s="1095"/>
      <c r="AH655" s="1095"/>
      <c r="AI655" s="1095"/>
      <c r="AJ655" s="1095"/>
      <c r="AK655" s="1095"/>
      <c r="AM655" s="58"/>
      <c r="AN655" s="463">
        <f t="shared" si="25"/>
        <v>4524</v>
      </c>
      <c r="AO655" s="58"/>
      <c r="AP655" s="58"/>
      <c r="AQ655" s="58"/>
      <c r="AR655" s="58"/>
      <c r="AS655" s="399"/>
      <c r="AT655" s="474">
        <f t="shared" si="26"/>
        <v>2</v>
      </c>
      <c r="AU655" s="477">
        <f t="shared" si="28"/>
        <v>2.9411764705882353E-2</v>
      </c>
      <c r="AV655" s="478">
        <f t="shared" si="27"/>
        <v>1.1764705882352941E-2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592</v>
      </c>
      <c r="AH656" s="1096"/>
      <c r="AM656" s="58"/>
      <c r="AN656" s="463">
        <f t="shared" si="25"/>
        <v>5046</v>
      </c>
      <c r="AO656" s="58"/>
      <c r="AP656" s="58"/>
      <c r="AQ656" s="58"/>
      <c r="AR656" s="58"/>
      <c r="AS656" s="399"/>
      <c r="AT656" s="474">
        <f t="shared" si="26"/>
        <v>6</v>
      </c>
      <c r="AU656" s="477">
        <f t="shared" si="28"/>
        <v>8.8235294117647065E-2</v>
      </c>
      <c r="AV656" s="478">
        <f t="shared" si="27"/>
        <v>3.529411764705883E-2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5"/>
        <v>N/A</v>
      </c>
      <c r="AO657" s="58"/>
      <c r="AP657" s="58"/>
      <c r="AQ657" s="58"/>
      <c r="AR657" s="58"/>
      <c r="AS657" s="399"/>
      <c r="AT657" s="474">
        <f t="shared" si="26"/>
        <v>1</v>
      </c>
      <c r="AU657" s="477">
        <f t="shared" si="28"/>
        <v>1.4705882352941176E-2</v>
      </c>
      <c r="AV657" s="478">
        <f t="shared" si="27"/>
        <v>5.8823529411764705E-3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t="str">
        <f>C624</f>
        <v>Sponsor Loan</v>
      </c>
      <c r="H658" s="1097"/>
      <c r="I658" s="1097"/>
      <c r="J658" s="1097"/>
      <c r="K658" s="1097"/>
      <c r="L658" s="1097"/>
      <c r="M658" s="1097"/>
      <c r="N658" s="1097"/>
      <c r="O658" s="1097"/>
      <c r="P658" s="1097"/>
      <c r="Q658" s="1097"/>
      <c r="R658" s="1097"/>
      <c r="T658" s="87" t="s">
        <v>502</v>
      </c>
      <c r="U658" s="12" t="s">
        <v>510</v>
      </c>
      <c r="Z658" s="1097" t="str">
        <f>C625</f>
        <v>Deferred Developer Fee</v>
      </c>
      <c r="AA658" s="1097"/>
      <c r="AB658" s="1097"/>
      <c r="AC658" s="1097"/>
      <c r="AD658" s="1097"/>
      <c r="AE658" s="1097"/>
      <c r="AF658" s="1097"/>
      <c r="AG658" s="1097"/>
      <c r="AH658" s="1097"/>
      <c r="AI658" s="1097"/>
      <c r="AJ658" s="1097"/>
      <c r="AK658" s="1097"/>
      <c r="AM658" s="58"/>
      <c r="AN658" s="463">
        <f t="shared" si="25"/>
        <v>3914</v>
      </c>
      <c r="AO658" s="58"/>
      <c r="AP658" s="58"/>
      <c r="AQ658" s="58"/>
      <c r="AR658" s="58"/>
      <c r="AS658" s="399"/>
      <c r="AT658" s="474">
        <f t="shared" si="26"/>
        <v>0</v>
      </c>
      <c r="AU658" s="477">
        <f t="shared" si="28"/>
        <v>0</v>
      </c>
      <c r="AV658" s="478" t="str">
        <f t="shared" si="27"/>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1780</v>
      </c>
      <c r="H659" s="1095"/>
      <c r="I659" s="1095"/>
      <c r="J659" s="1095"/>
      <c r="K659" s="1095"/>
      <c r="L659" s="1095"/>
      <c r="M659" s="1095"/>
      <c r="N659" s="1095"/>
      <c r="O659" s="1095"/>
      <c r="P659" s="1095"/>
      <c r="Q659" s="1095"/>
      <c r="R659" s="1095"/>
      <c r="T659" s="35"/>
      <c r="U659" s="12" t="s">
        <v>92</v>
      </c>
      <c r="Z659" s="1095" t="s">
        <v>1780</v>
      </c>
      <c r="AA659" s="1095"/>
      <c r="AB659" s="1095"/>
      <c r="AC659" s="1095"/>
      <c r="AD659" s="1095"/>
      <c r="AE659" s="1095"/>
      <c r="AF659" s="1095"/>
      <c r="AG659" s="1095"/>
      <c r="AH659" s="1095"/>
      <c r="AI659" s="1095"/>
      <c r="AJ659" s="1095"/>
      <c r="AK659" s="1095"/>
      <c r="AM659" s="58"/>
      <c r="AN659" s="463">
        <f t="shared" si="25"/>
        <v>4524</v>
      </c>
      <c r="AO659" s="58"/>
      <c r="AP659" s="58"/>
      <c r="AQ659" s="58"/>
      <c r="AR659" s="58"/>
      <c r="AS659" s="399"/>
      <c r="AT659" s="474">
        <f t="shared" si="26"/>
        <v>3</v>
      </c>
      <c r="AU659" s="477">
        <f t="shared" si="28"/>
        <v>4.4117647058823532E-2</v>
      </c>
      <c r="AV659" s="478">
        <f t="shared" si="27"/>
        <v>2.2058823529411766E-2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6" t="s">
        <v>1677</v>
      </c>
      <c r="H660" s="1116"/>
      <c r="I660" s="1116"/>
      <c r="J660" s="1116"/>
      <c r="K660" s="1116"/>
      <c r="L660" s="1116"/>
      <c r="M660" s="1116"/>
      <c r="N660" s="1116"/>
      <c r="O660" s="1116"/>
      <c r="P660" s="1116"/>
      <c r="Q660" s="1116"/>
      <c r="R660" s="1116"/>
      <c r="T660" s="35"/>
      <c r="U660" s="12" t="s">
        <v>631</v>
      </c>
      <c r="Z660" s="1116" t="s">
        <v>1677</v>
      </c>
      <c r="AA660" s="1116"/>
      <c r="AB660" s="1116"/>
      <c r="AC660" s="1116"/>
      <c r="AD660" s="1116"/>
      <c r="AE660" s="1116"/>
      <c r="AF660" s="1116"/>
      <c r="AG660" s="1116"/>
      <c r="AH660" s="1116"/>
      <c r="AI660" s="1116"/>
      <c r="AJ660" s="1116"/>
      <c r="AK660" s="1116"/>
      <c r="AM660" s="58"/>
      <c r="AN660" s="463" t="str">
        <f t="shared" si="25"/>
        <v>N/A</v>
      </c>
      <c r="AO660" s="58"/>
      <c r="AP660" s="58"/>
      <c r="AQ660" s="58"/>
      <c r="AR660" s="58"/>
      <c r="AS660" s="399"/>
      <c r="AT660" s="474">
        <f t="shared" si="26"/>
        <v>1</v>
      </c>
      <c r="AU660" s="477">
        <f t="shared" si="28"/>
        <v>1.4705882352941176E-2</v>
      </c>
      <c r="AV660" s="478">
        <f t="shared" si="27"/>
        <v>7.3529411764705881E-3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6" t="s">
        <v>1781</v>
      </c>
      <c r="H661" s="1116"/>
      <c r="I661" s="1116"/>
      <c r="J661" s="1116"/>
      <c r="K661" s="1116"/>
      <c r="L661" s="1116"/>
      <c r="M661" s="1116"/>
      <c r="N661" s="1116"/>
      <c r="O661" s="1116"/>
      <c r="P661" s="1116"/>
      <c r="Q661" s="1116"/>
      <c r="R661" s="1116"/>
      <c r="T661" s="35"/>
      <c r="U661" s="12" t="s">
        <v>19</v>
      </c>
      <c r="Z661" s="1116" t="s">
        <v>1781</v>
      </c>
      <c r="AA661" s="1116"/>
      <c r="AB661" s="1116"/>
      <c r="AC661" s="1116"/>
      <c r="AD661" s="1116"/>
      <c r="AE661" s="1116"/>
      <c r="AF661" s="1116"/>
      <c r="AG661" s="1116"/>
      <c r="AH661" s="1116"/>
      <c r="AI661" s="1116"/>
      <c r="AJ661" s="1116"/>
      <c r="AK661" s="1116"/>
      <c r="AM661" s="58"/>
      <c r="AN661" s="463" t="str">
        <f t="shared" si="25"/>
        <v>N/A</v>
      </c>
      <c r="AO661" s="58"/>
      <c r="AP661" s="58"/>
      <c r="AQ661" s="58"/>
      <c r="AR661" s="58"/>
      <c r="AS661" s="399"/>
      <c r="AT661" s="474">
        <f t="shared" si="26"/>
        <v>0</v>
      </c>
      <c r="AU661" s="477">
        <f t="shared" si="28"/>
        <v>0</v>
      </c>
      <c r="AV661" s="478" t="str">
        <f t="shared" si="27"/>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
        <v>1782</v>
      </c>
      <c r="H662" s="1098"/>
      <c r="I662" s="1098"/>
      <c r="J662" s="1098"/>
      <c r="K662" s="1098"/>
      <c r="L662" s="1098"/>
      <c r="O662" s="140" t="s">
        <v>220</v>
      </c>
      <c r="P662" s="1099"/>
      <c r="Q662" s="1099"/>
      <c r="R662" s="1099"/>
      <c r="T662" s="35"/>
      <c r="U662" s="12" t="s">
        <v>338</v>
      </c>
      <c r="Z662" s="1098" t="s">
        <v>1782</v>
      </c>
      <c r="AA662" s="1098"/>
      <c r="AB662" s="1098"/>
      <c r="AC662" s="1098"/>
      <c r="AD662" s="1098"/>
      <c r="AE662" s="1098"/>
      <c r="AH662" s="140" t="s">
        <v>220</v>
      </c>
      <c r="AI662" s="1099"/>
      <c r="AJ662" s="1099"/>
      <c r="AK662" s="1099"/>
      <c r="AM662" s="58"/>
      <c r="AN662" s="463">
        <f t="shared" si="25"/>
        <v>3914</v>
      </c>
      <c r="AO662" s="58"/>
      <c r="AP662" s="58"/>
      <c r="AQ662" s="58"/>
      <c r="AR662" s="58"/>
      <c r="AS662" s="399"/>
      <c r="AT662" s="474">
        <f t="shared" si="26"/>
        <v>0</v>
      </c>
      <c r="AU662" s="477">
        <f t="shared" si="28"/>
        <v>0</v>
      </c>
      <c r="AV662" s="478" t="str">
        <f t="shared" si="27"/>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t="s">
        <v>1809</v>
      </c>
      <c r="I663" s="1095"/>
      <c r="J663" s="1095"/>
      <c r="K663" s="1095"/>
      <c r="L663" s="1095"/>
      <c r="M663" s="1095"/>
      <c r="N663" s="1095"/>
      <c r="O663" s="1095"/>
      <c r="P663" s="1095"/>
      <c r="Q663" s="1095"/>
      <c r="R663" s="1095"/>
      <c r="T663" s="35"/>
      <c r="U663" s="12" t="s">
        <v>20</v>
      </c>
      <c r="AA663" s="1095" t="s">
        <v>1810</v>
      </c>
      <c r="AB663" s="1095"/>
      <c r="AC663" s="1095"/>
      <c r="AD663" s="1095"/>
      <c r="AE663" s="1095"/>
      <c r="AF663" s="1095"/>
      <c r="AG663" s="1095"/>
      <c r="AH663" s="1095"/>
      <c r="AI663" s="1095"/>
      <c r="AJ663" s="1095"/>
      <c r="AK663" s="1095"/>
      <c r="AM663" s="58"/>
      <c r="AN663" s="463">
        <f t="shared" si="25"/>
        <v>4524</v>
      </c>
      <c r="AO663" s="58"/>
      <c r="AP663" s="58"/>
      <c r="AQ663" s="58"/>
      <c r="AR663" s="58"/>
      <c r="AS663" s="399"/>
      <c r="AT663" s="474">
        <f t="shared" si="26"/>
        <v>1</v>
      </c>
      <c r="AU663" s="477">
        <f t="shared" si="28"/>
        <v>1.4705882352941176E-2</v>
      </c>
      <c r="AV663" s="478">
        <f t="shared" si="27"/>
        <v>8.8235294117647058E-3</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592</v>
      </c>
      <c r="O664" s="1096"/>
      <c r="T664" s="35"/>
      <c r="U664" s="12" t="s">
        <v>22</v>
      </c>
      <c r="AG664" s="1096" t="s">
        <v>592</v>
      </c>
      <c r="AH664" s="1096"/>
      <c r="AM664" s="58"/>
      <c r="AN664" s="463">
        <f t="shared" si="25"/>
        <v>5046</v>
      </c>
      <c r="AO664" s="58"/>
      <c r="AP664" s="58"/>
      <c r="AQ664" s="58"/>
      <c r="AR664" s="58"/>
      <c r="AS664" s="399"/>
      <c r="AT664" s="474">
        <f t="shared" si="26"/>
        <v>1</v>
      </c>
      <c r="AU664" s="477">
        <f t="shared" si="28"/>
        <v>1.4705882352941176E-2</v>
      </c>
      <c r="AV664" s="478">
        <f t="shared" si="27"/>
        <v>8.8235294117647058E-3</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5"/>
        <v>N/A</v>
      </c>
      <c r="AO665" s="58"/>
      <c r="AP665" s="58"/>
      <c r="AQ665" s="58"/>
      <c r="AR665" s="58"/>
      <c r="AS665" s="399"/>
      <c r="AT665" s="474">
        <f t="shared" si="26"/>
        <v>1</v>
      </c>
      <c r="AU665" s="477">
        <f t="shared" si="28"/>
        <v>1.4705882352941176E-2</v>
      </c>
      <c r="AV665" s="478">
        <f t="shared" si="27"/>
        <v>8.8235294117647058E-3</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t="str">
        <f>C626</f>
        <v>GP Capital Contribution - Developer Fee</v>
      </c>
      <c r="H666" s="1097"/>
      <c r="I666" s="1097"/>
      <c r="J666" s="1097"/>
      <c r="K666" s="1097"/>
      <c r="L666" s="1097"/>
      <c r="M666" s="1097"/>
      <c r="N666" s="1097"/>
      <c r="O666" s="1097"/>
      <c r="P666" s="1097"/>
      <c r="Q666" s="1097"/>
      <c r="R666" s="1097"/>
      <c r="T666" s="87" t="s">
        <v>697</v>
      </c>
      <c r="U666" s="12" t="s">
        <v>510</v>
      </c>
      <c r="Z666" s="1097" t="str">
        <f>C627</f>
        <v>GP Capital Contrubution</v>
      </c>
      <c r="AA666" s="1097"/>
      <c r="AB666" s="1097"/>
      <c r="AC666" s="1097"/>
      <c r="AD666" s="1097"/>
      <c r="AE666" s="1097"/>
      <c r="AF666" s="1097"/>
      <c r="AG666" s="1097"/>
      <c r="AH666" s="1097"/>
      <c r="AI666" s="1097"/>
      <c r="AJ666" s="1097"/>
      <c r="AK666" s="1097"/>
      <c r="AM666" s="58"/>
      <c r="AN666" s="463" t="str">
        <f t="shared" si="25"/>
        <v>N/A</v>
      </c>
      <c r="AO666" s="58"/>
      <c r="AP666" s="58"/>
      <c r="AQ666" s="58"/>
      <c r="AR666" s="58"/>
      <c r="AS666" s="399"/>
      <c r="AT666" s="474">
        <f t="shared" si="26"/>
        <v>0</v>
      </c>
      <c r="AU666" s="477">
        <f t="shared" si="28"/>
        <v>0</v>
      </c>
      <c r="AV666" s="478" t="str">
        <f t="shared" si="27"/>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t="s">
        <v>1780</v>
      </c>
      <c r="H667" s="1095"/>
      <c r="I667" s="1095"/>
      <c r="J667" s="1095"/>
      <c r="K667" s="1095"/>
      <c r="L667" s="1095"/>
      <c r="M667" s="1095"/>
      <c r="N667" s="1095"/>
      <c r="O667" s="1095"/>
      <c r="P667" s="1095"/>
      <c r="Q667" s="1095"/>
      <c r="R667" s="1095"/>
      <c r="T667" s="35"/>
      <c r="U667" s="12" t="s">
        <v>92</v>
      </c>
      <c r="Z667" s="1095" t="s">
        <v>1780</v>
      </c>
      <c r="AA667" s="1095"/>
      <c r="AB667" s="1095"/>
      <c r="AC667" s="1095"/>
      <c r="AD667" s="1095"/>
      <c r="AE667" s="1095"/>
      <c r="AF667" s="1095"/>
      <c r="AG667" s="1095"/>
      <c r="AH667" s="1095"/>
      <c r="AI667" s="1095"/>
      <c r="AJ667" s="1095"/>
      <c r="AK667" s="1095"/>
      <c r="AM667" s="58"/>
      <c r="AN667" s="463">
        <f t="shared" si="25"/>
        <v>3914</v>
      </c>
      <c r="AO667" s="58"/>
      <c r="AP667" s="58"/>
      <c r="AQ667" s="58"/>
      <c r="AR667" s="58"/>
      <c r="AS667" s="399"/>
      <c r="AT667" s="474">
        <f t="shared" si="26"/>
        <v>0</v>
      </c>
      <c r="AU667" s="477">
        <f t="shared" si="28"/>
        <v>0</v>
      </c>
      <c r="AV667" s="478" t="str">
        <f t="shared" si="27"/>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6" t="s">
        <v>1677</v>
      </c>
      <c r="H668" s="1116"/>
      <c r="I668" s="1116"/>
      <c r="J668" s="1116"/>
      <c r="K668" s="1116"/>
      <c r="L668" s="1116"/>
      <c r="M668" s="1116"/>
      <c r="N668" s="1116"/>
      <c r="O668" s="1116"/>
      <c r="P668" s="1116"/>
      <c r="Q668" s="1116"/>
      <c r="R668" s="1116"/>
      <c r="T668" s="35"/>
      <c r="U668" s="12" t="s">
        <v>631</v>
      </c>
      <c r="Z668" s="1116" t="s">
        <v>1677</v>
      </c>
      <c r="AA668" s="1116"/>
      <c r="AB668" s="1116"/>
      <c r="AC668" s="1116"/>
      <c r="AD668" s="1116"/>
      <c r="AE668" s="1116"/>
      <c r="AF668" s="1116"/>
      <c r="AG668" s="1116"/>
      <c r="AH668" s="1116"/>
      <c r="AI668" s="1116"/>
      <c r="AJ668" s="1116"/>
      <c r="AK668" s="1116"/>
      <c r="AM668" s="58"/>
      <c r="AN668" s="463" t="str">
        <f t="shared" si="25"/>
        <v>N/A</v>
      </c>
      <c r="AO668" s="58"/>
      <c r="AP668" s="58"/>
      <c r="AQ668" s="58"/>
      <c r="AR668" s="58"/>
      <c r="AS668" s="399"/>
      <c r="AT668" s="474">
        <f t="shared" si="26"/>
        <v>15</v>
      </c>
      <c r="AU668" s="477">
        <f t="shared" si="28"/>
        <v>0.22058823529411764</v>
      </c>
      <c r="AV668" s="478">
        <f t="shared" si="27"/>
        <v>0.11029411764705882</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6" t="s">
        <v>1781</v>
      </c>
      <c r="H669" s="1116"/>
      <c r="I669" s="1116"/>
      <c r="J669" s="1116"/>
      <c r="K669" s="1116"/>
      <c r="L669" s="1116"/>
      <c r="M669" s="1116"/>
      <c r="N669" s="1116"/>
      <c r="O669" s="1116"/>
      <c r="P669" s="1116"/>
      <c r="Q669" s="1116"/>
      <c r="R669" s="1116"/>
      <c r="T669" s="35"/>
      <c r="U669" s="12" t="s">
        <v>19</v>
      </c>
      <c r="Z669" s="1116" t="s">
        <v>1781</v>
      </c>
      <c r="AA669" s="1116"/>
      <c r="AB669" s="1116"/>
      <c r="AC669" s="1116"/>
      <c r="AD669" s="1116"/>
      <c r="AE669" s="1116"/>
      <c r="AF669" s="1116"/>
      <c r="AG669" s="1116"/>
      <c r="AH669" s="1116"/>
      <c r="AI669" s="1116"/>
      <c r="AJ669" s="1116"/>
      <c r="AK669" s="1116"/>
      <c r="AM669" s="58"/>
      <c r="AN669" s="463">
        <f t="shared" si="25"/>
        <v>3914</v>
      </c>
      <c r="AO669" s="58"/>
      <c r="AP669" s="58"/>
      <c r="AQ669" s="58"/>
      <c r="AR669" s="58"/>
      <c r="AS669" s="399"/>
      <c r="AT669" s="474">
        <f t="shared" si="26"/>
        <v>0</v>
      </c>
      <c r="AU669" s="477">
        <f t="shared" si="28"/>
        <v>0</v>
      </c>
      <c r="AV669" s="478" t="str">
        <f t="shared" si="27"/>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t="s">
        <v>1782</v>
      </c>
      <c r="H670" s="1098"/>
      <c r="I670" s="1098"/>
      <c r="J670" s="1098"/>
      <c r="K670" s="1098"/>
      <c r="L670" s="1098"/>
      <c r="O670" s="140" t="s">
        <v>220</v>
      </c>
      <c r="P670" s="1099"/>
      <c r="Q670" s="1099"/>
      <c r="R670" s="1099"/>
      <c r="T670" s="35"/>
      <c r="U670" s="12" t="s">
        <v>338</v>
      </c>
      <c r="Z670" s="1098" t="s">
        <v>1782</v>
      </c>
      <c r="AA670" s="1098"/>
      <c r="AB670" s="1098"/>
      <c r="AC670" s="1098"/>
      <c r="AD670" s="1098"/>
      <c r="AE670" s="1098"/>
      <c r="AH670" s="140" t="s">
        <v>220</v>
      </c>
      <c r="AI670" s="1099"/>
      <c r="AJ670" s="1099"/>
      <c r="AK670" s="1099"/>
      <c r="AM670" s="58"/>
      <c r="AN670" s="463" t="str">
        <f t="shared" si="25"/>
        <v>N/A</v>
      </c>
      <c r="AO670" s="58"/>
      <c r="AS670" s="399"/>
      <c r="AT670" s="474">
        <f t="shared" si="26"/>
        <v>12</v>
      </c>
      <c r="AU670" s="477">
        <f t="shared" si="28"/>
        <v>0.17647058823529413</v>
      </c>
      <c r="AV670" s="478">
        <f t="shared" si="27"/>
        <v>0.10588235294117647</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t="s">
        <v>1811</v>
      </c>
      <c r="I671" s="1095"/>
      <c r="J671" s="1095"/>
      <c r="K671" s="1095"/>
      <c r="L671" s="1095"/>
      <c r="M671" s="1095"/>
      <c r="N671" s="1095"/>
      <c r="O671" s="1095"/>
      <c r="P671" s="1095"/>
      <c r="Q671" s="1095"/>
      <c r="R671" s="1095"/>
      <c r="T671" s="35"/>
      <c r="U671" s="12" t="s">
        <v>20</v>
      </c>
      <c r="AA671" s="1095" t="s">
        <v>1811</v>
      </c>
      <c r="AB671" s="1095"/>
      <c r="AC671" s="1095"/>
      <c r="AD671" s="1095"/>
      <c r="AE671" s="1095"/>
      <c r="AF671" s="1095"/>
      <c r="AG671" s="1095"/>
      <c r="AH671" s="1095"/>
      <c r="AI671" s="1095"/>
      <c r="AJ671" s="1095"/>
      <c r="AK671" s="1095"/>
      <c r="AM671" s="58"/>
      <c r="AN671" s="463">
        <f t="shared" si="25"/>
        <v>3914</v>
      </c>
      <c r="AO671" s="58"/>
      <c r="AS671" s="399"/>
      <c r="AT671" s="474">
        <f t="shared" si="26"/>
        <v>0</v>
      </c>
      <c r="AU671" s="477">
        <f t="shared" si="28"/>
        <v>0</v>
      </c>
      <c r="AV671" s="478" t="str">
        <f t="shared" si="27"/>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592</v>
      </c>
      <c r="O672" s="1096"/>
      <c r="T672" s="35"/>
      <c r="U672" s="12" t="s">
        <v>22</v>
      </c>
      <c r="AG672" s="1096" t="s">
        <v>592</v>
      </c>
      <c r="AH672" s="1096"/>
      <c r="AM672" s="58"/>
      <c r="AN672" s="463" t="str">
        <f t="shared" si="25"/>
        <v>N/A</v>
      </c>
      <c r="AO672" s="58"/>
      <c r="AS672" s="399"/>
      <c r="AT672" s="474">
        <f t="shared" si="26"/>
        <v>8</v>
      </c>
      <c r="AU672" s="477">
        <f t="shared" si="28"/>
        <v>0.11764705882352941</v>
      </c>
      <c r="AV672" s="478">
        <f t="shared" si="27"/>
        <v>9.4117647058823528E-2</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5"/>
        <v>N/A</v>
      </c>
      <c r="AO673" s="58"/>
      <c r="AS673" s="399"/>
      <c r="AT673" s="474">
        <f t="shared" si="26"/>
        <v>0</v>
      </c>
      <c r="AU673" s="477">
        <f t="shared" si="28"/>
        <v>0</v>
      </c>
      <c r="AV673" s="478" t="str">
        <f t="shared" si="27"/>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6"/>
        <v>0</v>
      </c>
      <c r="AU674" s="477">
        <f t="shared" si="28"/>
        <v>0</v>
      </c>
      <c r="AV674" s="478" t="str">
        <f t="shared" si="27"/>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68</v>
      </c>
      <c r="AU675" s="480">
        <f>SUM(AU650:AU674)</f>
        <v>1</v>
      </c>
      <c r="AV675" s="480">
        <f>SUM(AV650:AV674)</f>
        <v>0.50441176470588234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6"/>
      <c r="H678" s="1136"/>
      <c r="I678" s="1136"/>
      <c r="J678" s="1136"/>
      <c r="K678" s="1136"/>
      <c r="L678" s="1136"/>
      <c r="O678" s="140" t="s">
        <v>220</v>
      </c>
      <c r="P678" s="1099"/>
      <c r="Q678" s="1099"/>
      <c r="R678" s="1099"/>
      <c r="U678" s="12" t="s">
        <v>338</v>
      </c>
      <c r="Z678" s="1136"/>
      <c r="AA678" s="1136"/>
      <c r="AB678" s="1136"/>
      <c r="AC678" s="1136"/>
      <c r="AD678" s="1136"/>
      <c r="AE678" s="1136"/>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8">
        <v>43997</v>
      </c>
      <c r="AF686" s="1428"/>
      <c r="AG686" s="1428"/>
      <c r="AH686" s="1428"/>
      <c r="AI686" s="14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9">
        <v>44062</v>
      </c>
      <c r="AF687" s="1429"/>
      <c r="AG687" s="1429"/>
      <c r="AH687" s="1429"/>
      <c r="AI687" s="142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8">
        <v>44242</v>
      </c>
      <c r="AF689" s="1428"/>
      <c r="AG689" s="1428"/>
      <c r="AH689" s="1428"/>
      <c r="AI689" s="14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0">
        <v>0.55000000000000004</v>
      </c>
      <c r="AF690" s="1430"/>
      <c r="AG690" s="1430"/>
      <c r="AH690" s="1430"/>
      <c r="AI690" s="143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Agency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6"/>
      <c r="K696" s="1136"/>
      <c r="L696" s="1136"/>
      <c r="M696" s="1136"/>
      <c r="N696" s="1136"/>
      <c r="O696" s="1136"/>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83" t="s">
        <v>170</v>
      </c>
      <c r="C709" s="1184"/>
      <c r="D709" s="1184"/>
      <c r="E709" s="1184"/>
      <c r="F709" s="1185"/>
      <c r="G709" s="1120">
        <v>6</v>
      </c>
      <c r="H709" s="1121"/>
      <c r="I709" s="1121"/>
      <c r="J709" s="1122"/>
      <c r="K709" s="1179">
        <v>839</v>
      </c>
      <c r="L709" s="1180"/>
      <c r="M709" s="1180"/>
      <c r="N709" s="1180"/>
      <c r="O709" s="1181"/>
      <c r="P709" s="1150">
        <f t="shared" ref="P709:P733" si="29">G709*K709</f>
        <v>5034</v>
      </c>
      <c r="Q709" s="1113"/>
      <c r="R709" s="1113"/>
      <c r="S709" s="1113"/>
      <c r="T709" s="1151"/>
      <c r="U709" s="1179">
        <v>68</v>
      </c>
      <c r="V709" s="1180"/>
      <c r="W709" s="1180"/>
      <c r="X709" s="1181"/>
      <c r="Y709" s="1150">
        <f>K709+U709</f>
        <v>907</v>
      </c>
      <c r="Z709" s="1113"/>
      <c r="AA709" s="1113"/>
      <c r="AB709" s="1113"/>
      <c r="AC709" s="1151"/>
      <c r="AD709" s="1110">
        <v>0.3</v>
      </c>
      <c r="AE709" s="1111"/>
      <c r="AF709" s="1111"/>
      <c r="AG709" s="1111"/>
      <c r="AH709" s="1112"/>
      <c r="AI709" s="1124">
        <f t="shared" ref="AI709:AI733" si="30">IF($AD709&gt;0,($Y709/$AN649), " ")</f>
        <v>0.23173224322943281</v>
      </c>
      <c r="AJ709" s="1125"/>
      <c r="AK709" s="112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3" t="s">
        <v>171</v>
      </c>
      <c r="C710" s="1184"/>
      <c r="D710" s="1184"/>
      <c r="E710" s="1184"/>
      <c r="F710" s="1185"/>
      <c r="G710" s="1120">
        <v>2</v>
      </c>
      <c r="H710" s="1121"/>
      <c r="I710" s="1121"/>
      <c r="J710" s="1122"/>
      <c r="K710" s="1179">
        <v>1126</v>
      </c>
      <c r="L710" s="1180"/>
      <c r="M710" s="1180"/>
      <c r="N710" s="1180"/>
      <c r="O710" s="1181"/>
      <c r="P710" s="1150">
        <f t="shared" si="29"/>
        <v>2252</v>
      </c>
      <c r="Q710" s="1113"/>
      <c r="R710" s="1113"/>
      <c r="S710" s="1113"/>
      <c r="T710" s="1151"/>
      <c r="U710" s="1179">
        <v>88</v>
      </c>
      <c r="V710" s="1180"/>
      <c r="W710" s="1180"/>
      <c r="X710" s="1181"/>
      <c r="Y710" s="1150">
        <f t="shared" ref="Y710:Y733" si="31">K710+U710</f>
        <v>1214</v>
      </c>
      <c r="Z710" s="1113"/>
      <c r="AA710" s="1113"/>
      <c r="AB710" s="1113"/>
      <c r="AC710" s="1151"/>
      <c r="AD710" s="1110">
        <v>0.3</v>
      </c>
      <c r="AE710" s="1111"/>
      <c r="AF710" s="1111"/>
      <c r="AG710" s="1111"/>
      <c r="AH710" s="1112"/>
      <c r="AI710" s="1124">
        <f t="shared" si="30"/>
        <v>0.26834659593280286</v>
      </c>
      <c r="AJ710" s="1125"/>
      <c r="AK710" s="112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3" t="s">
        <v>172</v>
      </c>
      <c r="C711" s="1184"/>
      <c r="D711" s="1184"/>
      <c r="E711" s="1184"/>
      <c r="F711" s="1185"/>
      <c r="G711" s="1120">
        <v>2</v>
      </c>
      <c r="H711" s="1121"/>
      <c r="I711" s="1121"/>
      <c r="J711" s="1122"/>
      <c r="K711" s="1179">
        <v>1038</v>
      </c>
      <c r="L711" s="1180"/>
      <c r="M711" s="1180"/>
      <c r="N711" s="1180"/>
      <c r="O711" s="1181"/>
      <c r="P711" s="1150">
        <f t="shared" si="29"/>
        <v>2076</v>
      </c>
      <c r="Q711" s="1113"/>
      <c r="R711" s="1113"/>
      <c r="S711" s="1113"/>
      <c r="T711" s="1151"/>
      <c r="U711" s="1179">
        <v>109</v>
      </c>
      <c r="V711" s="1180"/>
      <c r="W711" s="1180"/>
      <c r="X711" s="1181"/>
      <c r="Y711" s="1150">
        <f t="shared" si="31"/>
        <v>1147</v>
      </c>
      <c r="Z711" s="1113"/>
      <c r="AA711" s="1113"/>
      <c r="AB711" s="1113"/>
      <c r="AC711" s="1151"/>
      <c r="AD711" s="1110">
        <v>0.3</v>
      </c>
      <c r="AE711" s="1111"/>
      <c r="AF711" s="1111"/>
      <c r="AG711" s="1111"/>
      <c r="AH711" s="1112"/>
      <c r="AI711" s="1124">
        <f t="shared" si="30"/>
        <v>0.22730875941339676</v>
      </c>
      <c r="AJ711" s="1125"/>
      <c r="AK711" s="112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3"/>
      <c r="C712" s="1184"/>
      <c r="D712" s="1184"/>
      <c r="E712" s="1184"/>
      <c r="F712" s="1185"/>
      <c r="G712" s="1120"/>
      <c r="H712" s="1121"/>
      <c r="I712" s="1121"/>
      <c r="J712" s="1122"/>
      <c r="K712" s="1178"/>
      <c r="L712" s="1178"/>
      <c r="M712" s="1178"/>
      <c r="N712" s="1178"/>
      <c r="O712" s="1178"/>
      <c r="P712" s="1119">
        <f t="shared" si="29"/>
        <v>0</v>
      </c>
      <c r="Q712" s="1119"/>
      <c r="R712" s="1119"/>
      <c r="S712" s="1119"/>
      <c r="T712" s="1119"/>
      <c r="U712" s="1179"/>
      <c r="V712" s="1180"/>
      <c r="W712" s="1180"/>
      <c r="X712" s="1181"/>
      <c r="Y712" s="1119">
        <f t="shared" si="31"/>
        <v>0</v>
      </c>
      <c r="Z712" s="1119"/>
      <c r="AA712" s="1119"/>
      <c r="AB712" s="1119"/>
      <c r="AC712" s="1119"/>
      <c r="AD712" s="1110"/>
      <c r="AE712" s="1111"/>
      <c r="AF712" s="1111"/>
      <c r="AG712" s="1111"/>
      <c r="AH712" s="1112"/>
      <c r="AI712" s="1124" t="str">
        <f t="shared" si="30"/>
        <v xml:space="preserve"> </v>
      </c>
      <c r="AJ712" s="1125"/>
      <c r="AK712" s="112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3" t="s">
        <v>170</v>
      </c>
      <c r="C713" s="1184"/>
      <c r="D713" s="1184"/>
      <c r="E713" s="1184"/>
      <c r="F713" s="1185"/>
      <c r="G713" s="1120">
        <v>7</v>
      </c>
      <c r="H713" s="1121"/>
      <c r="I713" s="1121"/>
      <c r="J713" s="1122"/>
      <c r="K713" s="1178">
        <v>1279</v>
      </c>
      <c r="L713" s="1178"/>
      <c r="M713" s="1178"/>
      <c r="N713" s="1178"/>
      <c r="O713" s="1178"/>
      <c r="P713" s="1119">
        <f t="shared" si="29"/>
        <v>8953</v>
      </c>
      <c r="Q713" s="1119"/>
      <c r="R713" s="1119"/>
      <c r="S713" s="1119"/>
      <c r="T713" s="1119"/>
      <c r="U713" s="1179">
        <v>68</v>
      </c>
      <c r="V713" s="1180"/>
      <c r="W713" s="1180"/>
      <c r="X713" s="1181"/>
      <c r="Y713" s="1119">
        <f t="shared" si="31"/>
        <v>1347</v>
      </c>
      <c r="Z713" s="1119"/>
      <c r="AA713" s="1119"/>
      <c r="AB713" s="1119"/>
      <c r="AC713" s="1119"/>
      <c r="AD713" s="1110">
        <v>0.4</v>
      </c>
      <c r="AE713" s="1111"/>
      <c r="AF713" s="1111"/>
      <c r="AG713" s="1111"/>
      <c r="AH713" s="1112"/>
      <c r="AI713" s="1124">
        <f t="shared" si="30"/>
        <v>0.34414920797138476</v>
      </c>
      <c r="AJ713" s="1125"/>
      <c r="AK713" s="112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3" t="s">
        <v>171</v>
      </c>
      <c r="C714" s="1184"/>
      <c r="D714" s="1184"/>
      <c r="E714" s="1184"/>
      <c r="F714" s="1185"/>
      <c r="G714" s="1120">
        <v>2</v>
      </c>
      <c r="H714" s="1121"/>
      <c r="I714" s="1121"/>
      <c r="J714" s="1122"/>
      <c r="K714" s="1178">
        <v>1392</v>
      </c>
      <c r="L714" s="1178"/>
      <c r="M714" s="1178"/>
      <c r="N714" s="1178"/>
      <c r="O714" s="1178"/>
      <c r="P714" s="1119">
        <f t="shared" si="29"/>
        <v>2784</v>
      </c>
      <c r="Q714" s="1119"/>
      <c r="R714" s="1119"/>
      <c r="S714" s="1119"/>
      <c r="T714" s="1119"/>
      <c r="U714" s="1179">
        <v>88</v>
      </c>
      <c r="V714" s="1180"/>
      <c r="W714" s="1180"/>
      <c r="X714" s="1181"/>
      <c r="Y714" s="1119">
        <f t="shared" si="31"/>
        <v>1480</v>
      </c>
      <c r="Z714" s="1119"/>
      <c r="AA714" s="1119"/>
      <c r="AB714" s="1119"/>
      <c r="AC714" s="1119"/>
      <c r="AD714" s="1110">
        <v>0.4</v>
      </c>
      <c r="AE714" s="1111"/>
      <c r="AF714" s="1111"/>
      <c r="AG714" s="1111"/>
      <c r="AH714" s="1112"/>
      <c r="AI714" s="1124">
        <f t="shared" si="30"/>
        <v>0.3271441202475685</v>
      </c>
      <c r="AJ714" s="1125"/>
      <c r="AK714" s="112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3" t="s">
        <v>171</v>
      </c>
      <c r="C715" s="1184"/>
      <c r="D715" s="1184"/>
      <c r="E715" s="1184"/>
      <c r="F715" s="1185"/>
      <c r="G715" s="1120">
        <v>6</v>
      </c>
      <c r="H715" s="1121"/>
      <c r="I715" s="1121"/>
      <c r="J715" s="1122"/>
      <c r="K715" s="1178">
        <v>1426</v>
      </c>
      <c r="L715" s="1178"/>
      <c r="M715" s="1178"/>
      <c r="N715" s="1178"/>
      <c r="O715" s="1178"/>
      <c r="P715" s="1119">
        <f t="shared" si="29"/>
        <v>8556</v>
      </c>
      <c r="Q715" s="1119"/>
      <c r="R715" s="1119"/>
      <c r="S715" s="1119"/>
      <c r="T715" s="1119"/>
      <c r="U715" s="1179">
        <v>88</v>
      </c>
      <c r="V715" s="1180"/>
      <c r="W715" s="1180"/>
      <c r="X715" s="1181"/>
      <c r="Y715" s="1119">
        <f t="shared" si="31"/>
        <v>1514</v>
      </c>
      <c r="Z715" s="1119"/>
      <c r="AA715" s="1119"/>
      <c r="AB715" s="1119"/>
      <c r="AC715" s="1119"/>
      <c r="AD715" s="1110">
        <v>0.4</v>
      </c>
      <c r="AE715" s="1111"/>
      <c r="AF715" s="1111"/>
      <c r="AG715" s="1111"/>
      <c r="AH715" s="1112"/>
      <c r="AI715" s="1124">
        <f t="shared" si="30"/>
        <v>0.33465959328028294</v>
      </c>
      <c r="AJ715" s="1125"/>
      <c r="AK715" s="112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3" t="s">
        <v>172</v>
      </c>
      <c r="C716" s="1184"/>
      <c r="D716" s="1184"/>
      <c r="E716" s="1184"/>
      <c r="F716" s="1185"/>
      <c r="G716" s="1120">
        <v>1</v>
      </c>
      <c r="H716" s="1121"/>
      <c r="I716" s="1121"/>
      <c r="J716" s="1122"/>
      <c r="K716" s="1178">
        <v>1649</v>
      </c>
      <c r="L716" s="1178"/>
      <c r="M716" s="1178"/>
      <c r="N716" s="1178"/>
      <c r="O716" s="1178"/>
      <c r="P716" s="1119">
        <f t="shared" si="29"/>
        <v>1649</v>
      </c>
      <c r="Q716" s="1119"/>
      <c r="R716" s="1119"/>
      <c r="S716" s="1119"/>
      <c r="T716" s="1119"/>
      <c r="U716" s="1179">
        <v>109</v>
      </c>
      <c r="V716" s="1180"/>
      <c r="W716" s="1180"/>
      <c r="X716" s="1181"/>
      <c r="Y716" s="1119">
        <f t="shared" si="31"/>
        <v>1758</v>
      </c>
      <c r="Z716" s="1119"/>
      <c r="AA716" s="1119"/>
      <c r="AB716" s="1119"/>
      <c r="AC716" s="1119"/>
      <c r="AD716" s="1110">
        <v>0.4</v>
      </c>
      <c r="AE716" s="1111"/>
      <c r="AF716" s="1111"/>
      <c r="AG716" s="1111"/>
      <c r="AH716" s="1112"/>
      <c r="AI716" s="1124">
        <f t="shared" si="30"/>
        <v>0.34839476813317477</v>
      </c>
      <c r="AJ716" s="1125"/>
      <c r="AK716" s="112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3"/>
      <c r="C717" s="1184"/>
      <c r="D717" s="1184"/>
      <c r="E717" s="1184"/>
      <c r="F717" s="1185"/>
      <c r="G717" s="1120"/>
      <c r="H717" s="1121"/>
      <c r="I717" s="1121"/>
      <c r="J717" s="1122"/>
      <c r="K717" s="1178"/>
      <c r="L717" s="1178"/>
      <c r="M717" s="1178"/>
      <c r="N717" s="1178"/>
      <c r="O717" s="1178"/>
      <c r="P717" s="1119">
        <f t="shared" si="29"/>
        <v>0</v>
      </c>
      <c r="Q717" s="1119"/>
      <c r="R717" s="1119"/>
      <c r="S717" s="1119"/>
      <c r="T717" s="1119"/>
      <c r="U717" s="1179"/>
      <c r="V717" s="1180"/>
      <c r="W717" s="1180"/>
      <c r="X717" s="1181"/>
      <c r="Y717" s="1119">
        <f t="shared" si="31"/>
        <v>0</v>
      </c>
      <c r="Z717" s="1119"/>
      <c r="AA717" s="1119"/>
      <c r="AB717" s="1119"/>
      <c r="AC717" s="1119"/>
      <c r="AD717" s="1110"/>
      <c r="AE717" s="1111"/>
      <c r="AF717" s="1111"/>
      <c r="AG717" s="1111"/>
      <c r="AH717" s="1112"/>
      <c r="AI717" s="1124" t="str">
        <f t="shared" si="30"/>
        <v xml:space="preserve"> </v>
      </c>
      <c r="AJ717" s="1125"/>
      <c r="AK717" s="112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3" t="s">
        <v>170</v>
      </c>
      <c r="C718" s="1184"/>
      <c r="D718" s="1184"/>
      <c r="E718" s="1184"/>
      <c r="F718" s="1185"/>
      <c r="G718" s="1120">
        <v>3</v>
      </c>
      <c r="H718" s="1121"/>
      <c r="I718" s="1121"/>
      <c r="J718" s="1122"/>
      <c r="K718" s="1262">
        <v>1417</v>
      </c>
      <c r="L718" s="1262"/>
      <c r="M718" s="1262"/>
      <c r="N718" s="1262"/>
      <c r="O718" s="1262"/>
      <c r="P718" s="1123">
        <f t="shared" si="29"/>
        <v>4251</v>
      </c>
      <c r="Q718" s="1123"/>
      <c r="R718" s="1123"/>
      <c r="S718" s="1123"/>
      <c r="T718" s="1123"/>
      <c r="U718" s="1179">
        <v>68</v>
      </c>
      <c r="V718" s="1180"/>
      <c r="W718" s="1180"/>
      <c r="X718" s="1181"/>
      <c r="Y718" s="1123">
        <f t="shared" si="31"/>
        <v>1485</v>
      </c>
      <c r="Z718" s="1123"/>
      <c r="AA718" s="1123"/>
      <c r="AB718" s="1123"/>
      <c r="AC718" s="1123"/>
      <c r="AD718" s="1110">
        <v>0.5</v>
      </c>
      <c r="AE718" s="1111"/>
      <c r="AF718" s="1111"/>
      <c r="AG718" s="1111"/>
      <c r="AH718" s="1112"/>
      <c r="AI718" s="1124">
        <f t="shared" si="30"/>
        <v>0.37940725600408787</v>
      </c>
      <c r="AJ718" s="1125"/>
      <c r="AK718" s="112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3" t="s">
        <v>171</v>
      </c>
      <c r="C719" s="1184"/>
      <c r="D719" s="1184"/>
      <c r="E719" s="1184"/>
      <c r="F719" s="1185"/>
      <c r="G719" s="1120">
        <v>1</v>
      </c>
      <c r="H719" s="1121"/>
      <c r="I719" s="1121"/>
      <c r="J719" s="1122"/>
      <c r="K719" s="1178">
        <v>1392</v>
      </c>
      <c r="L719" s="1178"/>
      <c r="M719" s="1178"/>
      <c r="N719" s="1178"/>
      <c r="O719" s="1178"/>
      <c r="P719" s="1119">
        <f t="shared" si="29"/>
        <v>1392</v>
      </c>
      <c r="Q719" s="1119"/>
      <c r="R719" s="1119"/>
      <c r="S719" s="1119"/>
      <c r="T719" s="1119"/>
      <c r="U719" s="1179">
        <v>109</v>
      </c>
      <c r="V719" s="1180"/>
      <c r="W719" s="1180"/>
      <c r="X719" s="1181"/>
      <c r="Y719" s="1119">
        <f t="shared" si="31"/>
        <v>1501</v>
      </c>
      <c r="Z719" s="1119"/>
      <c r="AA719" s="1119"/>
      <c r="AB719" s="1119"/>
      <c r="AC719" s="1119"/>
      <c r="AD719" s="1110">
        <v>0.5</v>
      </c>
      <c r="AE719" s="1111"/>
      <c r="AF719" s="1111"/>
      <c r="AG719" s="1111"/>
      <c r="AH719" s="1112"/>
      <c r="AI719" s="1124">
        <f t="shared" si="30"/>
        <v>0.33178603006189211</v>
      </c>
      <c r="AJ719" s="1125"/>
      <c r="AK719" s="112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3"/>
      <c r="C720" s="1184"/>
      <c r="D720" s="1184"/>
      <c r="E720" s="1184"/>
      <c r="F720" s="1185"/>
      <c r="G720" s="1120"/>
      <c r="H720" s="1121"/>
      <c r="I720" s="1121"/>
      <c r="J720" s="1122"/>
      <c r="K720" s="1178"/>
      <c r="L720" s="1178"/>
      <c r="M720" s="1178"/>
      <c r="N720" s="1178"/>
      <c r="O720" s="1178"/>
      <c r="P720" s="1119">
        <f t="shared" si="29"/>
        <v>0</v>
      </c>
      <c r="Q720" s="1119"/>
      <c r="R720" s="1119"/>
      <c r="S720" s="1119"/>
      <c r="T720" s="1119"/>
      <c r="U720" s="1179"/>
      <c r="V720" s="1180"/>
      <c r="W720" s="1180"/>
      <c r="X720" s="1181"/>
      <c r="Y720" s="1119">
        <f t="shared" si="31"/>
        <v>0</v>
      </c>
      <c r="Z720" s="1119"/>
      <c r="AA720" s="1119"/>
      <c r="AB720" s="1119"/>
      <c r="AC720" s="1119"/>
      <c r="AD720" s="1110"/>
      <c r="AE720" s="1111"/>
      <c r="AF720" s="1111"/>
      <c r="AG720" s="1111"/>
      <c r="AH720" s="1112"/>
      <c r="AI720" s="1124" t="str">
        <f t="shared" si="30"/>
        <v xml:space="preserve"> </v>
      </c>
      <c r="AJ720" s="1125"/>
      <c r="AK720" s="112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3"/>
      <c r="C721" s="1184"/>
      <c r="D721" s="1184"/>
      <c r="E721" s="1184"/>
      <c r="F721" s="1185"/>
      <c r="G721" s="1120"/>
      <c r="H721" s="1121"/>
      <c r="I721" s="1121"/>
      <c r="J721" s="1122"/>
      <c r="K721" s="1178"/>
      <c r="L721" s="1178"/>
      <c r="M721" s="1178"/>
      <c r="N721" s="1178"/>
      <c r="O721" s="1178"/>
      <c r="P721" s="1119">
        <f t="shared" si="29"/>
        <v>0</v>
      </c>
      <c r="Q721" s="1119"/>
      <c r="R721" s="1119"/>
      <c r="S721" s="1119"/>
      <c r="T721" s="1119"/>
      <c r="U721" s="1179">
        <v>0</v>
      </c>
      <c r="V721" s="1180"/>
      <c r="W721" s="1180"/>
      <c r="X721" s="1181"/>
      <c r="Y721" s="1119">
        <f t="shared" si="31"/>
        <v>0</v>
      </c>
      <c r="Z721" s="1119"/>
      <c r="AA721" s="1119"/>
      <c r="AB721" s="1119"/>
      <c r="AC721" s="1119"/>
      <c r="AD721" s="1110">
        <v>0</v>
      </c>
      <c r="AE721" s="1111"/>
      <c r="AF721" s="1111"/>
      <c r="AG721" s="1111"/>
      <c r="AH721" s="1112"/>
      <c r="AI721" s="1124" t="str">
        <f t="shared" si="30"/>
        <v xml:space="preserve"> </v>
      </c>
      <c r="AJ721" s="1125"/>
      <c r="AK721" s="112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3" t="s">
        <v>170</v>
      </c>
      <c r="C722" s="1184"/>
      <c r="D722" s="1184"/>
      <c r="E722" s="1184"/>
      <c r="F722" s="1185"/>
      <c r="G722" s="1120">
        <v>1</v>
      </c>
      <c r="H722" s="1121"/>
      <c r="I722" s="1121"/>
      <c r="J722" s="1122"/>
      <c r="K722" s="1178">
        <v>1972</v>
      </c>
      <c r="L722" s="1178"/>
      <c r="M722" s="1178"/>
      <c r="N722" s="1178"/>
      <c r="O722" s="1178"/>
      <c r="P722" s="1119">
        <f t="shared" si="29"/>
        <v>1972</v>
      </c>
      <c r="Q722" s="1119"/>
      <c r="R722" s="1119"/>
      <c r="S722" s="1119"/>
      <c r="T722" s="1119"/>
      <c r="U722" s="1179">
        <v>68</v>
      </c>
      <c r="V722" s="1180"/>
      <c r="W722" s="1180"/>
      <c r="X722" s="1181"/>
      <c r="Y722" s="1119">
        <f t="shared" si="31"/>
        <v>2040</v>
      </c>
      <c r="Z722" s="1119"/>
      <c r="AA722" s="1119"/>
      <c r="AB722" s="1119"/>
      <c r="AC722" s="1119"/>
      <c r="AD722" s="1110">
        <v>0.6</v>
      </c>
      <c r="AE722" s="1111"/>
      <c r="AF722" s="1111"/>
      <c r="AG722" s="1111"/>
      <c r="AH722" s="1112"/>
      <c r="AI722" s="1124">
        <f t="shared" si="30"/>
        <v>0.52120592743995908</v>
      </c>
      <c r="AJ722" s="1125"/>
      <c r="AK722" s="112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3" t="s">
        <v>171</v>
      </c>
      <c r="C723" s="1184"/>
      <c r="D723" s="1184"/>
      <c r="E723" s="1184"/>
      <c r="F723" s="1185"/>
      <c r="G723" s="1120">
        <v>1</v>
      </c>
      <c r="H723" s="1121"/>
      <c r="I723" s="1121"/>
      <c r="J723" s="1122"/>
      <c r="K723" s="1178">
        <v>2142</v>
      </c>
      <c r="L723" s="1178"/>
      <c r="M723" s="1178"/>
      <c r="N723" s="1178"/>
      <c r="O723" s="1178"/>
      <c r="P723" s="1119">
        <f t="shared" si="29"/>
        <v>2142</v>
      </c>
      <c r="Q723" s="1119"/>
      <c r="R723" s="1119"/>
      <c r="S723" s="1119"/>
      <c r="T723" s="1119"/>
      <c r="U723" s="1179">
        <v>88</v>
      </c>
      <c r="V723" s="1180"/>
      <c r="W723" s="1180"/>
      <c r="X723" s="1181"/>
      <c r="Y723" s="1119">
        <f t="shared" si="31"/>
        <v>2230</v>
      </c>
      <c r="Z723" s="1119"/>
      <c r="AA723" s="1119"/>
      <c r="AB723" s="1119"/>
      <c r="AC723" s="1119"/>
      <c r="AD723" s="1110">
        <v>0.6</v>
      </c>
      <c r="AE723" s="1111"/>
      <c r="AF723" s="1111"/>
      <c r="AG723" s="1111"/>
      <c r="AH723" s="1112"/>
      <c r="AI723" s="1124">
        <f t="shared" si="30"/>
        <v>0.49292661361626877</v>
      </c>
      <c r="AJ723" s="1125"/>
      <c r="AK723" s="112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3" t="s">
        <v>172</v>
      </c>
      <c r="C724" s="1184"/>
      <c r="D724" s="1184"/>
      <c r="E724" s="1184"/>
      <c r="F724" s="1185"/>
      <c r="G724" s="1120">
        <v>1</v>
      </c>
      <c r="H724" s="1121"/>
      <c r="I724" s="1121"/>
      <c r="J724" s="1122"/>
      <c r="K724" s="1178">
        <v>2620</v>
      </c>
      <c r="L724" s="1178"/>
      <c r="M724" s="1178"/>
      <c r="N724" s="1178"/>
      <c r="O724" s="1178"/>
      <c r="P724" s="1119">
        <f t="shared" si="29"/>
        <v>2620</v>
      </c>
      <c r="Q724" s="1119"/>
      <c r="R724" s="1119"/>
      <c r="S724" s="1119"/>
      <c r="T724" s="1119"/>
      <c r="U724" s="1179">
        <v>109</v>
      </c>
      <c r="V724" s="1180"/>
      <c r="W724" s="1180"/>
      <c r="X724" s="1181"/>
      <c r="Y724" s="1119">
        <f>K724+U724</f>
        <v>2729</v>
      </c>
      <c r="Z724" s="1119"/>
      <c r="AA724" s="1119"/>
      <c r="AB724" s="1119"/>
      <c r="AC724" s="1119"/>
      <c r="AD724" s="1110">
        <v>0.6</v>
      </c>
      <c r="AE724" s="1111"/>
      <c r="AF724" s="1111"/>
      <c r="AG724" s="1111"/>
      <c r="AH724" s="1112"/>
      <c r="AI724" s="1124">
        <f t="shared" si="30"/>
        <v>0.54082441537851766</v>
      </c>
      <c r="AJ724" s="1125"/>
      <c r="AK724" s="112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3"/>
      <c r="C725" s="1184"/>
      <c r="D725" s="1184"/>
      <c r="E725" s="1184"/>
      <c r="F725" s="1185"/>
      <c r="G725" s="1120"/>
      <c r="H725" s="1121"/>
      <c r="I725" s="1121"/>
      <c r="J725" s="1122"/>
      <c r="K725" s="1178"/>
      <c r="L725" s="1178"/>
      <c r="M725" s="1178"/>
      <c r="N725" s="1178"/>
      <c r="O725" s="1178"/>
      <c r="P725" s="1119">
        <f t="shared" si="29"/>
        <v>0</v>
      </c>
      <c r="Q725" s="1119"/>
      <c r="R725" s="1119"/>
      <c r="S725" s="1119"/>
      <c r="T725" s="1119"/>
      <c r="U725" s="1179"/>
      <c r="V725" s="1180"/>
      <c r="W725" s="1180"/>
      <c r="X725" s="1181"/>
      <c r="Y725" s="1119">
        <f>K725+U725</f>
        <v>0</v>
      </c>
      <c r="Z725" s="1119"/>
      <c r="AA725" s="1119"/>
      <c r="AB725" s="1119"/>
      <c r="AC725" s="1119"/>
      <c r="AD725" s="1110"/>
      <c r="AE725" s="1111"/>
      <c r="AF725" s="1111"/>
      <c r="AG725" s="1111"/>
      <c r="AH725" s="1112"/>
      <c r="AI725" s="1124" t="str">
        <f t="shared" si="30"/>
        <v xml:space="preserve"> </v>
      </c>
      <c r="AJ725" s="1125"/>
      <c r="AK725" s="112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3"/>
      <c r="C726" s="1184"/>
      <c r="D726" s="1184"/>
      <c r="E726" s="1184"/>
      <c r="F726" s="1185"/>
      <c r="G726" s="1120"/>
      <c r="H726" s="1121"/>
      <c r="I726" s="1121"/>
      <c r="J726" s="1122"/>
      <c r="K726" s="1178"/>
      <c r="L726" s="1178"/>
      <c r="M726" s="1178"/>
      <c r="N726" s="1178"/>
      <c r="O726" s="1178"/>
      <c r="P726" s="1119">
        <f t="shared" si="29"/>
        <v>0</v>
      </c>
      <c r="Q726" s="1119"/>
      <c r="R726" s="1119"/>
      <c r="S726" s="1119"/>
      <c r="T726" s="1119"/>
      <c r="U726" s="1179">
        <v>0</v>
      </c>
      <c r="V726" s="1180"/>
      <c r="W726" s="1180"/>
      <c r="X726" s="1181"/>
      <c r="Y726" s="1119">
        <f>K726+U726</f>
        <v>0</v>
      </c>
      <c r="Z726" s="1119"/>
      <c r="AA726" s="1119"/>
      <c r="AB726" s="1119"/>
      <c r="AC726" s="1119"/>
      <c r="AD726" s="1110">
        <v>0</v>
      </c>
      <c r="AE726" s="1111"/>
      <c r="AF726" s="1111"/>
      <c r="AG726" s="1111"/>
      <c r="AH726" s="1112"/>
      <c r="AI726" s="1124" t="str">
        <f t="shared" si="30"/>
        <v xml:space="preserve"> </v>
      </c>
      <c r="AJ726" s="1125"/>
      <c r="AK726" s="112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3" t="s">
        <v>170</v>
      </c>
      <c r="C727" s="1184"/>
      <c r="D727" s="1184"/>
      <c r="E727" s="1184"/>
      <c r="F727" s="1185"/>
      <c r="G727" s="1120">
        <v>15</v>
      </c>
      <c r="H727" s="1121"/>
      <c r="I727" s="1121"/>
      <c r="J727" s="1122"/>
      <c r="K727" s="1178">
        <v>1406</v>
      </c>
      <c r="L727" s="1178"/>
      <c r="M727" s="1178"/>
      <c r="N727" s="1178"/>
      <c r="O727" s="1178"/>
      <c r="P727" s="1119">
        <f t="shared" si="29"/>
        <v>21090</v>
      </c>
      <c r="Q727" s="1119"/>
      <c r="R727" s="1119"/>
      <c r="S727" s="1119"/>
      <c r="T727" s="1119"/>
      <c r="U727" s="1179">
        <v>63</v>
      </c>
      <c r="V727" s="1180"/>
      <c r="W727" s="1180"/>
      <c r="X727" s="1181"/>
      <c r="Y727" s="1119">
        <f>K727+U727</f>
        <v>1469</v>
      </c>
      <c r="Z727" s="1119"/>
      <c r="AA727" s="1119"/>
      <c r="AB727" s="1119"/>
      <c r="AC727" s="1119"/>
      <c r="AD727" s="1110">
        <v>0.5</v>
      </c>
      <c r="AE727" s="1111"/>
      <c r="AF727" s="1111"/>
      <c r="AG727" s="1111"/>
      <c r="AH727" s="1112"/>
      <c r="AI727" s="1124">
        <f t="shared" si="30"/>
        <v>0.37531936637710783</v>
      </c>
      <c r="AJ727" s="1125"/>
      <c r="AK727" s="112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3"/>
      <c r="C728" s="1184"/>
      <c r="D728" s="1184"/>
      <c r="E728" s="1184"/>
      <c r="F728" s="1185"/>
      <c r="G728" s="1120"/>
      <c r="H728" s="1121"/>
      <c r="I728" s="1121"/>
      <c r="J728" s="1122"/>
      <c r="K728" s="1178"/>
      <c r="L728" s="1178"/>
      <c r="M728" s="1178"/>
      <c r="N728" s="1178"/>
      <c r="O728" s="1178"/>
      <c r="P728" s="1119">
        <f t="shared" si="29"/>
        <v>0</v>
      </c>
      <c r="Q728" s="1119"/>
      <c r="R728" s="1119"/>
      <c r="S728" s="1119"/>
      <c r="T728" s="1119"/>
      <c r="U728" s="1179">
        <v>0</v>
      </c>
      <c r="V728" s="1180"/>
      <c r="W728" s="1180"/>
      <c r="X728" s="1181"/>
      <c r="Y728" s="1119">
        <f>K728+U728</f>
        <v>0</v>
      </c>
      <c r="Z728" s="1119"/>
      <c r="AA728" s="1119"/>
      <c r="AB728" s="1119"/>
      <c r="AC728" s="1119"/>
      <c r="AD728" s="1110">
        <v>0</v>
      </c>
      <c r="AE728" s="1111"/>
      <c r="AF728" s="1111"/>
      <c r="AG728" s="1111"/>
      <c r="AH728" s="1112"/>
      <c r="AI728" s="1124" t="str">
        <f t="shared" si="30"/>
        <v xml:space="preserve"> </v>
      </c>
      <c r="AJ728" s="1125"/>
      <c r="AK728" s="112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3" t="s">
        <v>170</v>
      </c>
      <c r="C729" s="1184"/>
      <c r="D729" s="1184"/>
      <c r="E729" s="1184"/>
      <c r="F729" s="1185"/>
      <c r="G729" s="1120">
        <v>12</v>
      </c>
      <c r="H729" s="1121"/>
      <c r="I729" s="1121"/>
      <c r="J729" s="1122"/>
      <c r="K729" s="1178">
        <v>1588</v>
      </c>
      <c r="L729" s="1178"/>
      <c r="M729" s="1178"/>
      <c r="N729" s="1178"/>
      <c r="O729" s="1178"/>
      <c r="P729" s="1119">
        <f t="shared" si="29"/>
        <v>19056</v>
      </c>
      <c r="Q729" s="1119"/>
      <c r="R729" s="1119"/>
      <c r="S729" s="1119"/>
      <c r="T729" s="1119"/>
      <c r="U729" s="1179">
        <v>63</v>
      </c>
      <c r="V729" s="1180"/>
      <c r="W729" s="1180"/>
      <c r="X729" s="1181"/>
      <c r="Y729" s="1119">
        <f t="shared" si="31"/>
        <v>1651</v>
      </c>
      <c r="Z729" s="1119"/>
      <c r="AA729" s="1119"/>
      <c r="AB729" s="1119"/>
      <c r="AC729" s="1119"/>
      <c r="AD729" s="1110">
        <v>0.6</v>
      </c>
      <c r="AE729" s="1111"/>
      <c r="AF729" s="1111"/>
      <c r="AG729" s="1111"/>
      <c r="AH729" s="1112"/>
      <c r="AI729" s="1124">
        <f t="shared" si="30"/>
        <v>0.42181911088400614</v>
      </c>
      <c r="AJ729" s="1125"/>
      <c r="AK729" s="112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83"/>
      <c r="C730" s="1184"/>
      <c r="D730" s="1184"/>
      <c r="E730" s="1184"/>
      <c r="F730" s="1185"/>
      <c r="G730" s="1120"/>
      <c r="H730" s="1121"/>
      <c r="I730" s="1121"/>
      <c r="J730" s="1122"/>
      <c r="K730" s="1178"/>
      <c r="L730" s="1178"/>
      <c r="M730" s="1178"/>
      <c r="N730" s="1178"/>
      <c r="O730" s="1178"/>
      <c r="P730" s="1119">
        <f t="shared" si="29"/>
        <v>0</v>
      </c>
      <c r="Q730" s="1119"/>
      <c r="R730" s="1119"/>
      <c r="S730" s="1119"/>
      <c r="T730" s="1119"/>
      <c r="U730" s="1179"/>
      <c r="V730" s="1180"/>
      <c r="W730" s="1180"/>
      <c r="X730" s="1181"/>
      <c r="Y730" s="1119">
        <f t="shared" si="31"/>
        <v>0</v>
      </c>
      <c r="Z730" s="1119"/>
      <c r="AA730" s="1119"/>
      <c r="AB730" s="1119"/>
      <c r="AC730" s="1119"/>
      <c r="AD730" s="1110">
        <v>0</v>
      </c>
      <c r="AE730" s="1111"/>
      <c r="AF730" s="1111"/>
      <c r="AG730" s="1111"/>
      <c r="AH730" s="1112"/>
      <c r="AI730" s="1124" t="str">
        <f t="shared" si="30"/>
        <v xml:space="preserve"> </v>
      </c>
      <c r="AJ730" s="1125"/>
      <c r="AK730" s="112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3" t="s">
        <v>170</v>
      </c>
      <c r="C731" s="1184"/>
      <c r="D731" s="1184"/>
      <c r="E731" s="1184"/>
      <c r="F731" s="1185"/>
      <c r="G731" s="1120">
        <v>8</v>
      </c>
      <c r="H731" s="1121"/>
      <c r="I731" s="1121"/>
      <c r="J731" s="1122"/>
      <c r="K731" s="1178">
        <v>1694</v>
      </c>
      <c r="L731" s="1178"/>
      <c r="M731" s="1178"/>
      <c r="N731" s="1178"/>
      <c r="O731" s="1178"/>
      <c r="P731" s="1119">
        <f t="shared" si="29"/>
        <v>13552</v>
      </c>
      <c r="Q731" s="1119"/>
      <c r="R731" s="1119"/>
      <c r="S731" s="1119"/>
      <c r="T731" s="1119"/>
      <c r="U731" s="1179">
        <v>63</v>
      </c>
      <c r="V731" s="1180"/>
      <c r="W731" s="1180"/>
      <c r="X731" s="1181"/>
      <c r="Y731" s="1119">
        <f t="shared" si="31"/>
        <v>1757</v>
      </c>
      <c r="Z731" s="1119"/>
      <c r="AA731" s="1119"/>
      <c r="AB731" s="1119"/>
      <c r="AC731" s="1119"/>
      <c r="AD731" s="1110">
        <v>0.8</v>
      </c>
      <c r="AE731" s="1111"/>
      <c r="AF731" s="1111"/>
      <c r="AG731" s="1111"/>
      <c r="AH731" s="1112"/>
      <c r="AI731" s="1124">
        <f t="shared" si="30"/>
        <v>0.44890137966274912</v>
      </c>
      <c r="AJ731" s="1125"/>
      <c r="AK731" s="112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3"/>
      <c r="C732" s="1184"/>
      <c r="D732" s="1184"/>
      <c r="E732" s="1184"/>
      <c r="F732" s="1185"/>
      <c r="G732" s="1120"/>
      <c r="H732" s="1121"/>
      <c r="I732" s="1121"/>
      <c r="J732" s="1122"/>
      <c r="K732" s="1178"/>
      <c r="L732" s="1178"/>
      <c r="M732" s="1178"/>
      <c r="N732" s="1178"/>
      <c r="O732" s="1178"/>
      <c r="P732" s="1119">
        <f t="shared" si="29"/>
        <v>0</v>
      </c>
      <c r="Q732" s="1119"/>
      <c r="R732" s="1119"/>
      <c r="S732" s="1119"/>
      <c r="T732" s="1119"/>
      <c r="U732" s="1179"/>
      <c r="V732" s="1180"/>
      <c r="W732" s="1180"/>
      <c r="X732" s="1181"/>
      <c r="Y732" s="1119">
        <f t="shared" si="31"/>
        <v>0</v>
      </c>
      <c r="Z732" s="1119"/>
      <c r="AA732" s="1119"/>
      <c r="AB732" s="1119"/>
      <c r="AC732" s="1119"/>
      <c r="AD732" s="1110">
        <v>0</v>
      </c>
      <c r="AE732" s="1111"/>
      <c r="AF732" s="1111"/>
      <c r="AG732" s="1111"/>
      <c r="AH732" s="1112"/>
      <c r="AI732" s="1124" t="str">
        <f t="shared" si="30"/>
        <v xml:space="preserve"> </v>
      </c>
      <c r="AJ732" s="1125"/>
      <c r="AK732" s="112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3"/>
      <c r="C733" s="1184"/>
      <c r="D733" s="1184"/>
      <c r="E733" s="1184"/>
      <c r="F733" s="1185"/>
      <c r="G733" s="1120"/>
      <c r="H733" s="1121"/>
      <c r="I733" s="1121"/>
      <c r="J733" s="1122"/>
      <c r="K733" s="1178"/>
      <c r="L733" s="1178"/>
      <c r="M733" s="1178"/>
      <c r="N733" s="1178"/>
      <c r="O733" s="1178"/>
      <c r="P733" s="1119">
        <f t="shared" si="29"/>
        <v>0</v>
      </c>
      <c r="Q733" s="1119"/>
      <c r="R733" s="1119"/>
      <c r="S733" s="1119"/>
      <c r="T733" s="1119"/>
      <c r="U733" s="1241">
        <v>0</v>
      </c>
      <c r="V733" s="1242"/>
      <c r="W733" s="1242"/>
      <c r="X733" s="1243"/>
      <c r="Y733" s="1119">
        <f t="shared" si="31"/>
        <v>0</v>
      </c>
      <c r="Z733" s="1119"/>
      <c r="AA733" s="1119"/>
      <c r="AB733" s="1119"/>
      <c r="AC733" s="1119"/>
      <c r="AD733" s="1110">
        <v>0</v>
      </c>
      <c r="AE733" s="1111"/>
      <c r="AF733" s="1111"/>
      <c r="AG733" s="1111"/>
      <c r="AH733" s="1112"/>
      <c r="AI733" s="1533" t="str">
        <f t="shared" si="30"/>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1" t="s">
        <v>132</v>
      </c>
      <c r="C734" s="1162"/>
      <c r="D734" s="1162"/>
      <c r="E734" s="1162"/>
      <c r="F734" s="1163"/>
      <c r="G734" s="1230">
        <f>SUM(G709:J733)</f>
        <v>68</v>
      </c>
      <c r="H734" s="1231"/>
      <c r="I734" s="1231"/>
      <c r="J734" s="1232"/>
      <c r="K734" s="1161" t="s">
        <v>131</v>
      </c>
      <c r="L734" s="1162"/>
      <c r="M734" s="1162"/>
      <c r="N734" s="1162"/>
      <c r="O734" s="1163"/>
      <c r="P734" s="1150">
        <f>SUM(P709:T733)</f>
        <v>97379</v>
      </c>
      <c r="Q734" s="1113"/>
      <c r="R734" s="1113"/>
      <c r="S734" s="1113"/>
      <c r="T734" s="1151"/>
      <c r="Y734" s="1238" t="s">
        <v>999</v>
      </c>
      <c r="Z734" s="1239"/>
      <c r="AA734" s="1239"/>
      <c r="AB734" s="1239"/>
      <c r="AC734" s="1240"/>
      <c r="AD734" s="1570">
        <f>AV675</f>
        <v>0.50441176470588234</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592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3" t="s">
        <v>170</v>
      </c>
      <c r="K754" s="1184"/>
      <c r="L754" s="1184"/>
      <c r="M754" s="1184"/>
      <c r="N754" s="1185"/>
      <c r="O754" s="1228">
        <v>1</v>
      </c>
      <c r="P754" s="1228"/>
      <c r="Q754" s="1228"/>
      <c r="R754" s="1228"/>
      <c r="S754" s="1228"/>
      <c r="T754" s="1182"/>
      <c r="U754" s="1182"/>
      <c r="V754" s="1182"/>
      <c r="W754" s="1182"/>
      <c r="X754" s="1182"/>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3" t="s">
        <v>171</v>
      </c>
      <c r="K755" s="1184"/>
      <c r="L755" s="1184"/>
      <c r="M755" s="1184"/>
      <c r="N755" s="1185"/>
      <c r="O755" s="1228">
        <v>1</v>
      </c>
      <c r="P755" s="1228"/>
      <c r="Q755" s="1228"/>
      <c r="R755" s="1228"/>
      <c r="S755" s="1228"/>
      <c r="T755" s="1182"/>
      <c r="U755" s="1182"/>
      <c r="V755" s="1182"/>
      <c r="W755" s="1182"/>
      <c r="X755" s="1182"/>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4"/>
      <c r="K756" s="1165"/>
      <c r="L756" s="1165"/>
      <c r="M756" s="1165"/>
      <c r="N756" s="1166"/>
      <c r="O756" s="1167"/>
      <c r="P756" s="1167"/>
      <c r="Q756" s="1167"/>
      <c r="R756" s="1167"/>
      <c r="S756" s="1167"/>
      <c r="T756" s="1182"/>
      <c r="U756" s="1182"/>
      <c r="V756" s="1182"/>
      <c r="W756" s="1182"/>
      <c r="X756" s="1182"/>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4"/>
      <c r="K757" s="1165"/>
      <c r="L757" s="1165"/>
      <c r="M757" s="1165"/>
      <c r="N757" s="1166"/>
      <c r="O757" s="1167"/>
      <c r="P757" s="1167"/>
      <c r="Q757" s="1167"/>
      <c r="R757" s="1167"/>
      <c r="S757" s="1167"/>
      <c r="T757" s="1182"/>
      <c r="U757" s="1182"/>
      <c r="V757" s="1182"/>
      <c r="W757" s="1182"/>
      <c r="X757" s="1182"/>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1" t="s">
        <v>132</v>
      </c>
      <c r="K758" s="1162"/>
      <c r="L758" s="1162"/>
      <c r="M758" s="1162"/>
      <c r="N758" s="1163"/>
      <c r="O758" s="1422">
        <f>SUM(O754:S757)</f>
        <v>2</v>
      </c>
      <c r="P758" s="1423"/>
      <c r="Q758" s="1423"/>
      <c r="R758" s="1423"/>
      <c r="S758" s="1424"/>
      <c r="T758" s="1416" t="s">
        <v>131</v>
      </c>
      <c r="U758" s="1417"/>
      <c r="V758" s="1417"/>
      <c r="W758" s="1417"/>
      <c r="X758" s="1418"/>
      <c r="Y758" s="1150">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723</v>
      </c>
      <c r="K760" s="142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4"/>
      <c r="K768" s="1165"/>
      <c r="L768" s="1165"/>
      <c r="M768" s="1165"/>
      <c r="N768" s="1166"/>
      <c r="O768" s="1167"/>
      <c r="P768" s="1167"/>
      <c r="Q768" s="1167"/>
      <c r="R768" s="1167"/>
      <c r="S768" s="1167"/>
      <c r="T768" s="1182"/>
      <c r="U768" s="1182"/>
      <c r="V768" s="1182"/>
      <c r="W768" s="1182"/>
      <c r="X768" s="1182"/>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4"/>
      <c r="K769" s="1165"/>
      <c r="L769" s="1165"/>
      <c r="M769" s="1165"/>
      <c r="N769" s="1166"/>
      <c r="O769" s="1167"/>
      <c r="P769" s="1167"/>
      <c r="Q769" s="1167"/>
      <c r="R769" s="1167"/>
      <c r="S769" s="1167"/>
      <c r="T769" s="1182"/>
      <c r="U769" s="1182"/>
      <c r="V769" s="1182"/>
      <c r="W769" s="1182"/>
      <c r="X769" s="1182"/>
      <c r="Y769" s="1119">
        <f t="shared" ref="Y769:Y777" si="32">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4"/>
      <c r="K770" s="1165"/>
      <c r="L770" s="1165"/>
      <c r="M770" s="1165"/>
      <c r="N770" s="1166"/>
      <c r="O770" s="1167"/>
      <c r="P770" s="1167"/>
      <c r="Q770" s="1167"/>
      <c r="R770" s="1167"/>
      <c r="S770" s="1167"/>
      <c r="T770" s="1182"/>
      <c r="U770" s="1182"/>
      <c r="V770" s="1182"/>
      <c r="W770" s="1182"/>
      <c r="X770" s="1182"/>
      <c r="Y770" s="1119">
        <f t="shared" si="32"/>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4"/>
      <c r="K771" s="1165"/>
      <c r="L771" s="1165"/>
      <c r="M771" s="1165"/>
      <c r="N771" s="1166"/>
      <c r="O771" s="1167"/>
      <c r="P771" s="1167"/>
      <c r="Q771" s="1167"/>
      <c r="R771" s="1167"/>
      <c r="S771" s="1167"/>
      <c r="T771" s="1182"/>
      <c r="U771" s="1182"/>
      <c r="V771" s="1182"/>
      <c r="W771" s="1182"/>
      <c r="X771" s="1182"/>
      <c r="Y771" s="1119">
        <f t="shared" si="32"/>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4"/>
      <c r="K772" s="1165"/>
      <c r="L772" s="1165"/>
      <c r="M772" s="1165"/>
      <c r="N772" s="1166"/>
      <c r="O772" s="1167"/>
      <c r="P772" s="1167"/>
      <c r="Q772" s="1167"/>
      <c r="R772" s="1167"/>
      <c r="S772" s="1167"/>
      <c r="T772" s="1182"/>
      <c r="U772" s="1182"/>
      <c r="V772" s="1182"/>
      <c r="W772" s="1182"/>
      <c r="X772" s="1182"/>
      <c r="Y772" s="1119">
        <f t="shared" si="32"/>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4"/>
      <c r="K773" s="1165"/>
      <c r="L773" s="1165"/>
      <c r="M773" s="1165"/>
      <c r="N773" s="1166"/>
      <c r="O773" s="1167"/>
      <c r="P773" s="1167"/>
      <c r="Q773" s="1167"/>
      <c r="R773" s="1167"/>
      <c r="S773" s="1167"/>
      <c r="T773" s="1182"/>
      <c r="U773" s="1182"/>
      <c r="V773" s="1182"/>
      <c r="W773" s="1182"/>
      <c r="X773" s="1182"/>
      <c r="Y773" s="1119">
        <f t="shared" si="32"/>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4"/>
      <c r="K774" s="1165"/>
      <c r="L774" s="1165"/>
      <c r="M774" s="1165"/>
      <c r="N774" s="1166"/>
      <c r="O774" s="1167"/>
      <c r="P774" s="1167"/>
      <c r="Q774" s="1167"/>
      <c r="R774" s="1167"/>
      <c r="S774" s="1167"/>
      <c r="T774" s="1182"/>
      <c r="U774" s="1182"/>
      <c r="V774" s="1182"/>
      <c r="W774" s="1182"/>
      <c r="X774" s="1182"/>
      <c r="Y774" s="1119">
        <f t="shared" si="32"/>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4"/>
      <c r="K775" s="1165"/>
      <c r="L775" s="1165"/>
      <c r="M775" s="1165"/>
      <c r="N775" s="1166"/>
      <c r="O775" s="1167"/>
      <c r="P775" s="1167"/>
      <c r="Q775" s="1167"/>
      <c r="R775" s="1167"/>
      <c r="S775" s="1167"/>
      <c r="T775" s="1182"/>
      <c r="U775" s="1182"/>
      <c r="V775" s="1182"/>
      <c r="W775" s="1182"/>
      <c r="X775" s="1182"/>
      <c r="Y775" s="1119">
        <f t="shared" si="32"/>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4"/>
      <c r="K776" s="1165"/>
      <c r="L776" s="1165"/>
      <c r="M776" s="1165"/>
      <c r="N776" s="1166"/>
      <c r="O776" s="1167"/>
      <c r="P776" s="1167"/>
      <c r="Q776" s="1167"/>
      <c r="R776" s="1167"/>
      <c r="S776" s="1167"/>
      <c r="T776" s="1182"/>
      <c r="U776" s="1182"/>
      <c r="V776" s="1182"/>
      <c r="W776" s="1182"/>
      <c r="X776" s="1182"/>
      <c r="Y776" s="1119">
        <f t="shared" si="32"/>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4"/>
      <c r="K777" s="1165"/>
      <c r="L777" s="1165"/>
      <c r="M777" s="1165"/>
      <c r="N777" s="1166"/>
      <c r="O777" s="1167"/>
      <c r="P777" s="1167"/>
      <c r="Q777" s="1167"/>
      <c r="R777" s="1167"/>
      <c r="S777" s="1167"/>
      <c r="T777" s="1182"/>
      <c r="U777" s="1182"/>
      <c r="V777" s="1182"/>
      <c r="W777" s="1182"/>
      <c r="X777" s="1182"/>
      <c r="Y777" s="1119">
        <f t="shared" si="32"/>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1" t="s">
        <v>132</v>
      </c>
      <c r="K778" s="1162"/>
      <c r="L778" s="1162"/>
      <c r="M778" s="1162"/>
      <c r="N778" s="1163"/>
      <c r="O778" s="1415">
        <f>SUM(O768:S777)</f>
        <v>0</v>
      </c>
      <c r="P778" s="1415"/>
      <c r="Q778" s="1415"/>
      <c r="R778" s="1415"/>
      <c r="S778" s="1415"/>
      <c r="T778" s="1416" t="s">
        <v>131</v>
      </c>
      <c r="U778" s="1417"/>
      <c r="V778" s="1417"/>
      <c r="W778" s="1417"/>
      <c r="X778" s="1418"/>
      <c r="Y778" s="1150">
        <f>SUM(Y768:AC777)</f>
        <v>0</v>
      </c>
      <c r="Z778" s="1113"/>
      <c r="AA778" s="1113"/>
      <c r="AB778" s="1113"/>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San Mateo</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97379</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1168548</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7"/>
      <c r="AA786" s="1138"/>
      <c r="AB786" s="1138"/>
      <c r="AC786" s="1138"/>
      <c r="AD786" s="1138"/>
      <c r="AE786" s="113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0"/>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212"/>
      <c r="AB788" s="1212"/>
      <c r="AC788" s="1212"/>
      <c r="AD788" s="1212"/>
      <c r="AE788" s="127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0</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25200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7" t="s">
        <v>357</v>
      </c>
      <c r="Q796" s="1148"/>
      <c r="R796" s="1148"/>
      <c r="S796" s="1148"/>
      <c r="T796" s="1148"/>
      <c r="U796" s="1148"/>
      <c r="V796" s="1148"/>
      <c r="W796" s="1148"/>
      <c r="X796" s="1148"/>
      <c r="Y796" s="1149"/>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25200</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7">
        <f>Z797+Y781+Z789</f>
        <v>1193748</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5" t="s">
        <v>309</v>
      </c>
      <c r="R803" s="1145"/>
      <c r="S803" s="1145"/>
      <c r="T803" s="1145"/>
      <c r="U803" s="1145" t="s">
        <v>310</v>
      </c>
      <c r="V803" s="1145"/>
      <c r="W803" s="1145"/>
      <c r="X803" s="1145"/>
      <c r="Y803" s="1145" t="s">
        <v>311</v>
      </c>
      <c r="Z803" s="1145"/>
      <c r="AA803" s="1145"/>
      <c r="AB803" s="1145"/>
      <c r="AC803" s="1145" t="s">
        <v>385</v>
      </c>
      <c r="AD803" s="1145"/>
      <c r="AE803" s="1145"/>
      <c r="AF803" s="1145"/>
      <c r="AG803" s="1383" t="s">
        <v>358</v>
      </c>
      <c r="AH803" s="1383"/>
      <c r="AI803" s="1383"/>
      <c r="AJ803" s="138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5"/>
      <c r="R804" s="1145"/>
      <c r="S804" s="1145"/>
      <c r="T804" s="1145"/>
      <c r="U804" s="1145"/>
      <c r="V804" s="1145"/>
      <c r="W804" s="1145"/>
      <c r="X804" s="1145"/>
      <c r="Y804" s="1145"/>
      <c r="Z804" s="1145"/>
      <c r="AA804" s="1145"/>
      <c r="AB804" s="1145"/>
      <c r="AC804" s="1145"/>
      <c r="AD804" s="1145"/>
      <c r="AE804" s="1145"/>
      <c r="AF804" s="1145"/>
      <c r="AG804" s="1383"/>
      <c r="AH804" s="1383"/>
      <c r="AI804" s="1383"/>
      <c r="AJ804" s="138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1" t="s">
        <v>45</v>
      </c>
      <c r="D805" s="1302"/>
      <c r="E805" s="1302"/>
      <c r="F805" s="1302"/>
      <c r="G805" s="1302"/>
      <c r="H805" s="1302"/>
      <c r="I805" s="80"/>
      <c r="J805" s="80"/>
      <c r="K805" s="80"/>
      <c r="L805" s="81"/>
      <c r="M805" s="1155"/>
      <c r="N805" s="1155"/>
      <c r="O805" s="1155"/>
      <c r="P805" s="1155"/>
      <c r="Q805" s="1155"/>
      <c r="R805" s="1155"/>
      <c r="S805" s="1155"/>
      <c r="T805" s="1155"/>
      <c r="U805" s="1155">
        <v>20</v>
      </c>
      <c r="V805" s="1155"/>
      <c r="W805" s="1155"/>
      <c r="X805" s="1155"/>
      <c r="Y805" s="1155">
        <v>22</v>
      </c>
      <c r="Z805" s="1155"/>
      <c r="AA805" s="1155"/>
      <c r="AB805" s="1155"/>
      <c r="AC805" s="1190">
        <v>24</v>
      </c>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6" t="s">
        <v>46</v>
      </c>
      <c r="D806" s="1157"/>
      <c r="E806" s="1157"/>
      <c r="F806" s="1157"/>
      <c r="G806" s="1157"/>
      <c r="H806" s="1157"/>
      <c r="I806" s="77"/>
      <c r="J806" s="77"/>
      <c r="K806" s="77"/>
      <c r="L806" s="78"/>
      <c r="M806" s="1155"/>
      <c r="N806" s="1155"/>
      <c r="O806" s="1155"/>
      <c r="P806" s="1155"/>
      <c r="Q806" s="1155"/>
      <c r="R806" s="1155"/>
      <c r="S806" s="1155"/>
      <c r="T806" s="1155"/>
      <c r="U806" s="1155">
        <v>11</v>
      </c>
      <c r="V806" s="1155"/>
      <c r="W806" s="1155"/>
      <c r="X806" s="1155"/>
      <c r="Y806" s="1155">
        <v>15</v>
      </c>
      <c r="Z806" s="1155"/>
      <c r="AA806" s="1155"/>
      <c r="AB806" s="1155"/>
      <c r="AC806" s="1190">
        <v>18</v>
      </c>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6" t="s">
        <v>47</v>
      </c>
      <c r="D807" s="1157"/>
      <c r="E807" s="1157"/>
      <c r="F807" s="1157"/>
      <c r="G807" s="1157"/>
      <c r="H807" s="1157"/>
      <c r="I807" s="96"/>
      <c r="J807" s="96"/>
      <c r="K807" s="96"/>
      <c r="L807" s="97"/>
      <c r="M807" s="1155"/>
      <c r="N807" s="1155"/>
      <c r="O807" s="1155"/>
      <c r="P807" s="1155"/>
      <c r="Q807" s="1155"/>
      <c r="R807" s="1155"/>
      <c r="S807" s="1155"/>
      <c r="T807" s="1155"/>
      <c r="U807" s="1155">
        <v>5</v>
      </c>
      <c r="V807" s="1155"/>
      <c r="W807" s="1155"/>
      <c r="X807" s="1155"/>
      <c r="Y807" s="1155">
        <v>6</v>
      </c>
      <c r="Z807" s="1155"/>
      <c r="AA807" s="1155"/>
      <c r="AB807" s="1155"/>
      <c r="AC807" s="1190">
        <v>9</v>
      </c>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6" t="s">
        <v>841</v>
      </c>
      <c r="D808" s="1157"/>
      <c r="E808" s="1157"/>
      <c r="F808" s="1157"/>
      <c r="G808" s="1157"/>
      <c r="H808" s="1157"/>
      <c r="I808" s="96"/>
      <c r="J808" s="96"/>
      <c r="K808" s="96"/>
      <c r="L808" s="97"/>
      <c r="M808" s="1155"/>
      <c r="N808" s="1155"/>
      <c r="O808" s="1155"/>
      <c r="P808" s="1155"/>
      <c r="Q808" s="1155"/>
      <c r="R808" s="1155"/>
      <c r="S808" s="1155"/>
      <c r="T808" s="1155"/>
      <c r="U808" s="1155">
        <v>32</v>
      </c>
      <c r="V808" s="1155"/>
      <c r="W808" s="1155"/>
      <c r="X808" s="1155"/>
      <c r="Y808" s="1155">
        <v>45</v>
      </c>
      <c r="Z808" s="1155"/>
      <c r="AA808" s="1155"/>
      <c r="AB808" s="1155"/>
      <c r="AC808" s="1190">
        <v>58</v>
      </c>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6" t="s">
        <v>506</v>
      </c>
      <c r="D809" s="1157"/>
      <c r="E809" s="1157"/>
      <c r="F809" s="1157"/>
      <c r="G809" s="1157"/>
      <c r="H809" s="1157"/>
      <c r="I809" s="96"/>
      <c r="J809" s="96"/>
      <c r="K809" s="96"/>
      <c r="L809" s="97"/>
      <c r="M809" s="1155"/>
      <c r="N809" s="1155"/>
      <c r="O809" s="1155"/>
      <c r="P809" s="1155"/>
      <c r="Q809" s="1155"/>
      <c r="R809" s="1155"/>
      <c r="S809" s="1155"/>
      <c r="T809" s="1155"/>
      <c r="U809" s="1155"/>
      <c r="V809" s="1155"/>
      <c r="W809" s="1155"/>
      <c r="X809" s="1155"/>
      <c r="Y809" s="1155"/>
      <c r="Z809" s="1155"/>
      <c r="AA809" s="1155"/>
      <c r="AB809" s="1155"/>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57"/>
      <c r="E810" s="1157"/>
      <c r="F810" s="1157"/>
      <c r="G810" s="1157"/>
      <c r="H810" s="1157"/>
      <c r="I810" s="96"/>
      <c r="J810" s="96"/>
      <c r="K810" s="96"/>
      <c r="L810" s="97"/>
      <c r="M810" s="1155"/>
      <c r="N810" s="1155"/>
      <c r="O810" s="1155"/>
      <c r="P810" s="1155"/>
      <c r="Q810" s="1155"/>
      <c r="R810" s="1155"/>
      <c r="S810" s="1155"/>
      <c r="T810" s="1155"/>
      <c r="U810" s="1155"/>
      <c r="V810" s="1155"/>
      <c r="W810" s="1155"/>
      <c r="X810" s="1155"/>
      <c r="Y810" s="1155"/>
      <c r="Z810" s="1155"/>
      <c r="AA810" s="1155"/>
      <c r="AB810" s="1155"/>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8" t="s">
        <v>357</v>
      </c>
      <c r="G811" s="1159"/>
      <c r="H811" s="1159"/>
      <c r="I811" s="1159"/>
      <c r="J811" s="1159"/>
      <c r="K811" s="1159"/>
      <c r="L811" s="1160"/>
      <c r="M811" s="1155"/>
      <c r="N811" s="1155"/>
      <c r="O811" s="1155"/>
      <c r="P811" s="1155"/>
      <c r="Q811" s="1155"/>
      <c r="R811" s="1155"/>
      <c r="S811" s="1155"/>
      <c r="T811" s="1155"/>
      <c r="U811" s="1155"/>
      <c r="V811" s="1155"/>
      <c r="W811" s="1155"/>
      <c r="X811" s="1155"/>
      <c r="Y811" s="1155"/>
      <c r="Z811" s="1155"/>
      <c r="AA811" s="1155"/>
      <c r="AB811" s="1155"/>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1" t="s">
        <v>131</v>
      </c>
      <c r="D812" s="1162"/>
      <c r="E812" s="1162"/>
      <c r="F812" s="1162"/>
      <c r="G812" s="1162"/>
      <c r="H812" s="1162"/>
      <c r="I812" s="1162"/>
      <c r="J812" s="1162"/>
      <c r="K812" s="1162"/>
      <c r="L812" s="1163"/>
      <c r="M812" s="1193">
        <f>SUM(M805:P811)</f>
        <v>0</v>
      </c>
      <c r="N812" s="1193"/>
      <c r="O812" s="1193"/>
      <c r="P812" s="1193"/>
      <c r="Q812" s="1193">
        <f>SUM(Q805:T811)</f>
        <v>0</v>
      </c>
      <c r="R812" s="1193"/>
      <c r="S812" s="1193"/>
      <c r="T812" s="1193"/>
      <c r="U812" s="1193">
        <f>SUM(U805:X811)</f>
        <v>68</v>
      </c>
      <c r="V812" s="1193"/>
      <c r="W812" s="1193"/>
      <c r="X812" s="1193"/>
      <c r="Y812" s="1193">
        <f>SUM(Y805:AB811)</f>
        <v>88</v>
      </c>
      <c r="Z812" s="1193"/>
      <c r="AA812" s="1193"/>
      <c r="AB812" s="1193"/>
      <c r="AC812" s="1193">
        <f>SUM(AC805:AF811)</f>
        <v>109</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1786</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v>6173</v>
      </c>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7">
        <v>1500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12150</v>
      </c>
      <c r="X824" s="1227"/>
      <c r="Y824" s="1227"/>
      <c r="Z824" s="1227"/>
      <c r="AA824" s="1227"/>
      <c r="AB824" s="1227"/>
      <c r="AC824" s="1227"/>
      <c r="AD824" s="12"/>
      <c r="AE824" s="12"/>
      <c r="AF824" s="12"/>
      <c r="AG824" s="12"/>
      <c r="AH824" s="12"/>
      <c r="AI824" s="12"/>
      <c r="AJ824" s="12"/>
      <c r="AK824" s="12"/>
      <c r="AL824" s="12"/>
      <c r="AS824" s="21"/>
      <c r="AT824" s="56"/>
      <c r="AV824" s="1144">
        <f>ROUNDDOWN(AP908*2,2)</f>
        <v>0</v>
      </c>
      <c r="AW824" s="1144"/>
      <c r="AX824" s="1144"/>
      <c r="AY824" s="114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v>2800</v>
      </c>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8" t="s">
        <v>1787</v>
      </c>
      <c r="N826" s="1329"/>
      <c r="O826" s="1329"/>
      <c r="P826" s="1329"/>
      <c r="Q826" s="1329"/>
      <c r="R826" s="1329"/>
      <c r="S826" s="1329"/>
      <c r="T826" s="1329"/>
      <c r="U826" s="1329"/>
      <c r="V826" s="1330"/>
      <c r="W826" s="1227">
        <v>13146</v>
      </c>
      <c r="X826" s="1227"/>
      <c r="Y826" s="1227"/>
      <c r="Z826" s="1227"/>
      <c r="AA826" s="1227"/>
      <c r="AB826" s="1227"/>
      <c r="AC826" s="122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7">
        <f>SUM(W822:AC826)</f>
        <v>35769</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1" t="s">
        <v>369</v>
      </c>
      <c r="K829" s="1162"/>
      <c r="L829" s="1162"/>
      <c r="M829" s="1162"/>
      <c r="N829" s="1162"/>
      <c r="O829" s="1162"/>
      <c r="P829" s="1162"/>
      <c r="Q829" s="1162"/>
      <c r="R829" s="1162"/>
      <c r="S829" s="1162"/>
      <c r="T829" s="1162"/>
      <c r="U829" s="1162"/>
      <c r="V829" s="1163"/>
      <c r="W829" s="1137">
        <v>61740</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7"/>
      <c r="X831" s="1387"/>
      <c r="Y831" s="1387"/>
      <c r="Z831" s="1387"/>
      <c r="AA831" s="1387"/>
      <c r="AB831" s="1387"/>
      <c r="AC831" s="1387"/>
      <c r="AD831" s="12"/>
      <c r="AE831" s="12"/>
      <c r="AF831" s="12"/>
      <c r="AG831" s="12"/>
      <c r="AH831" s="12"/>
      <c r="AI831" s="12"/>
      <c r="AJ831" s="12"/>
      <c r="AK831" s="12"/>
      <c r="AL831" s="12"/>
      <c r="AM831" s="130"/>
      <c r="AN831" s="130"/>
      <c r="AO831" s="21"/>
      <c r="AP831" s="21"/>
      <c r="AQ831" s="21"/>
      <c r="AR831" s="21"/>
      <c r="AS831" s="21"/>
      <c r="AT831" s="1143"/>
      <c r="AU831" s="1143"/>
      <c r="AV831" s="1143"/>
      <c r="AW831" s="1143"/>
      <c r="AX831" s="1143"/>
      <c r="AY831" s="114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7"/>
      <c r="X832" s="1387"/>
      <c r="Y832" s="1387"/>
      <c r="Z832" s="1387"/>
      <c r="AA832" s="1387"/>
      <c r="AB832" s="1387"/>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7">
        <v>13116</v>
      </c>
      <c r="X833" s="1387"/>
      <c r="Y833" s="1387"/>
      <c r="Z833" s="1387"/>
      <c r="AA833" s="1387"/>
      <c r="AB833" s="1387"/>
      <c r="AC833" s="138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7">
        <v>107016</v>
      </c>
      <c r="X834" s="1387"/>
      <c r="Y834" s="1387"/>
      <c r="Z834" s="1387"/>
      <c r="AA834" s="1387"/>
      <c r="AB834" s="1387"/>
      <c r="AC834" s="1387"/>
      <c r="AD834" s="12"/>
      <c r="AE834" s="12"/>
      <c r="AF834" s="12"/>
      <c r="AG834" s="12"/>
      <c r="AH834" s="12"/>
      <c r="AI834" s="12"/>
      <c r="AJ834" s="12"/>
      <c r="AK834" s="12"/>
      <c r="AL834" s="12"/>
      <c r="AM834" s="1414">
        <f>SUM(AM801:AM829)</f>
        <v>0</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2">
        <f>SUM(W831:AC834)</f>
        <v>120132</v>
      </c>
      <c r="X835" s="1412"/>
      <c r="Y835" s="1412"/>
      <c r="Z835" s="1412"/>
      <c r="AA835" s="1412"/>
      <c r="AB835" s="1412"/>
      <c r="AC835" s="141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8">
        <v>75514</v>
      </c>
      <c r="X837" s="1389"/>
      <c r="Y837" s="1389"/>
      <c r="Z837" s="1389"/>
      <c r="AA837" s="1389"/>
      <c r="AB837" s="1389"/>
      <c r="AC837" s="139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8">
        <v>52127</v>
      </c>
      <c r="X838" s="1389"/>
      <c r="Y838" s="1389"/>
      <c r="Z838" s="1389"/>
      <c r="AA838" s="1389"/>
      <c r="AB838" s="1389"/>
      <c r="AC838" s="139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8" t="s">
        <v>1788</v>
      </c>
      <c r="N839" s="1329"/>
      <c r="O839" s="1329"/>
      <c r="P839" s="1329"/>
      <c r="Q839" s="1329"/>
      <c r="R839" s="1329"/>
      <c r="S839" s="1329"/>
      <c r="T839" s="1329"/>
      <c r="U839" s="1329"/>
      <c r="V839" s="1330"/>
      <c r="W839" s="1388">
        <v>39017</v>
      </c>
      <c r="X839" s="1389"/>
      <c r="Y839" s="1389"/>
      <c r="Z839" s="1389"/>
      <c r="AA839" s="1389"/>
      <c r="AB839" s="1389"/>
      <c r="AC839" s="139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6">
        <f>SUM(W837:AC839)</f>
        <v>166658</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8">
        <v>24299</v>
      </c>
      <c r="X841" s="1389"/>
      <c r="Y841" s="1389"/>
      <c r="Z841" s="1389"/>
      <c r="AA841" s="1389"/>
      <c r="AB841" s="1389"/>
      <c r="AC841" s="139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7">
        <v>630</v>
      </c>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7">
        <v>9331</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7">
        <v>36228</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7">
        <v>2364</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7">
        <v>350</v>
      </c>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7"/>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8" t="s">
        <v>1789</v>
      </c>
      <c r="N849" s="1329"/>
      <c r="O849" s="1329"/>
      <c r="P849" s="1329"/>
      <c r="Q849" s="1329"/>
      <c r="R849" s="1329"/>
      <c r="S849" s="1329"/>
      <c r="T849" s="1329"/>
      <c r="U849" s="1329"/>
      <c r="V849" s="1330"/>
      <c r="W849" s="1227">
        <v>23364</v>
      </c>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72267</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28" t="s">
        <v>1790</v>
      </c>
      <c r="N852" s="1329"/>
      <c r="O852" s="1329"/>
      <c r="P852" s="1329"/>
      <c r="Q852" s="1329"/>
      <c r="R852" s="1329"/>
      <c r="S852" s="1329"/>
      <c r="T852" s="1329"/>
      <c r="U852" s="1329"/>
      <c r="V852" s="1330"/>
      <c r="W852" s="1137">
        <v>15564</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28" t="s">
        <v>162</v>
      </c>
      <c r="N853" s="1329"/>
      <c r="O853" s="1329"/>
      <c r="P853" s="1329"/>
      <c r="Q853" s="1329"/>
      <c r="R853" s="1329"/>
      <c r="S853" s="1329"/>
      <c r="T853" s="1329"/>
      <c r="U853" s="1329"/>
      <c r="V853" s="1330"/>
      <c r="W853" s="1137">
        <v>41928</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8" t="s">
        <v>357</v>
      </c>
      <c r="N854" s="1159"/>
      <c r="O854" s="1159"/>
      <c r="P854" s="1159"/>
      <c r="Q854" s="1159"/>
      <c r="R854" s="1159"/>
      <c r="S854" s="1159"/>
      <c r="T854" s="1159"/>
      <c r="U854" s="1159"/>
      <c r="V854" s="1160"/>
      <c r="W854" s="1137"/>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8" t="s">
        <v>357</v>
      </c>
      <c r="N855" s="1159"/>
      <c r="O855" s="1159"/>
      <c r="P855" s="1159"/>
      <c r="Q855" s="1159"/>
      <c r="R855" s="1159"/>
      <c r="S855" s="1159"/>
      <c r="T855" s="1159"/>
      <c r="U855" s="1159"/>
      <c r="V855" s="1160"/>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8" t="s">
        <v>357</v>
      </c>
      <c r="N856" s="1159"/>
      <c r="O856" s="1159"/>
      <c r="P856" s="1159"/>
      <c r="Q856" s="1159"/>
      <c r="R856" s="1159"/>
      <c r="S856" s="1159"/>
      <c r="T856" s="1159"/>
      <c r="U856" s="1159"/>
      <c r="V856" s="1160"/>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7">
        <f>SUM(W852:AC856)</f>
        <v>57492</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7">
        <f>W827+W835+W840+W841+W850+W857+W829</f>
        <v>538357</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7">
        <f>O778+O758+G734</f>
        <v>70</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60">
        <f>IF(ISERROR((ROUNDDOWN(AC861/AC862,0))),0,(ROUNDDOWN(AC861/AC862,0)))</f>
        <v>7690</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f>'Sources and Uses Budget'!C72</f>
        <v>268024</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7"/>
      <c r="AD865" s="1138"/>
      <c r="AE865" s="1138"/>
      <c r="AF865" s="1138"/>
      <c r="AG865" s="1138"/>
      <c r="AH865" s="11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7">
        <v>76000</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35000</v>
      </c>
      <c r="AD867" s="1227"/>
      <c r="AE867" s="1227"/>
      <c r="AF867" s="1227"/>
      <c r="AG867" s="1227"/>
      <c r="AH867" s="122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v>9792</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1818</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27">
        <f>4000</f>
        <v>4000</v>
      </c>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1066</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27"/>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7">
        <f>Z874-(Z875+Z876)</f>
        <v>0</v>
      </c>
      <c r="AA877" s="1208"/>
      <c r="AB877" s="1208"/>
      <c r="AC877" s="1208"/>
      <c r="AD877" s="1208"/>
      <c r="AE877" s="1209"/>
      <c r="AM877" s="61"/>
      <c r="AO877" s="52" t="s">
        <v>180</v>
      </c>
      <c r="AP877" s="177">
        <v>20</v>
      </c>
      <c r="AQ877" s="1134">
        <f>IF(AD955&gt;0,0.2,0)</f>
        <v>0.2</v>
      </c>
      <c r="AR877" s="113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5">
        <f>IF(AD965&gt;0,0.07,0)</f>
        <v>0</v>
      </c>
      <c r="AR879" s="113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5">
        <f>IF(AD969&gt;0,0.02,0)</f>
        <v>0</v>
      </c>
      <c r="AR880" s="113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5">
        <f>IF(AD971&gt;0,0.02,0)</f>
        <v>0</v>
      </c>
      <c r="AR881" s="113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4">
        <f>AN891</f>
        <v>0</v>
      </c>
      <c r="AR882" s="113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6"/>
      <c r="AR883" s="1146"/>
      <c r="AS883" s="114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323</v>
      </c>
      <c r="AP885" s="177">
        <v>10</v>
      </c>
      <c r="AQ885" s="1135">
        <f>IF(AD988&gt;0,0.1,0)</f>
        <v>0</v>
      </c>
      <c r="AR885" s="113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34">
        <f>SUM(AQ877:AQ885)</f>
        <v>0.2</v>
      </c>
      <c r="AR886" s="113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4">
        <f>SUM(AQ877:AR881)+AQ885</f>
        <v>0.2</v>
      </c>
      <c r="AR888" s="113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874</v>
      </c>
      <c r="G890" s="1400"/>
      <c r="H890" s="1400"/>
      <c r="I890" s="1400"/>
      <c r="J890" s="1400"/>
      <c r="K890" s="1400"/>
      <c r="L890" s="1400"/>
      <c r="M890" s="1400"/>
      <c r="N890" s="1400"/>
      <c r="O890" s="1400"/>
      <c r="P890" s="1400"/>
      <c r="Q890" s="1400"/>
      <c r="R890" s="1400"/>
      <c r="S890" s="1400"/>
      <c r="T890" s="1401"/>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903</v>
      </c>
      <c r="G891" s="1339"/>
      <c r="H891" s="1339"/>
      <c r="I891" s="1339"/>
      <c r="J891" s="1339"/>
      <c r="K891" s="1339"/>
      <c r="L891" s="1339"/>
      <c r="M891" s="1339"/>
      <c r="N891" s="1339"/>
      <c r="O891" s="1339"/>
      <c r="P891" s="1339"/>
      <c r="Q891" s="1339"/>
      <c r="R891" s="1339"/>
      <c r="S891" s="1339"/>
      <c r="T891" s="1555"/>
      <c r="U891" s="1338"/>
      <c r="V891" s="1339"/>
      <c r="W891" s="1339"/>
      <c r="X891" s="1339"/>
      <c r="Y891" s="1339"/>
      <c r="Z891" s="133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56"/>
      <c r="U892" s="1340"/>
      <c r="V892" s="1341"/>
      <c r="W892" s="1341"/>
      <c r="X892" s="1341"/>
      <c r="Y892" s="1341"/>
      <c r="Z892" s="1341"/>
      <c r="AA892" s="168"/>
      <c r="AB892" s="1210" t="s">
        <v>424</v>
      </c>
      <c r="AC892" s="1210"/>
      <c r="AD892" s="1210"/>
      <c r="AE892" s="121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3" t="s">
        <v>592</v>
      </c>
      <c r="V893" s="1224"/>
      <c r="W893" s="1224"/>
      <c r="X893" s="1224"/>
      <c r="Y893" s="1224"/>
      <c r="Z893" s="1225"/>
      <c r="AA893" s="1186">
        <f>AE545</f>
        <v>32423966</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3" t="s">
        <v>642</v>
      </c>
      <c r="V894" s="1224"/>
      <c r="W894" s="1224"/>
      <c r="X894" s="1224"/>
      <c r="Y894" s="1224"/>
      <c r="Z894" s="1225"/>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3" t="s">
        <v>592</v>
      </c>
      <c r="V895" s="1224"/>
      <c r="W895" s="1224"/>
      <c r="X895" s="1224"/>
      <c r="Y895" s="1224"/>
      <c r="Z895" s="1225"/>
      <c r="AA895" s="1186">
        <v>1649982</v>
      </c>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3" t="s">
        <v>592</v>
      </c>
      <c r="V896" s="1224"/>
      <c r="W896" s="1224"/>
      <c r="X896" s="1224"/>
      <c r="Y896" s="1224"/>
      <c r="Z896" s="1225"/>
      <c r="AA896" s="1186">
        <v>1500000</v>
      </c>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3" t="s">
        <v>642</v>
      </c>
      <c r="V897" s="1224"/>
      <c r="W897" s="1224"/>
      <c r="X897" s="1224"/>
      <c r="Y897" s="1224"/>
      <c r="Z897" s="1225"/>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3" t="s">
        <v>642</v>
      </c>
      <c r="V898" s="1224"/>
      <c r="W898" s="1224"/>
      <c r="X898" s="1224"/>
      <c r="Y898" s="1224"/>
      <c r="Z898" s="1225"/>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3" t="s">
        <v>642</v>
      </c>
      <c r="V899" s="1224"/>
      <c r="W899" s="1224"/>
      <c r="X899" s="1224"/>
      <c r="Y899" s="1224"/>
      <c r="Z899" s="1225"/>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3" t="s">
        <v>642</v>
      </c>
      <c r="V900" s="1224"/>
      <c r="W900" s="1224"/>
      <c r="X900" s="1224"/>
      <c r="Y900" s="1224"/>
      <c r="Z900" s="1225"/>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3" t="s">
        <v>642</v>
      </c>
      <c r="V901" s="1224"/>
      <c r="W901" s="1224"/>
      <c r="X901" s="1224"/>
      <c r="Y901" s="1224"/>
      <c r="Z901" s="1225"/>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3" t="s">
        <v>642</v>
      </c>
      <c r="V902" s="1224"/>
      <c r="W902" s="1224"/>
      <c r="X902" s="1224"/>
      <c r="Y902" s="1224"/>
      <c r="Z902" s="1225"/>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3" t="s">
        <v>642</v>
      </c>
      <c r="V903" s="1224"/>
      <c r="W903" s="1224"/>
      <c r="X903" s="1224"/>
      <c r="Y903" s="1224"/>
      <c r="Z903" s="1225"/>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3" t="s">
        <v>642</v>
      </c>
      <c r="V904" s="1224"/>
      <c r="W904" s="1224"/>
      <c r="X904" s="1224"/>
      <c r="Y904" s="1224"/>
      <c r="Z904" s="1225"/>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3" t="s">
        <v>642</v>
      </c>
      <c r="V905" s="1224"/>
      <c r="W905" s="1224"/>
      <c r="X905" s="1224"/>
      <c r="Y905" s="1224"/>
      <c r="Z905" s="1225"/>
      <c r="AA905" s="1186"/>
      <c r="AB905" s="1187"/>
      <c r="AC905" s="1187"/>
      <c r="AD905" s="1187"/>
      <c r="AE905" s="1187"/>
      <c r="AF905" s="1188"/>
      <c r="AM905" s="1409">
        <f>G734+O778</f>
        <v>68</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3" t="s">
        <v>642</v>
      </c>
      <c r="V906" s="1224"/>
      <c r="W906" s="1224"/>
      <c r="X906" s="1224"/>
      <c r="Y906" s="1224"/>
      <c r="Z906" s="1225"/>
      <c r="AA906" s="1186"/>
      <c r="AB906" s="1187"/>
      <c r="AC906" s="1187"/>
      <c r="AD906" s="1187"/>
      <c r="AE906" s="1187"/>
      <c r="AF906" s="1188"/>
      <c r="AM906" s="52"/>
      <c r="AN906" s="21"/>
      <c r="AO906" s="1384">
        <f>ROUNDDOWN(X999/I999,2)</f>
        <v>0.51</v>
      </c>
      <c r="AP906" s="1385"/>
      <c r="AQ906" s="1385"/>
      <c r="AR906" s="13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3" t="s">
        <v>642</v>
      </c>
      <c r="V907" s="1224"/>
      <c r="W907" s="1224"/>
      <c r="X907" s="1224"/>
      <c r="Y907" s="1224"/>
      <c r="Z907" s="1225"/>
      <c r="AA907" s="1186"/>
      <c r="AB907" s="1187"/>
      <c r="AC907" s="1187"/>
      <c r="AD907" s="1187"/>
      <c r="AE907" s="1187"/>
      <c r="AF907" s="1188"/>
      <c r="AM907" s="52"/>
      <c r="AN907" s="52"/>
      <c r="AO907" s="1362">
        <f>ROUNDDOWN(X1003/I1003,2)</f>
        <v>0.14000000000000001</v>
      </c>
      <c r="AP907" s="1363"/>
      <c r="AQ907" s="1363"/>
      <c r="AR907" s="136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3" t="s">
        <v>723</v>
      </c>
      <c r="Q908" s="1224"/>
      <c r="R908" s="1224"/>
      <c r="S908" s="1224"/>
      <c r="T908" s="1225"/>
      <c r="U908" s="1223" t="s">
        <v>642</v>
      </c>
      <c r="V908" s="1224"/>
      <c r="W908" s="1224"/>
      <c r="X908" s="1224"/>
      <c r="Y908" s="1224"/>
      <c r="Z908" s="1225"/>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0" t="s">
        <v>357</v>
      </c>
      <c r="J909" s="1391"/>
      <c r="K909" s="1391"/>
      <c r="L909" s="1391"/>
      <c r="M909" s="1391"/>
      <c r="N909" s="1391"/>
      <c r="O909" s="1391"/>
      <c r="P909" s="1391"/>
      <c r="Q909" s="1391"/>
      <c r="R909" s="1391"/>
      <c r="S909" s="1391"/>
      <c r="T909" s="1392"/>
      <c r="U909" s="1223" t="s">
        <v>642</v>
      </c>
      <c r="V909" s="1224"/>
      <c r="W909" s="1224"/>
      <c r="X909" s="1224"/>
      <c r="Y909" s="1224"/>
      <c r="Z909" s="1225"/>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0" t="s">
        <v>1821</v>
      </c>
      <c r="J910" s="1148"/>
      <c r="K910" s="1148"/>
      <c r="L910" s="1148"/>
      <c r="M910" s="1148"/>
      <c r="N910" s="1148"/>
      <c r="O910" s="1148"/>
      <c r="P910" s="1148"/>
      <c r="Q910" s="1148"/>
      <c r="R910" s="1148"/>
      <c r="S910" s="1148"/>
      <c r="T910" s="1149"/>
      <c r="U910" s="1223" t="s">
        <v>592</v>
      </c>
      <c r="V910" s="1224"/>
      <c r="W910" s="1224"/>
      <c r="X910" s="1224"/>
      <c r="Y910" s="1224"/>
      <c r="Z910" s="1225"/>
      <c r="AA910" s="1186">
        <f>AG620</f>
        <v>250000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0" t="s">
        <v>1820</v>
      </c>
      <c r="J911" s="1148"/>
      <c r="K911" s="1148"/>
      <c r="L911" s="1148"/>
      <c r="M911" s="1148"/>
      <c r="N911" s="1148"/>
      <c r="O911" s="1148"/>
      <c r="P911" s="1148"/>
      <c r="Q911" s="1148"/>
      <c r="R911" s="1148"/>
      <c r="S911" s="1148"/>
      <c r="T911" s="1149"/>
      <c r="U911" s="1223" t="s">
        <v>592</v>
      </c>
      <c r="V911" s="1224"/>
      <c r="W911" s="1224"/>
      <c r="X911" s="1224"/>
      <c r="Y911" s="1224"/>
      <c r="Z911" s="1225"/>
      <c r="AA911" s="1186">
        <v>6527449</v>
      </c>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7" t="s">
        <v>357</v>
      </c>
      <c r="J912" s="1148"/>
      <c r="K912" s="1148"/>
      <c r="L912" s="1148"/>
      <c r="M912" s="1148"/>
      <c r="N912" s="1148"/>
      <c r="O912" s="1148"/>
      <c r="P912" s="1148"/>
      <c r="Q912" s="1148"/>
      <c r="R912" s="1148"/>
      <c r="S912" s="1148"/>
      <c r="T912" s="1149"/>
      <c r="U912" s="1223" t="s">
        <v>642</v>
      </c>
      <c r="V912" s="1224"/>
      <c r="W912" s="1224"/>
      <c r="X912" s="1224"/>
      <c r="Y912" s="1224"/>
      <c r="Z912" s="1225"/>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1"/>
      <c r="N917" s="1212"/>
      <c r="O917" s="1212"/>
      <c r="P917" s="1212"/>
      <c r="Q917" s="1212"/>
      <c r="R917" s="1212"/>
      <c r="S917" s="1272"/>
      <c r="U917" s="103" t="s">
        <v>11</v>
      </c>
      <c r="V917" s="77"/>
      <c r="W917" s="77"/>
      <c r="X917" s="77"/>
      <c r="Y917" s="77"/>
      <c r="Z917" s="77"/>
      <c r="AA917" s="77"/>
      <c r="AB917" s="77"/>
      <c r="AC917" s="77"/>
      <c r="AD917" s="78"/>
      <c r="AE917" s="1271"/>
      <c r="AF917" s="1212"/>
      <c r="AG917" s="1212"/>
      <c r="AH917" s="1212"/>
      <c r="AI917" s="1212"/>
      <c r="AJ917" s="1212"/>
      <c r="AK917" s="127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3"/>
      <c r="N918" s="1354"/>
      <c r="O918" s="1354"/>
      <c r="P918" s="1354"/>
      <c r="Q918" s="1354"/>
      <c r="R918" s="1354"/>
      <c r="S918" s="1355"/>
      <c r="U918" s="103" t="s">
        <v>12</v>
      </c>
      <c r="V918" s="77"/>
      <c r="W918" s="77"/>
      <c r="X918" s="77"/>
      <c r="Y918" s="77"/>
      <c r="Z918" s="77"/>
      <c r="AA918" s="77"/>
      <c r="AB918" s="77"/>
      <c r="AC918" s="77"/>
      <c r="AD918" s="78"/>
      <c r="AE918" s="1353"/>
      <c r="AF918" s="1354"/>
      <c r="AG918" s="1354"/>
      <c r="AH918" s="1354"/>
      <c r="AI918" s="1354"/>
      <c r="AJ918" s="1354"/>
      <c r="AK918" s="13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7" t="s">
        <v>329</v>
      </c>
      <c r="K919" s="1378"/>
      <c r="L919" s="1378"/>
      <c r="M919" s="1378"/>
      <c r="N919" s="1378"/>
      <c r="O919" s="1378"/>
      <c r="P919" s="1378"/>
      <c r="Q919" s="1378"/>
      <c r="R919" s="1378"/>
      <c r="S919" s="1379"/>
      <c r="U919" s="103" t="s">
        <v>975</v>
      </c>
      <c r="V919" s="77"/>
      <c r="W919" s="77"/>
      <c r="AB919" s="1377" t="s">
        <v>329</v>
      </c>
      <c r="AC919" s="1378"/>
      <c r="AD919" s="1378"/>
      <c r="AE919" s="1378"/>
      <c r="AF919" s="1378"/>
      <c r="AG919" s="1378"/>
      <c r="AH919" s="1378"/>
      <c r="AI919" s="1378"/>
      <c r="AJ919" s="1378"/>
      <c r="AK919" s="137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9"/>
      <c r="N920" s="1366"/>
      <c r="O920" s="1366"/>
      <c r="P920" s="1366"/>
      <c r="Q920" s="1366"/>
      <c r="R920" s="1366"/>
      <c r="S920" s="1367"/>
      <c r="U920" s="103" t="s">
        <v>13</v>
      </c>
      <c r="V920" s="77"/>
      <c r="W920" s="77"/>
      <c r="X920" s="77"/>
      <c r="Y920" s="77"/>
      <c r="Z920" s="77"/>
      <c r="AA920" s="77"/>
      <c r="AB920" s="77"/>
      <c r="AC920" s="77"/>
      <c r="AD920" s="78"/>
      <c r="AE920" s="1365"/>
      <c r="AF920" s="1366"/>
      <c r="AG920" s="1366"/>
      <c r="AH920" s="1366"/>
      <c r="AI920" s="1366"/>
      <c r="AJ920" s="1366"/>
      <c r="AK920" s="136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373"/>
      <c r="N921" s="1141"/>
      <c r="O921" s="1141"/>
      <c r="P921" s="1141"/>
      <c r="Q921" s="1141"/>
      <c r="R921" s="1141"/>
      <c r="S921" s="1142"/>
      <c r="U921" s="103" t="s">
        <v>14</v>
      </c>
      <c r="V921" s="77"/>
      <c r="W921" s="77"/>
      <c r="X921" s="77"/>
      <c r="Y921" s="77"/>
      <c r="Z921" s="77"/>
      <c r="AA921" s="77"/>
      <c r="AB921" s="77"/>
      <c r="AC921" s="77"/>
      <c r="AD921" s="78"/>
      <c r="AE921" s="1373"/>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8"/>
      <c r="N924" s="1349"/>
      <c r="O924" s="1349"/>
      <c r="P924" s="1349"/>
      <c r="Q924" s="1349"/>
      <c r="R924" s="1349"/>
      <c r="S924" s="1350"/>
      <c r="U924" s="103" t="s">
        <v>621</v>
      </c>
      <c r="V924" s="77"/>
      <c r="W924" s="77"/>
      <c r="X924" s="77"/>
      <c r="Y924" s="77"/>
      <c r="Z924" s="77"/>
      <c r="AA924" s="77"/>
      <c r="AB924" s="77"/>
      <c r="AC924" s="77"/>
      <c r="AD924" s="78"/>
      <c r="AE924" s="1348"/>
      <c r="AF924" s="1349"/>
      <c r="AG924" s="1349"/>
      <c r="AH924" s="1349"/>
      <c r="AI924" s="1349"/>
      <c r="AJ924" s="1349"/>
      <c r="AK924" s="13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3"/>
      <c r="N929" s="1204"/>
      <c r="O929" s="1204"/>
      <c r="P929" s="1204"/>
      <c r="Q929" s="1204"/>
      <c r="R929" s="1204"/>
      <c r="S929" s="1205"/>
      <c r="T929" s="103" t="s">
        <v>872</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3"/>
      <c r="N930" s="1204"/>
      <c r="O930" s="1204"/>
      <c r="P930" s="1204"/>
      <c r="Q930" s="1204"/>
      <c r="R930" s="1204"/>
      <c r="S930" s="1205"/>
      <c r="T930" s="103" t="s">
        <v>871</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0" t="s">
        <v>642</v>
      </c>
      <c r="N931" s="1371"/>
      <c r="O931" s="1371"/>
      <c r="P931" s="1371"/>
      <c r="Q931" s="1371"/>
      <c r="R931" s="1371"/>
      <c r="S931" s="1372"/>
      <c r="T931" s="76" t="s">
        <v>360</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3"/>
      <c r="N932" s="1204"/>
      <c r="O932" s="1204"/>
      <c r="P932" s="1204"/>
      <c r="Q932" s="1204"/>
      <c r="R932" s="1204"/>
      <c r="S932" s="1205"/>
      <c r="T932" s="76" t="s">
        <v>361</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3"/>
      <c r="N933" s="1204"/>
      <c r="O933" s="1204"/>
      <c r="P933" s="1204"/>
      <c r="Q933" s="1204"/>
      <c r="R933" s="1204"/>
      <c r="S933" s="1205"/>
      <c r="T933" s="76" t="s">
        <v>408</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9" t="s">
        <v>329</v>
      </c>
      <c r="N934" s="1360"/>
      <c r="O934" s="1360"/>
      <c r="P934" s="1360"/>
      <c r="Q934" s="1360"/>
      <c r="R934" s="1360"/>
      <c r="S934" s="1361"/>
      <c r="T934" s="1331"/>
      <c r="U934" s="1332"/>
      <c r="V934" s="1332"/>
      <c r="W934" s="1332"/>
      <c r="X934" s="1332"/>
      <c r="Y934" s="1332"/>
      <c r="Z934" s="1333"/>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3"/>
      <c r="N935" s="1204"/>
      <c r="O935" s="1204"/>
      <c r="P935" s="1204"/>
      <c r="Q935" s="1204"/>
      <c r="R935" s="1204"/>
      <c r="S935" s="1205"/>
      <c r="T935" s="1331"/>
      <c r="U935" s="1332"/>
      <c r="V935" s="1332"/>
      <c r="W935" s="1332"/>
      <c r="X935" s="1332"/>
      <c r="Y935" s="1332"/>
      <c r="Z935" s="1333"/>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9" t="s">
        <v>723</v>
      </c>
      <c r="P936" s="1300"/>
      <c r="Q936" s="142"/>
      <c r="R936" s="142"/>
      <c r="S936" s="143"/>
      <c r="T936" s="71" t="s">
        <v>177</v>
      </c>
      <c r="U936" s="72"/>
      <c r="V936" s="72"/>
      <c r="W936" s="1158" t="s">
        <v>357</v>
      </c>
      <c r="X936" s="1159"/>
      <c r="Y936" s="1159"/>
      <c r="Z936" s="1159"/>
      <c r="AA936" s="1159"/>
      <c r="AB936" s="1159"/>
      <c r="AC936" s="1159"/>
      <c r="AD936" s="1159"/>
      <c r="AE936" s="1159"/>
      <c r="AF936" s="1159"/>
      <c r="AG936" s="116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1" t="s">
        <v>36</v>
      </c>
      <c r="G937" s="1302"/>
      <c r="H937" s="1302"/>
      <c r="I937" s="1302"/>
      <c r="J937" s="1302"/>
      <c r="K937" s="1302"/>
      <c r="L937" s="1302"/>
      <c r="M937" s="1203"/>
      <c r="N937" s="1204"/>
      <c r="O937" s="1204"/>
      <c r="P937" s="1204"/>
      <c r="Q937" s="1204"/>
      <c r="R937" s="1204"/>
      <c r="S937" s="1205"/>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595</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43"/>
      <c r="AU941" s="1143"/>
      <c r="AV941" s="1143"/>
      <c r="AW941" s="1143"/>
      <c r="AX941" s="1143"/>
      <c r="AY941" s="114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8" t="s">
        <v>689</v>
      </c>
      <c r="C946" s="1368"/>
      <c r="D946" s="1368"/>
      <c r="E946" s="1368"/>
      <c r="F946" s="1368"/>
      <c r="G946" s="1368"/>
      <c r="H946" s="1368"/>
      <c r="I946" s="1368"/>
      <c r="J946" s="1368"/>
      <c r="K946" s="1368"/>
      <c r="L946" s="1368" t="s">
        <v>690</v>
      </c>
      <c r="M946" s="1368"/>
      <c r="N946" s="1368"/>
      <c r="O946" s="1368"/>
      <c r="P946" s="1368"/>
      <c r="Q946" s="1368"/>
      <c r="R946" s="1368"/>
      <c r="S946" s="1368"/>
      <c r="T946" s="1368"/>
      <c r="U946" s="1368"/>
      <c r="V946" s="1368" t="s">
        <v>691</v>
      </c>
      <c r="W946" s="1368"/>
      <c r="X946" s="1368"/>
      <c r="Y946" s="1368"/>
      <c r="Z946" s="1368"/>
      <c r="AA946" s="1368"/>
      <c r="AB946" s="1368"/>
      <c r="AC946" s="1368"/>
      <c r="AD946" s="1380" t="s">
        <v>692</v>
      </c>
      <c r="AE946" s="1381"/>
      <c r="AF946" s="1381"/>
      <c r="AG946" s="1381"/>
      <c r="AH946" s="1381"/>
      <c r="AI946" s="1381"/>
      <c r="AJ946" s="1381"/>
      <c r="AK946" s="138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684</v>
      </c>
      <c r="C947" s="1202"/>
      <c r="D947" s="1202"/>
      <c r="E947" s="1202"/>
      <c r="F947" s="1202"/>
      <c r="G947" s="1202"/>
      <c r="H947" s="1202"/>
      <c r="I947" s="1202"/>
      <c r="J947" s="1202"/>
      <c r="K947" s="1202"/>
      <c r="L947" s="1345">
        <f>IF(ISNA(IF($BA$779="4%",(INDEX($BC$789:$BG$846,MATCH($BO$779,$BB$789:$BB$846,0),MATCH(B947,$BC$788:$BG$788,0))),(INDEX($BJ$789:$BN$846,MATCH($BO$779,$BI$789:$BI$846,0),MATCH(B947,$BJ$788:$BN$788,0))))),0,IF($BA$779="4%",(INDEX($BC$789:$BG$846,MATCH($BO$779,$BB$789:$BB$846,0),MATCH(B947,$BC$788:$BG$788,0))),(INDEX($BJ$789:$BN$846,MATCH($BO$779,$BI$789:$BI$846,0),MATCH(B947,$BJ$788:$BN$788,0)))))</f>
        <v>341669</v>
      </c>
      <c r="M947" s="1346"/>
      <c r="N947" s="1346"/>
      <c r="O947" s="1346"/>
      <c r="P947" s="1346"/>
      <c r="Q947" s="1346"/>
      <c r="R947" s="1346"/>
      <c r="S947" s="1346"/>
      <c r="T947" s="1346"/>
      <c r="U947" s="1347"/>
      <c r="V947" s="1376">
        <f>BA635</f>
        <v>0</v>
      </c>
      <c r="W947" s="1376"/>
      <c r="X947" s="1376"/>
      <c r="Y947" s="1376"/>
      <c r="Z947" s="1376"/>
      <c r="AA947" s="1376"/>
      <c r="AB947" s="1376"/>
      <c r="AC947" s="1376"/>
      <c r="AD947" s="1287">
        <f>IF(ISERROR((L947*V947)),0,(L947*V947))</f>
        <v>0</v>
      </c>
      <c r="AE947" s="1288"/>
      <c r="AF947" s="1288"/>
      <c r="AG947" s="1288"/>
      <c r="AH947" s="1288"/>
      <c r="AI947" s="1288"/>
      <c r="AJ947" s="1288"/>
      <c r="AK947" s="128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348</v>
      </c>
      <c r="C948" s="1201"/>
      <c r="D948" s="1201"/>
      <c r="E948" s="1201"/>
      <c r="F948" s="1201"/>
      <c r="G948" s="1201"/>
      <c r="H948" s="1201"/>
      <c r="I948" s="1201"/>
      <c r="J948" s="1201"/>
      <c r="K948" s="1201"/>
      <c r="L948" s="1345">
        <f>IF(ISNA(IF($BA$779="4%",(INDEX($BC$789:$BG$846,MATCH($BO$779,$BB$789:$BB$846,0),MATCH(B948,$BC$788:$BG$788,0))),(INDEX($BJ$789:$BN$846,MATCH($BO$779,$BI$789:$BI$846,0),MATCH(B948,$BJ$788:$BN$788,0))))),0,IF($BA$779="4%",(INDEX($BC$789:$BG$846,MATCH($BO$779,$BB$789:$BB$846,0),MATCH(B948,$BC$788:$BG$788,0))),(INDEX($BJ$789:$BN$846,MATCH($BO$779,$BI$789:$BI$846,0),MATCH(B948,$BJ$788:$BN$788,0)))))</f>
        <v>393941</v>
      </c>
      <c r="M948" s="1346"/>
      <c r="N948" s="1346"/>
      <c r="O948" s="1346"/>
      <c r="P948" s="1346"/>
      <c r="Q948" s="1346"/>
      <c r="R948" s="1346"/>
      <c r="S948" s="1346"/>
      <c r="T948" s="1346"/>
      <c r="U948" s="1347"/>
      <c r="V948" s="1376">
        <f>BF635</f>
        <v>0</v>
      </c>
      <c r="W948" s="1376"/>
      <c r="X948" s="1376"/>
      <c r="Y948" s="1376"/>
      <c r="Z948" s="1376"/>
      <c r="AA948" s="1376"/>
      <c r="AB948" s="1376"/>
      <c r="AC948" s="1376"/>
      <c r="AD948" s="1287">
        <f>IF(ISERROR((L948*V948)),0,(L948*V948))</f>
        <v>0</v>
      </c>
      <c r="AE948" s="1288"/>
      <c r="AF948" s="1288"/>
      <c r="AG948" s="1288"/>
      <c r="AH948" s="1288"/>
      <c r="AI948" s="1288"/>
      <c r="AJ948" s="1288"/>
      <c r="AK948" s="128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45">
        <f>IF(ISNA(IF($BA$779="4%",(INDEX($BC$789:$BG$846,MATCH($BO$779,$BB$789:$BB$846,0),MATCH(B949,$BC$788:$BG$788,0))),(INDEX($BJ$789:$BN$846,MATCH($BO$779,$BI$789:$BI$846,0),MATCH(B949,$BJ$788:$BN$788,0))))),0,IF($BA$779="4%",(INDEX($BC$789:$BG$846,MATCH($BO$779,$BB$789:$BB$846,0),MATCH(B949,$BC$788:$BG$788,0))),(INDEX($BJ$789:$BN$846,MATCH($BO$779,$BI$789:$BI$846,0),MATCH(B949,$BJ$788:$BN$788,0)))))</f>
        <v>475200</v>
      </c>
      <c r="M949" s="1346"/>
      <c r="N949" s="1346"/>
      <c r="O949" s="1346"/>
      <c r="P949" s="1346"/>
      <c r="Q949" s="1346"/>
      <c r="R949" s="1346"/>
      <c r="S949" s="1346"/>
      <c r="T949" s="1346"/>
      <c r="U949" s="1347"/>
      <c r="V949" s="1376">
        <f>BK635</f>
        <v>53</v>
      </c>
      <c r="W949" s="1376"/>
      <c r="X949" s="1376"/>
      <c r="Y949" s="1376"/>
      <c r="Z949" s="1376"/>
      <c r="AA949" s="1376"/>
      <c r="AB949" s="1376"/>
      <c r="AC949" s="1376"/>
      <c r="AD949" s="1287">
        <f>IF(ISERROR((L949*V949)),0,(L949*V949))</f>
        <v>25185600</v>
      </c>
      <c r="AE949" s="1288"/>
      <c r="AF949" s="1288"/>
      <c r="AG949" s="1288"/>
      <c r="AH949" s="1288"/>
      <c r="AI949" s="1288"/>
      <c r="AJ949" s="1288"/>
      <c r="AK949" s="128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45">
        <f>IF(ISNA(IF($BA$779="4%",(INDEX($BC$789:$BG$846,MATCH($BO$779,$BB$789:$BB$846,0),MATCH(B950,$BC$788:$BG$788,0))),(INDEX($BJ$789:$BN$846,MATCH($BO$779,$BI$789:$BI$846,0),MATCH(B950,$BJ$788:$BN$788,0))))),0,IF($BA$779="4%",(INDEX($BC$789:$BG$846,MATCH($BO$779,$BB$789:$BB$846,0),MATCH(B950,$BC$788:$BG$788,0))),(INDEX($BJ$789:$BN$846,MATCH($BO$779,$BI$789:$BI$846,0),MATCH(B950,$BJ$788:$BN$788,0)))))</f>
        <v>608256</v>
      </c>
      <c r="M950" s="1346"/>
      <c r="N950" s="1346"/>
      <c r="O950" s="1346"/>
      <c r="P950" s="1346"/>
      <c r="Q950" s="1346"/>
      <c r="R950" s="1346"/>
      <c r="S950" s="1346"/>
      <c r="T950" s="1346"/>
      <c r="U950" s="1347"/>
      <c r="V950" s="1376">
        <f>BP635</f>
        <v>13</v>
      </c>
      <c r="W950" s="1376"/>
      <c r="X950" s="1376"/>
      <c r="Y950" s="1376"/>
      <c r="Z950" s="1376"/>
      <c r="AA950" s="1376"/>
      <c r="AB950" s="1376"/>
      <c r="AC950" s="1376"/>
      <c r="AD950" s="1287">
        <f>IF(ISERROR((L950*V950)),0,(L950*V950))</f>
        <v>7907328</v>
      </c>
      <c r="AE950" s="1288"/>
      <c r="AF950" s="1288"/>
      <c r="AG950" s="1288"/>
      <c r="AH950" s="1288"/>
      <c r="AI950" s="1288"/>
      <c r="AJ950" s="1288"/>
      <c r="AK950" s="128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1" t="s">
        <v>507</v>
      </c>
      <c r="C951" s="1201"/>
      <c r="D951" s="1201"/>
      <c r="E951" s="1201"/>
      <c r="F951" s="1201"/>
      <c r="G951" s="1201"/>
      <c r="H951" s="1201"/>
      <c r="I951" s="1201"/>
      <c r="J951" s="1201"/>
      <c r="K951" s="1201"/>
      <c r="L951" s="1345">
        <f>IF(ISNA(IF($BA$779="4%",(INDEX($BC$789:$BG$846,MATCH($BO$779,$BB$789:$BB$846,0),MATCH(B951,$BC$788:$BG$788,0))),(INDEX($BJ$789:$BN$846,MATCH($BO$779,$BI$789:$BI$846,0),MATCH(B951,$BJ$788:$BN$788,0))))),0,IF($BA$779="4%",(INDEX($BC$789:$BG$846,MATCH($BO$779,$BB$789:$BB$846,0),MATCH(B951,$BC$788:$BG$788,0))),(INDEX($BJ$789:$BN$846,MATCH($BO$779,$BI$789:$BI$846,0),MATCH(B951,$BJ$788:$BN$788,0)))))</f>
        <v>677635</v>
      </c>
      <c r="M951" s="1346"/>
      <c r="N951" s="1346"/>
      <c r="O951" s="1346"/>
      <c r="P951" s="1346"/>
      <c r="Q951" s="1346"/>
      <c r="R951" s="1346"/>
      <c r="S951" s="1346"/>
      <c r="T951" s="1346"/>
      <c r="U951" s="1347"/>
      <c r="V951" s="1376">
        <f>BZ635+BU635</f>
        <v>4</v>
      </c>
      <c r="W951" s="1376"/>
      <c r="X951" s="1376"/>
      <c r="Y951" s="1376"/>
      <c r="Z951" s="1376"/>
      <c r="AA951" s="1376"/>
      <c r="AB951" s="1376"/>
      <c r="AC951" s="1376"/>
      <c r="AD951" s="1287">
        <f>IF(ISERROR((L951*V951)),0,(L951*V951))</f>
        <v>2710540</v>
      </c>
      <c r="AE951" s="1288"/>
      <c r="AF951" s="1288"/>
      <c r="AG951" s="1288"/>
      <c r="AH951" s="1288"/>
      <c r="AI951" s="1288"/>
      <c r="AJ951" s="1288"/>
      <c r="AK951" s="128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2" t="s">
        <v>873</v>
      </c>
      <c r="C952" s="1153"/>
      <c r="D952" s="1153"/>
      <c r="E952" s="1153"/>
      <c r="F952" s="1153"/>
      <c r="G952" s="1153"/>
      <c r="H952" s="1153"/>
      <c r="I952" s="1153"/>
      <c r="J952" s="1153"/>
      <c r="K952" s="1153"/>
      <c r="L952" s="1153"/>
      <c r="M952" s="1153"/>
      <c r="N952" s="1153"/>
      <c r="O952" s="1153"/>
      <c r="P952" s="1153"/>
      <c r="Q952" s="1153"/>
      <c r="R952" s="1153"/>
      <c r="S952" s="1153"/>
      <c r="T952" s="1153"/>
      <c r="U952" s="1154"/>
      <c r="V952" s="1402">
        <f>SUM(V947:AC951)</f>
        <v>70</v>
      </c>
      <c r="W952" s="1403"/>
      <c r="X952" s="1403"/>
      <c r="Y952" s="1403"/>
      <c r="Z952" s="1403"/>
      <c r="AA952" s="1403"/>
      <c r="AB952" s="1403"/>
      <c r="AC952" s="1404"/>
      <c r="AD952" s="1287"/>
      <c r="AE952" s="1288"/>
      <c r="AF952" s="1288"/>
      <c r="AG952" s="1288"/>
      <c r="AH952" s="1288"/>
      <c r="AI952" s="1288"/>
      <c r="AJ952" s="1288"/>
      <c r="AK952" s="128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559</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67">
        <f>SUM(AD947:AK951)</f>
        <v>35803468</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720</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2" t="s">
        <v>1484</v>
      </c>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4"/>
      <c r="Z955" s="115"/>
      <c r="AA955" s="1374" t="s">
        <v>592</v>
      </c>
      <c r="AB955" s="1375"/>
      <c r="AC955" s="128"/>
      <c r="AD955" s="1173">
        <f>ROUND(IF(AND(AA955="yes",D957&gt;0),AD953*0.2,0),0)</f>
        <v>7160694</v>
      </c>
      <c r="AE955" s="1173"/>
      <c r="AF955" s="1173"/>
      <c r="AG955" s="1173"/>
      <c r="AH955" s="1173"/>
      <c r="AI955" s="1173"/>
      <c r="AJ955" s="1173"/>
      <c r="AK955" s="117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429"/>
      <c r="C956" s="428"/>
      <c r="D956" s="1581" t="s">
        <v>1485</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76"/>
      <c r="AE956" s="1176"/>
      <c r="AF956" s="1176"/>
      <c r="AG956" s="1176"/>
      <c r="AH956" s="1176"/>
      <c r="AI956" s="1176"/>
      <c r="AJ956" s="1176"/>
      <c r="AK956" s="117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6" t="s">
        <v>1819</v>
      </c>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8"/>
      <c r="Z957" s="115"/>
      <c r="AA957" s="115"/>
      <c r="AB957" s="115"/>
      <c r="AC957" s="124"/>
      <c r="AD957" s="1176"/>
      <c r="AE957" s="1176"/>
      <c r="AF957" s="1176"/>
      <c r="AG957" s="1176"/>
      <c r="AH957" s="1176"/>
      <c r="AI957" s="1176"/>
      <c r="AJ957" s="1176"/>
      <c r="AK957" s="117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2" t="s">
        <v>1610</v>
      </c>
      <c r="E958" s="1253"/>
      <c r="F958" s="1253"/>
      <c r="G958" s="1253"/>
      <c r="H958" s="1253"/>
      <c r="I958" s="1253"/>
      <c r="J958" s="1253"/>
      <c r="K958" s="1253"/>
      <c r="L958" s="1253"/>
      <c r="M958" s="1253"/>
      <c r="N958" s="1253"/>
      <c r="O958" s="1253"/>
      <c r="P958" s="1253"/>
      <c r="Q958" s="1253"/>
      <c r="R958" s="1253"/>
      <c r="S958" s="1253"/>
      <c r="T958" s="1253"/>
      <c r="U958" s="1253"/>
      <c r="V958" s="1253"/>
      <c r="W958" s="1253"/>
      <c r="X958" s="1253"/>
      <c r="Y958" s="1254"/>
      <c r="Z958" s="127"/>
      <c r="AA958" s="1170" t="s">
        <v>723</v>
      </c>
      <c r="AB958" s="1171"/>
      <c r="AC958" s="128"/>
      <c r="AD958" s="1172">
        <f>ROUND(IF(AA958="yes",AD953*0.05,0),0)</f>
        <v>0</v>
      </c>
      <c r="AE958" s="1173"/>
      <c r="AF958" s="1173"/>
      <c r="AG958" s="1173"/>
      <c r="AH958" s="1173"/>
      <c r="AI958" s="1173"/>
      <c r="AJ958" s="1173"/>
      <c r="AK958" s="117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1607</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75"/>
      <c r="AE959" s="1176"/>
      <c r="AF959" s="1176"/>
      <c r="AG959" s="1176"/>
      <c r="AH959" s="1176"/>
      <c r="AI959" s="1176"/>
      <c r="AJ959" s="1176"/>
      <c r="AK959" s="117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75"/>
      <c r="AE960" s="1176"/>
      <c r="AF960" s="1176"/>
      <c r="AG960" s="1176"/>
      <c r="AH960" s="1176"/>
      <c r="AI960" s="1176"/>
      <c r="AJ960" s="1176"/>
      <c r="AK960" s="117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75"/>
      <c r="AE961" s="1176"/>
      <c r="AF961" s="1176"/>
      <c r="AG961" s="1176"/>
      <c r="AH961" s="1176"/>
      <c r="AI961" s="1176"/>
      <c r="AJ961" s="1176"/>
      <c r="AK961" s="117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75"/>
      <c r="AE962" s="1176"/>
      <c r="AF962" s="1176"/>
      <c r="AG962" s="1176"/>
      <c r="AH962" s="1176"/>
      <c r="AI962" s="1176"/>
      <c r="AJ962" s="1176"/>
      <c r="AK962" s="117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75"/>
      <c r="AE963" s="1176"/>
      <c r="AF963" s="1176"/>
      <c r="AG963" s="1176"/>
      <c r="AH963" s="1176"/>
      <c r="AI963" s="1176"/>
      <c r="AJ963" s="1176"/>
      <c r="AK963" s="117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6"/>
      <c r="AE964" s="1247"/>
      <c r="AF964" s="1247"/>
      <c r="AG964" s="1247"/>
      <c r="AH964" s="1247"/>
      <c r="AI964" s="1247"/>
      <c r="AJ964" s="1247"/>
      <c r="AK964" s="124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2" t="s">
        <v>1609</v>
      </c>
      <c r="E965" s="1253"/>
      <c r="F965" s="1253"/>
      <c r="G965" s="1253"/>
      <c r="H965" s="1253"/>
      <c r="I965" s="1253"/>
      <c r="J965" s="1253"/>
      <c r="K965" s="1253"/>
      <c r="L965" s="1253"/>
      <c r="M965" s="1253"/>
      <c r="N965" s="1253"/>
      <c r="O965" s="1253"/>
      <c r="P965" s="1253"/>
      <c r="Q965" s="1253"/>
      <c r="R965" s="1253"/>
      <c r="S965" s="1253"/>
      <c r="T965" s="1253"/>
      <c r="U965" s="1253"/>
      <c r="V965" s="1253"/>
      <c r="W965" s="1253"/>
      <c r="X965" s="1253"/>
      <c r="Y965" s="1254"/>
      <c r="Z965" s="127"/>
      <c r="AA965" s="1170" t="s">
        <v>723</v>
      </c>
      <c r="AB965" s="1171"/>
      <c r="AC965" s="128"/>
      <c r="AD965" s="1173">
        <f>ROUND(IF(AA965="yes",AD953*0.07,0),0)</f>
        <v>0</v>
      </c>
      <c r="AE965" s="1173"/>
      <c r="AF965" s="1173"/>
      <c r="AG965" s="1173"/>
      <c r="AH965" s="1173"/>
      <c r="AI965" s="1173"/>
      <c r="AJ965" s="1173"/>
      <c r="AK965" s="117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9" t="s">
        <v>1608</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5"/>
      <c r="AA966" s="25"/>
      <c r="AB966" s="25"/>
      <c r="AC966" s="124"/>
      <c r="AD966" s="1176"/>
      <c r="AE966" s="1176"/>
      <c r="AF966" s="1176"/>
      <c r="AG966" s="1176"/>
      <c r="AH966" s="1176"/>
      <c r="AI966" s="1176"/>
      <c r="AJ966" s="1176"/>
      <c r="AK966" s="117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9"/>
      <c r="E967" s="1250"/>
      <c r="F967" s="1250"/>
      <c r="G967" s="1250"/>
      <c r="H967" s="1250"/>
      <c r="I967" s="1250"/>
      <c r="J967" s="1250"/>
      <c r="K967" s="1250"/>
      <c r="L967" s="1250"/>
      <c r="M967" s="1250"/>
      <c r="N967" s="1250"/>
      <c r="O967" s="1250"/>
      <c r="P967" s="1250"/>
      <c r="Q967" s="1250"/>
      <c r="R967" s="1250"/>
      <c r="S967" s="1250"/>
      <c r="T967" s="1250"/>
      <c r="U967" s="1250"/>
      <c r="V967" s="1250"/>
      <c r="W967" s="1250"/>
      <c r="X967" s="1250"/>
      <c r="Y967" s="1251"/>
      <c r="Z967" s="115"/>
      <c r="AA967" s="115"/>
      <c r="AB967" s="115"/>
      <c r="AC967" s="124"/>
      <c r="AD967" s="1176"/>
      <c r="AE967" s="1176"/>
      <c r="AF967" s="1176"/>
      <c r="AG967" s="1176"/>
      <c r="AH967" s="1176"/>
      <c r="AI967" s="1176"/>
      <c r="AJ967" s="1176"/>
      <c r="AK967" s="117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5"/>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7"/>
      <c r="Z968" s="11"/>
      <c r="AA968" s="11"/>
      <c r="AB968" s="11"/>
      <c r="AC968" s="119"/>
      <c r="AD968" s="1247"/>
      <c r="AE968" s="1247"/>
      <c r="AF968" s="1247"/>
      <c r="AG968" s="1247"/>
      <c r="AH968" s="1247"/>
      <c r="AI968" s="1247"/>
      <c r="AJ968" s="1247"/>
      <c r="AK968" s="1248"/>
      <c r="AL968" s="105"/>
      <c r="AO968" s="61"/>
      <c r="AP968" s="61"/>
      <c r="AQ968" s="61"/>
      <c r="AR968" s="61"/>
      <c r="AS968" s="61"/>
    </row>
    <row r="969" spans="1:96" ht="12.75" customHeight="1">
      <c r="A969" s="51"/>
      <c r="B969" s="120"/>
      <c r="C969" s="121" t="s">
        <v>227</v>
      </c>
      <c r="D969" s="1252" t="s">
        <v>1611</v>
      </c>
      <c r="E969" s="1253"/>
      <c r="F969" s="1253"/>
      <c r="G969" s="1253"/>
      <c r="H969" s="1253"/>
      <c r="I969" s="1253"/>
      <c r="J969" s="1253"/>
      <c r="K969" s="1253"/>
      <c r="L969" s="1253"/>
      <c r="M969" s="1253"/>
      <c r="N969" s="1253"/>
      <c r="O969" s="1253"/>
      <c r="P969" s="1253"/>
      <c r="Q969" s="1253"/>
      <c r="R969" s="1253"/>
      <c r="S969" s="1253"/>
      <c r="T969" s="1253"/>
      <c r="U969" s="1253"/>
      <c r="V969" s="1253"/>
      <c r="W969" s="1253"/>
      <c r="X969" s="1253"/>
      <c r="Y969" s="1254"/>
      <c r="Z969" s="113"/>
      <c r="AA969" s="1244" t="s">
        <v>723</v>
      </c>
      <c r="AB969" s="1245"/>
      <c r="AC969" s="51"/>
      <c r="AD969" s="1172">
        <f>ROUND(IF(AA969="yes",AD953*0.02,0),0)</f>
        <v>0</v>
      </c>
      <c r="AE969" s="1173"/>
      <c r="AF969" s="1173"/>
      <c r="AG969" s="1173"/>
      <c r="AH969" s="1173"/>
      <c r="AI969" s="1173"/>
      <c r="AJ969" s="1173"/>
      <c r="AK969" s="1174"/>
      <c r="AL969" s="105"/>
      <c r="AO969" s="32"/>
      <c r="AP969" s="32"/>
      <c r="AQ969" s="32"/>
      <c r="AR969" s="32"/>
      <c r="AS969" s="32"/>
    </row>
    <row r="970" spans="1:96" s="743" customFormat="1" ht="12.75" customHeight="1">
      <c r="A970" s="51"/>
      <c r="B970" s="113"/>
      <c r="C970" s="114"/>
      <c r="D970" s="1255" t="s">
        <v>1612</v>
      </c>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7"/>
      <c r="Z970" s="113"/>
      <c r="AA970" s="51"/>
      <c r="AB970" s="51"/>
      <c r="AC970" s="51"/>
      <c r="AD970" s="1175"/>
      <c r="AE970" s="1176"/>
      <c r="AF970" s="1176"/>
      <c r="AG970" s="1176"/>
      <c r="AH970" s="1176"/>
      <c r="AI970" s="1176"/>
      <c r="AJ970" s="1176"/>
      <c r="AK970" s="1177"/>
      <c r="AL970" s="105"/>
      <c r="AO970" s="945"/>
      <c r="AP970" s="945"/>
      <c r="AQ970" s="945"/>
      <c r="AR970" s="945"/>
      <c r="AS970" s="945"/>
    </row>
    <row r="971" spans="1:96" ht="12.75" customHeight="1">
      <c r="A971" s="51"/>
      <c r="B971" s="120"/>
      <c r="C971" s="121" t="s">
        <v>230</v>
      </c>
      <c r="D971" s="1252" t="s">
        <v>1613</v>
      </c>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4"/>
      <c r="Z971" s="120"/>
      <c r="AA971" s="1170" t="s">
        <v>723</v>
      </c>
      <c r="AB971" s="1171"/>
      <c r="AC971" s="120"/>
      <c r="AD971" s="1172">
        <f>ROUND(IF(AA971="yes",AD953*0.02,0),0)</f>
        <v>0</v>
      </c>
      <c r="AE971" s="1173"/>
      <c r="AF971" s="1173"/>
      <c r="AG971" s="1173"/>
      <c r="AH971" s="1173"/>
      <c r="AI971" s="1173"/>
      <c r="AJ971" s="1173"/>
      <c r="AK971" s="1174"/>
      <c r="AL971" s="105"/>
    </row>
    <row r="972" spans="1:96" s="743" customFormat="1" ht="12.75" customHeight="1">
      <c r="A972" s="51"/>
      <c r="B972" s="113"/>
      <c r="C972" s="114"/>
      <c r="D972" s="1249" t="s">
        <v>1614</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1"/>
      <c r="Z972" s="113"/>
      <c r="AA972" s="25"/>
      <c r="AB972" s="25"/>
      <c r="AC972" s="115"/>
      <c r="AD972" s="1175"/>
      <c r="AE972" s="1176"/>
      <c r="AF972" s="1176"/>
      <c r="AG972" s="1176"/>
      <c r="AH972" s="1176"/>
      <c r="AI972" s="1176"/>
      <c r="AJ972" s="1176"/>
      <c r="AK972" s="1177"/>
      <c r="AL972" s="105"/>
    </row>
    <row r="973" spans="1:96" ht="12.75" customHeight="1">
      <c r="A973" s="51"/>
      <c r="B973" s="116"/>
      <c r="C973" s="117"/>
      <c r="D973" s="1255"/>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7"/>
      <c r="Z973" s="118"/>
      <c r="AA973" s="11"/>
      <c r="AB973" s="11"/>
      <c r="AC973" s="119"/>
      <c r="AD973" s="1246"/>
      <c r="AE973" s="1247"/>
      <c r="AF973" s="1247"/>
      <c r="AG973" s="1247"/>
      <c r="AH973" s="1247"/>
      <c r="AI973" s="1247"/>
      <c r="AJ973" s="1247"/>
      <c r="AK973" s="1248"/>
      <c r="AL973" s="105"/>
    </row>
    <row r="974" spans="1:96" ht="12.75" customHeight="1">
      <c r="A974" s="51"/>
      <c r="B974" s="120"/>
      <c r="C974" s="121" t="s">
        <v>233</v>
      </c>
      <c r="D974" s="1252" t="s">
        <v>1615</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4"/>
      <c r="Z974" s="120"/>
      <c r="AA974" s="1170" t="s">
        <v>723</v>
      </c>
      <c r="AB974" s="1171"/>
      <c r="AC974" s="128"/>
      <c r="AD974" s="1172">
        <f>IF(AA974="yes",AD953*AN891,0)</f>
        <v>0</v>
      </c>
      <c r="AE974" s="1173"/>
      <c r="AF974" s="1173"/>
      <c r="AG974" s="1173"/>
      <c r="AH974" s="1173"/>
      <c r="AI974" s="1173"/>
      <c r="AJ974" s="1173"/>
      <c r="AK974" s="1174"/>
      <c r="AL974" s="105"/>
    </row>
    <row r="975" spans="1:96" ht="15" customHeight="1">
      <c r="A975" s="51"/>
      <c r="B975" s="113"/>
      <c r="C975" s="114"/>
      <c r="D975" s="1249" t="s">
        <v>1616</v>
      </c>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3"/>
      <c r="AA975" s="115"/>
      <c r="AB975" s="115"/>
      <c r="AC975" s="124"/>
      <c r="AD975" s="1175"/>
      <c r="AE975" s="1176"/>
      <c r="AF975" s="1176"/>
      <c r="AG975" s="1176"/>
      <c r="AH975" s="1176"/>
      <c r="AI975" s="1176"/>
      <c r="AJ975" s="1176"/>
      <c r="AK975" s="1177"/>
      <c r="AL975" s="105"/>
    </row>
    <row r="976" spans="1:96" s="743" customFormat="1" ht="15" customHeight="1">
      <c r="A976" s="51"/>
      <c r="B976" s="113"/>
      <c r="C976" s="114"/>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3"/>
      <c r="AA976" s="115"/>
      <c r="AB976" s="115"/>
      <c r="AC976" s="124"/>
      <c r="AD976" s="1175"/>
      <c r="AE976" s="1176"/>
      <c r="AF976" s="1176"/>
      <c r="AG976" s="1176"/>
      <c r="AH976" s="1176"/>
      <c r="AI976" s="1176"/>
      <c r="AJ976" s="1176"/>
      <c r="AK976" s="1177"/>
      <c r="AL976" s="105"/>
    </row>
    <row r="977" spans="1:38" ht="12.75">
      <c r="A977" s="51"/>
      <c r="B977" s="122"/>
      <c r="C977" s="123"/>
      <c r="D977" s="1249"/>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1"/>
      <c r="Z977" s="118"/>
      <c r="AA977" s="11"/>
      <c r="AB977" s="11"/>
      <c r="AC977" s="119"/>
      <c r="AD977" s="1246"/>
      <c r="AE977" s="1247"/>
      <c r="AF977" s="1247"/>
      <c r="AG977" s="1247"/>
      <c r="AH977" s="1247"/>
      <c r="AI977" s="1247"/>
      <c r="AJ977" s="1247"/>
      <c r="AK977" s="1248"/>
      <c r="AL977" s="105"/>
    </row>
    <row r="978" spans="1:38" ht="12.75" customHeight="1">
      <c r="A978" s="51"/>
      <c r="B978" s="120"/>
      <c r="C978" s="121" t="s">
        <v>238</v>
      </c>
      <c r="D978" s="1591" t="s">
        <v>1617</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4" t="s">
        <v>723</v>
      </c>
      <c r="AB978" s="1245"/>
      <c r="AC978" s="51"/>
      <c r="AD978" s="1290"/>
      <c r="AE978" s="1291"/>
      <c r="AF978" s="1291"/>
      <c r="AG978" s="1291"/>
      <c r="AH978" s="1291"/>
      <c r="AI978" s="1291"/>
      <c r="AJ978" s="1291"/>
      <c r="AK978" s="1292"/>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12">
        <f>IF(AA978="yes","Please Select Type and Enter Amount:",0)</f>
        <v>0</v>
      </c>
      <c r="AA979" s="1312"/>
      <c r="AB979" s="1312"/>
      <c r="AC979" s="1313"/>
      <c r="AD979" s="1293"/>
      <c r="AE979" s="1294"/>
      <c r="AF979" s="1294"/>
      <c r="AG979" s="1294"/>
      <c r="AH979" s="1294"/>
      <c r="AI979" s="1294"/>
      <c r="AJ979" s="1294"/>
      <c r="AK979" s="1295"/>
      <c r="AL979" s="105"/>
    </row>
    <row r="980" spans="1:38" ht="12.75" customHeight="1">
      <c r="A980" s="51"/>
      <c r="B980" s="122"/>
      <c r="C980" s="125"/>
      <c r="D980" s="1249" t="s">
        <v>1618</v>
      </c>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314"/>
      <c r="AA980" s="1312"/>
      <c r="AB980" s="1312"/>
      <c r="AC980" s="1313"/>
      <c r="AD980" s="1293"/>
      <c r="AE980" s="1294"/>
      <c r="AF980" s="1294"/>
      <c r="AG980" s="1294"/>
      <c r="AH980" s="1294"/>
      <c r="AI980" s="1294"/>
      <c r="AJ980" s="1294"/>
      <c r="AK980" s="1295"/>
      <c r="AL980" s="105"/>
    </row>
    <row r="981" spans="1:38" s="743" customFormat="1" ht="12.75">
      <c r="A981" s="51"/>
      <c r="B981" s="122"/>
      <c r="C981" s="12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1"/>
      <c r="Z981" s="1314"/>
      <c r="AA981" s="1312"/>
      <c r="AB981" s="1312"/>
      <c r="AC981" s="1313"/>
      <c r="AD981" s="1293"/>
      <c r="AE981" s="1294"/>
      <c r="AF981" s="1294"/>
      <c r="AG981" s="1294"/>
      <c r="AH981" s="1294"/>
      <c r="AI981" s="1294"/>
      <c r="AJ981" s="1294"/>
      <c r="AK981" s="1295"/>
      <c r="AL981" s="105"/>
    </row>
    <row r="982" spans="1:38" ht="12.75" customHeight="1">
      <c r="A982" s="51"/>
      <c r="B982" s="122"/>
      <c r="C982" s="125"/>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314"/>
      <c r="AA982" s="1312"/>
      <c r="AB982" s="1312"/>
      <c r="AC982" s="1313"/>
      <c r="AD982" s="1293"/>
      <c r="AE982" s="1294"/>
      <c r="AF982" s="1294"/>
      <c r="AG982" s="1294"/>
      <c r="AH982" s="1294"/>
      <c r="AI982" s="1294"/>
      <c r="AJ982" s="1294"/>
      <c r="AK982" s="1295"/>
      <c r="AL982" s="105"/>
    </row>
    <row r="983" spans="1:38" ht="12.75" customHeight="1">
      <c r="A983" s="51"/>
      <c r="B983" s="122"/>
      <c r="C983" s="125"/>
      <c r="D983" s="949" t="s">
        <v>383</v>
      </c>
      <c r="E983" s="136"/>
      <c r="F983" s="136"/>
      <c r="G983" s="163"/>
      <c r="H983" s="7"/>
      <c r="J983" s="1309" t="s">
        <v>642</v>
      </c>
      <c r="K983" s="1310"/>
      <c r="L983" s="1310"/>
      <c r="M983" s="1310"/>
      <c r="N983" s="1310"/>
      <c r="O983" s="1310"/>
      <c r="P983" s="1310"/>
      <c r="Q983" s="1311"/>
      <c r="R983" s="7"/>
      <c r="S983" s="7"/>
      <c r="T983" s="164"/>
      <c r="U983" s="7"/>
      <c r="V983" s="1351" t="str">
        <f>IF(AA978="yes",(AD953*0.15),"")</f>
        <v/>
      </c>
      <c r="W983" s="1351"/>
      <c r="X983" s="1351"/>
      <c r="Y983" s="1352"/>
      <c r="Z983" s="1284"/>
      <c r="AA983" s="1285"/>
      <c r="AB983" s="1285"/>
      <c r="AC983" s="1286"/>
      <c r="AD983" s="1296"/>
      <c r="AE983" s="1297"/>
      <c r="AF983" s="1297"/>
      <c r="AG983" s="1297"/>
      <c r="AH983" s="1297"/>
      <c r="AI983" s="1297"/>
      <c r="AJ983" s="1297"/>
      <c r="AK983" s="1298"/>
      <c r="AL983" s="105"/>
    </row>
    <row r="984" spans="1:38" ht="12.75" customHeight="1">
      <c r="A984" s="51"/>
      <c r="B984" s="120"/>
      <c r="C984" s="121" t="s">
        <v>244</v>
      </c>
      <c r="D984" s="1252" t="s">
        <v>1619</v>
      </c>
      <c r="E984" s="1253"/>
      <c r="F984" s="1253"/>
      <c r="G984" s="1253"/>
      <c r="H984" s="1253"/>
      <c r="I984" s="1253"/>
      <c r="J984" s="1253"/>
      <c r="K984" s="1253"/>
      <c r="L984" s="1253"/>
      <c r="M984" s="1253"/>
      <c r="N984" s="1253"/>
      <c r="O984" s="1253"/>
      <c r="P984" s="1253"/>
      <c r="Q984" s="1253"/>
      <c r="R984" s="1253"/>
      <c r="S984" s="1253"/>
      <c r="T984" s="1253"/>
      <c r="U984" s="1253"/>
      <c r="V984" s="1253"/>
      <c r="W984" s="1253"/>
      <c r="X984" s="1253"/>
      <c r="Y984" s="1254"/>
      <c r="Z984" s="113"/>
      <c r="AA984" s="1244" t="s">
        <v>723</v>
      </c>
      <c r="AB984" s="1245"/>
      <c r="AC984" s="51"/>
      <c r="AD984" s="1290"/>
      <c r="AE984" s="1291"/>
      <c r="AF984" s="1291"/>
      <c r="AG984" s="1291"/>
      <c r="AH984" s="1291"/>
      <c r="AI984" s="1291"/>
      <c r="AJ984" s="1291"/>
      <c r="AK984" s="1292"/>
      <c r="AL984" s="105"/>
    </row>
    <row r="985" spans="1:38" ht="12.75" customHeight="1">
      <c r="A985" s="51"/>
      <c r="B985" s="113"/>
      <c r="C985" s="114"/>
      <c r="D985" s="1249" t="s">
        <v>1620</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307">
        <f>IF(AA984="yes","Please Enter Amount:",0)</f>
        <v>0</v>
      </c>
      <c r="AA985" s="1308"/>
      <c r="AB985" s="1308"/>
      <c r="AC985" s="1308"/>
      <c r="AD985" s="1293"/>
      <c r="AE985" s="1294"/>
      <c r="AF985" s="1294"/>
      <c r="AG985" s="1294"/>
      <c r="AH985" s="1294"/>
      <c r="AI985" s="1294"/>
      <c r="AJ985" s="1294"/>
      <c r="AK985" s="1295"/>
      <c r="AL985" s="105"/>
    </row>
    <row r="986" spans="1:38" s="743" customFormat="1" ht="12.75" customHeight="1">
      <c r="A986" s="51"/>
      <c r="B986" s="113"/>
      <c r="C986" s="114"/>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307"/>
      <c r="AA986" s="1308"/>
      <c r="AB986" s="1308"/>
      <c r="AC986" s="1308"/>
      <c r="AD986" s="1293"/>
      <c r="AE986" s="1294"/>
      <c r="AF986" s="1294"/>
      <c r="AG986" s="1294"/>
      <c r="AH986" s="1294"/>
      <c r="AI986" s="1294"/>
      <c r="AJ986" s="1294"/>
      <c r="AK986" s="1295"/>
      <c r="AL986" s="105"/>
    </row>
    <row r="987" spans="1:38" ht="12.75" customHeight="1">
      <c r="A987" s="51"/>
      <c r="B987" s="126"/>
      <c r="C987" s="125"/>
      <c r="D987" s="1255"/>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7"/>
      <c r="Z987" s="1307"/>
      <c r="AA987" s="1308"/>
      <c r="AB987" s="1308"/>
      <c r="AC987" s="1308"/>
      <c r="AD987" s="1296"/>
      <c r="AE987" s="1297"/>
      <c r="AF987" s="1297"/>
      <c r="AG987" s="1297"/>
      <c r="AH987" s="1297"/>
      <c r="AI987" s="1297"/>
      <c r="AJ987" s="1297"/>
      <c r="AK987" s="1298"/>
      <c r="AL987" s="105"/>
    </row>
    <row r="988" spans="1:38" ht="12.75" customHeight="1">
      <c r="A988" s="51"/>
      <c r="B988" s="120"/>
      <c r="C988" s="121" t="s">
        <v>249</v>
      </c>
      <c r="D988" s="1252" t="s">
        <v>1621</v>
      </c>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4"/>
      <c r="Z988" s="120"/>
      <c r="AA988" s="1170" t="s">
        <v>723</v>
      </c>
      <c r="AB988" s="1171"/>
      <c r="AC988" s="127"/>
      <c r="AD988" s="1172">
        <f>ROUND(IF(AA988="yes",(AD953*0.1),0),0)</f>
        <v>0</v>
      </c>
      <c r="AE988" s="1173"/>
      <c r="AF988" s="1173"/>
      <c r="AG988" s="1173"/>
      <c r="AH988" s="1173"/>
      <c r="AI988" s="1173"/>
      <c r="AJ988" s="1173"/>
      <c r="AK988" s="1174"/>
      <c r="AL988" s="105"/>
    </row>
    <row r="989" spans="1:38" s="743" customFormat="1" ht="12.75" customHeight="1">
      <c r="A989" s="51"/>
      <c r="B989" s="113"/>
      <c r="C989" s="114"/>
      <c r="D989" s="1249" t="s">
        <v>1622</v>
      </c>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3"/>
      <c r="AA989" s="115"/>
      <c r="AB989" s="115"/>
      <c r="AC989" s="115"/>
      <c r="AD989" s="1175"/>
      <c r="AE989" s="1176"/>
      <c r="AF989" s="1176"/>
      <c r="AG989" s="1176"/>
      <c r="AH989" s="1176"/>
      <c r="AI989" s="1176"/>
      <c r="AJ989" s="1176"/>
      <c r="AK989" s="1177"/>
      <c r="AL989" s="105"/>
    </row>
    <row r="990" spans="1:38" ht="12.75">
      <c r="A990" s="51"/>
      <c r="B990" s="113"/>
      <c r="C990" s="114"/>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7"/>
      <c r="Z990" s="113"/>
      <c r="AA990" s="115"/>
      <c r="AB990" s="115"/>
      <c r="AC990" s="115"/>
      <c r="AD990" s="1175"/>
      <c r="AE990" s="1176"/>
      <c r="AF990" s="1176"/>
      <c r="AG990" s="1176"/>
      <c r="AH990" s="1176"/>
      <c r="AI990" s="1176"/>
      <c r="AJ990" s="1176"/>
      <c r="AK990" s="1177"/>
      <c r="AL990" s="105"/>
    </row>
    <row r="991" spans="1:38" ht="12.75" customHeight="1">
      <c r="A991" s="51"/>
      <c r="B991" s="120"/>
      <c r="C991" s="555" t="s">
        <v>742</v>
      </c>
      <c r="D991" s="1252" t="s">
        <v>1623</v>
      </c>
      <c r="E991" s="1253"/>
      <c r="F991" s="1253"/>
      <c r="G991" s="1253"/>
      <c r="H991" s="1253"/>
      <c r="I991" s="1253"/>
      <c r="J991" s="1253"/>
      <c r="K991" s="1253"/>
      <c r="L991" s="1253"/>
      <c r="M991" s="1253"/>
      <c r="N991" s="1253"/>
      <c r="O991" s="1253"/>
      <c r="P991" s="1253"/>
      <c r="Q991" s="1253"/>
      <c r="R991" s="1253"/>
      <c r="S991" s="1253"/>
      <c r="T991" s="1253"/>
      <c r="U991" s="1253"/>
      <c r="V991" s="1253"/>
      <c r="W991" s="1253"/>
      <c r="X991" s="1253"/>
      <c r="Y991" s="1254"/>
      <c r="Z991" s="120"/>
      <c r="AA991" s="1170" t="s">
        <v>723</v>
      </c>
      <c r="AB991" s="1171"/>
      <c r="AC991" s="127"/>
      <c r="AD991" s="1172">
        <f>ROUND(IF(AA991="yes",(AD953*0.1),0),0)</f>
        <v>0</v>
      </c>
      <c r="AE991" s="1173"/>
      <c r="AF991" s="1173"/>
      <c r="AG991" s="1173"/>
      <c r="AH991" s="1173"/>
      <c r="AI991" s="1173"/>
      <c r="AJ991" s="1173"/>
      <c r="AK991" s="1174"/>
      <c r="AL991" s="105"/>
    </row>
    <row r="992" spans="1:38" s="706" customFormat="1" ht="12.75" customHeight="1">
      <c r="A992" s="51"/>
      <c r="B992" s="113"/>
      <c r="C992" s="114"/>
      <c r="D992" s="1249" t="s">
        <v>1624</v>
      </c>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3"/>
      <c r="AA992" s="115"/>
      <c r="AB992" s="115"/>
      <c r="AC992" s="115"/>
      <c r="AD992" s="1175"/>
      <c r="AE992" s="1176"/>
      <c r="AF992" s="1176"/>
      <c r="AG992" s="1176"/>
      <c r="AH992" s="1176"/>
      <c r="AI992" s="1176"/>
      <c r="AJ992" s="1176"/>
      <c r="AK992" s="1177"/>
      <c r="AL992" s="105"/>
    </row>
    <row r="993" spans="1:38" ht="12.75" customHeight="1">
      <c r="A993" s="51"/>
      <c r="B993" s="113"/>
      <c r="C993" s="114"/>
      <c r="D993" s="1249"/>
      <c r="E993" s="1250"/>
      <c r="F993" s="1250"/>
      <c r="G993" s="1250"/>
      <c r="H993" s="1250"/>
      <c r="I993" s="1250"/>
      <c r="J993" s="1250"/>
      <c r="K993" s="1250"/>
      <c r="L993" s="1250"/>
      <c r="M993" s="1250"/>
      <c r="N993" s="1250"/>
      <c r="O993" s="1250"/>
      <c r="P993" s="1250"/>
      <c r="Q993" s="1250"/>
      <c r="R993" s="1250"/>
      <c r="S993" s="1250"/>
      <c r="T993" s="1250"/>
      <c r="U993" s="1250"/>
      <c r="V993" s="1250"/>
      <c r="W993" s="1250"/>
      <c r="X993" s="1250"/>
      <c r="Y993" s="1251"/>
      <c r="Z993" s="113"/>
      <c r="AA993" s="115"/>
      <c r="AB993" s="115"/>
      <c r="AC993" s="115"/>
      <c r="AD993" s="552"/>
      <c r="AE993" s="553"/>
      <c r="AF993" s="553"/>
      <c r="AG993" s="553"/>
      <c r="AH993" s="553"/>
      <c r="AI993" s="553"/>
      <c r="AJ993" s="553"/>
      <c r="AK993" s="554"/>
      <c r="AL993" s="105"/>
    </row>
    <row r="994" spans="1:38" ht="12.75" customHeight="1">
      <c r="A994" s="51"/>
      <c r="B994" s="113"/>
      <c r="C994" s="114"/>
      <c r="D994" s="1249"/>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1"/>
      <c r="Z994" s="113"/>
      <c r="AA994" s="115"/>
      <c r="AB994" s="115"/>
      <c r="AC994" s="115"/>
      <c r="AD994" s="552"/>
      <c r="AE994" s="553"/>
      <c r="AF994" s="553"/>
      <c r="AG994" s="553"/>
      <c r="AH994" s="553"/>
      <c r="AI994" s="553"/>
      <c r="AJ994" s="553"/>
      <c r="AK994" s="554"/>
      <c r="AL994" s="105"/>
    </row>
    <row r="995" spans="1:38" ht="12.75" customHeight="1">
      <c r="A995" s="51"/>
      <c r="B995" s="113"/>
      <c r="C995" s="114"/>
      <c r="D995" s="1255"/>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2" t="s">
        <v>1628</v>
      </c>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4"/>
      <c r="Z996" s="120"/>
      <c r="AA996" s="1282" t="str">
        <f>IF(X999&gt;0,"Yes","No")</f>
        <v>Yes</v>
      </c>
      <c r="AB996" s="1283"/>
      <c r="AC996" s="128"/>
      <c r="AD996" s="1273">
        <f>IF((X999=0),"",AO906*AD953)</f>
        <v>18259768.68</v>
      </c>
      <c r="AE996" s="1274"/>
      <c r="AF996" s="1274"/>
      <c r="AG996" s="1274"/>
      <c r="AH996" s="1274"/>
      <c r="AI996" s="1274"/>
      <c r="AJ996" s="1274"/>
      <c r="AK996" s="1275"/>
      <c r="AL996" s="105"/>
    </row>
    <row r="997" spans="1:38" s="743" customFormat="1" ht="12.75" customHeight="1">
      <c r="A997" s="51"/>
      <c r="B997" s="113"/>
      <c r="C997" s="726"/>
      <c r="D997" s="1249" t="s">
        <v>1627</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1"/>
      <c r="Z997" s="113"/>
      <c r="AA997" s="727"/>
      <c r="AB997" s="727"/>
      <c r="AC997" s="124"/>
      <c r="AD997" s="1276"/>
      <c r="AE997" s="1277"/>
      <c r="AF997" s="1277"/>
      <c r="AG997" s="1277"/>
      <c r="AH997" s="1277"/>
      <c r="AI997" s="1277"/>
      <c r="AJ997" s="1277"/>
      <c r="AK997" s="1278"/>
      <c r="AL997" s="105"/>
    </row>
    <row r="998" spans="1:38" ht="12.75" customHeight="1">
      <c r="A998" s="51"/>
      <c r="B998" s="113"/>
      <c r="C998" s="726"/>
      <c r="D998" s="1249"/>
      <c r="E998" s="1250"/>
      <c r="F998" s="1250"/>
      <c r="G998" s="1250"/>
      <c r="H998" s="1250"/>
      <c r="I998" s="1250"/>
      <c r="J998" s="1250"/>
      <c r="K998" s="1250"/>
      <c r="L998" s="1250"/>
      <c r="M998" s="1250"/>
      <c r="N998" s="1250"/>
      <c r="O998" s="1250"/>
      <c r="P998" s="1250"/>
      <c r="Q998" s="1250"/>
      <c r="R998" s="1250"/>
      <c r="S998" s="1250"/>
      <c r="T998" s="1250"/>
      <c r="U998" s="1250"/>
      <c r="V998" s="1250"/>
      <c r="W998" s="1250"/>
      <c r="X998" s="1250"/>
      <c r="Y998" s="1251"/>
      <c r="Z998" s="113"/>
      <c r="AA998" s="727"/>
      <c r="AB998" s="727"/>
      <c r="AC998" s="124"/>
      <c r="AD998" s="1276"/>
      <c r="AE998" s="1277"/>
      <c r="AF998" s="1277"/>
      <c r="AG998" s="1277"/>
      <c r="AH998" s="1277"/>
      <c r="AI998" s="1277"/>
      <c r="AJ998" s="1277"/>
      <c r="AK998" s="1278"/>
      <c r="AL998" s="105"/>
    </row>
    <row r="999" spans="1:38" ht="12.75" customHeight="1">
      <c r="A999" s="51"/>
      <c r="B999" s="118"/>
      <c r="C999" s="119"/>
      <c r="D999" s="207" t="s">
        <v>1082</v>
      </c>
      <c r="E999" s="208"/>
      <c r="F999" s="208"/>
      <c r="G999" s="208"/>
      <c r="H999" s="104"/>
      <c r="I999" s="1303">
        <f>AM905</f>
        <v>68</v>
      </c>
      <c r="J999" s="1304"/>
      <c r="K999" s="51"/>
      <c r="L999" s="104"/>
      <c r="M999" s="208"/>
      <c r="N999" s="208"/>
      <c r="O999" s="208"/>
      <c r="P999" s="208"/>
      <c r="Q999" s="208"/>
      <c r="R999" s="208"/>
      <c r="S999" s="208"/>
      <c r="T999" s="208"/>
      <c r="U999" s="208"/>
      <c r="V999" s="104"/>
      <c r="W999" s="209" t="s">
        <v>1083</v>
      </c>
      <c r="X999" s="1305">
        <f>AT614</f>
        <v>35</v>
      </c>
      <c r="Y999" s="1306"/>
      <c r="Z999" s="1284"/>
      <c r="AA999" s="1285"/>
      <c r="AB999" s="1285"/>
      <c r="AC999" s="1286"/>
      <c r="AD999" s="1279"/>
      <c r="AE999" s="1280"/>
      <c r="AF999" s="1280"/>
      <c r="AG999" s="1280"/>
      <c r="AH999" s="1280"/>
      <c r="AI999" s="1280"/>
      <c r="AJ999" s="1280"/>
      <c r="AK999" s="1281"/>
      <c r="AL999" s="105"/>
    </row>
    <row r="1000" spans="1:38" ht="12.75" customHeight="1">
      <c r="A1000" s="51"/>
      <c r="B1000" s="120"/>
      <c r="C1000" s="206" t="s">
        <v>1156</v>
      </c>
      <c r="D1000" s="1252" t="s">
        <v>1626</v>
      </c>
      <c r="E1000" s="1253"/>
      <c r="F1000" s="1253"/>
      <c r="G1000" s="1253"/>
      <c r="H1000" s="1253"/>
      <c r="I1000" s="1253"/>
      <c r="J1000" s="1253"/>
      <c r="K1000" s="1253"/>
      <c r="L1000" s="1253"/>
      <c r="M1000" s="1253"/>
      <c r="N1000" s="1253"/>
      <c r="O1000" s="1253"/>
      <c r="P1000" s="1253"/>
      <c r="Q1000" s="1253"/>
      <c r="R1000" s="1253"/>
      <c r="S1000" s="1253"/>
      <c r="T1000" s="1253"/>
      <c r="U1000" s="1253"/>
      <c r="V1000" s="1253"/>
      <c r="W1000" s="1253"/>
      <c r="X1000" s="1253"/>
      <c r="Y1000" s="1254"/>
      <c r="Z1000" s="113"/>
      <c r="AA1000" s="1282" t="str">
        <f>IF(X1003&gt;0,"Yes","No")</f>
        <v>Yes</v>
      </c>
      <c r="AB1000" s="1283"/>
      <c r="AC1000" s="124"/>
      <c r="AD1000" s="1273">
        <f>IF((X1003=0)," ",(2*AO907)*AD953)</f>
        <v>10024971.040000001</v>
      </c>
      <c r="AE1000" s="1274"/>
      <c r="AF1000" s="1274"/>
      <c r="AG1000" s="1274"/>
      <c r="AH1000" s="1274"/>
      <c r="AI1000" s="1274"/>
      <c r="AJ1000" s="1274"/>
      <c r="AK1000" s="1275"/>
      <c r="AL1000" s="105"/>
    </row>
    <row r="1001" spans="1:38" s="743" customFormat="1" ht="12.75" customHeight="1">
      <c r="A1001" s="51"/>
      <c r="B1001" s="113"/>
      <c r="C1001" s="726"/>
      <c r="D1001" s="1249" t="s">
        <v>1625</v>
      </c>
      <c r="E1001" s="1250"/>
      <c r="F1001" s="1250"/>
      <c r="G1001" s="1250"/>
      <c r="H1001" s="1250"/>
      <c r="I1001" s="1250"/>
      <c r="J1001" s="1250"/>
      <c r="K1001" s="1250"/>
      <c r="L1001" s="1250"/>
      <c r="M1001" s="1250"/>
      <c r="N1001" s="1250"/>
      <c r="O1001" s="1250"/>
      <c r="P1001" s="1250"/>
      <c r="Q1001" s="1250"/>
      <c r="R1001" s="1250"/>
      <c r="S1001" s="1250"/>
      <c r="T1001" s="1250"/>
      <c r="U1001" s="1250"/>
      <c r="V1001" s="1250"/>
      <c r="W1001" s="1250"/>
      <c r="X1001" s="1250"/>
      <c r="Y1001" s="1251"/>
      <c r="Z1001" s="113"/>
      <c r="AA1001" s="727"/>
      <c r="AB1001" s="727"/>
      <c r="AC1001" s="124"/>
      <c r="AD1001" s="1276"/>
      <c r="AE1001" s="1277"/>
      <c r="AF1001" s="1277"/>
      <c r="AG1001" s="1277"/>
      <c r="AH1001" s="1277"/>
      <c r="AI1001" s="1277"/>
      <c r="AJ1001" s="1277"/>
      <c r="AK1001" s="1278"/>
      <c r="AL1001" s="105"/>
    </row>
    <row r="1002" spans="1:38" ht="12.75" customHeight="1">
      <c r="A1002" s="51"/>
      <c r="B1002" s="113"/>
      <c r="C1002" s="124"/>
      <c r="D1002" s="1249"/>
      <c r="E1002" s="1250"/>
      <c r="F1002" s="1250"/>
      <c r="G1002" s="1250"/>
      <c r="H1002" s="1250"/>
      <c r="I1002" s="1250"/>
      <c r="J1002" s="1250"/>
      <c r="K1002" s="1250"/>
      <c r="L1002" s="1250"/>
      <c r="M1002" s="1250"/>
      <c r="N1002" s="1250"/>
      <c r="O1002" s="1250"/>
      <c r="P1002" s="1250"/>
      <c r="Q1002" s="1250"/>
      <c r="R1002" s="1250"/>
      <c r="S1002" s="1250"/>
      <c r="T1002" s="1250"/>
      <c r="U1002" s="1250"/>
      <c r="V1002" s="1250"/>
      <c r="W1002" s="1250"/>
      <c r="X1002" s="1250"/>
      <c r="Y1002" s="1251"/>
      <c r="Z1002" s="1314"/>
      <c r="AA1002" s="1312"/>
      <c r="AB1002" s="1312"/>
      <c r="AC1002" s="1313"/>
      <c r="AD1002" s="1276"/>
      <c r="AE1002" s="1277"/>
      <c r="AF1002" s="1277"/>
      <c r="AG1002" s="1277"/>
      <c r="AH1002" s="1277"/>
      <c r="AI1002" s="1277"/>
      <c r="AJ1002" s="1277"/>
      <c r="AK1002" s="1278"/>
      <c r="AL1002" s="105"/>
    </row>
    <row r="1003" spans="1:38" ht="12.75" customHeight="1">
      <c r="A1003" s="51"/>
      <c r="B1003" s="118"/>
      <c r="C1003" s="119"/>
      <c r="D1003" s="207" t="s">
        <v>1082</v>
      </c>
      <c r="E1003" s="208"/>
      <c r="F1003" s="208"/>
      <c r="G1003" s="208"/>
      <c r="H1003" s="208"/>
      <c r="I1003" s="1303">
        <f>AM905</f>
        <v>68</v>
      </c>
      <c r="J1003" s="1304"/>
      <c r="K1003" s="51"/>
      <c r="L1003" s="208"/>
      <c r="M1003" s="208"/>
      <c r="N1003" s="208"/>
      <c r="O1003" s="208"/>
      <c r="P1003" s="208"/>
      <c r="Q1003" s="208"/>
      <c r="R1003" s="208"/>
      <c r="S1003" s="208"/>
      <c r="T1003" s="208"/>
      <c r="U1003" s="208"/>
      <c r="V1003" s="208"/>
      <c r="W1003" s="209" t="s">
        <v>1084</v>
      </c>
      <c r="X1003" s="1305">
        <f>AX614</f>
        <v>10</v>
      </c>
      <c r="Y1003" s="1306"/>
      <c r="Z1003" s="1284"/>
      <c r="AA1003" s="1285"/>
      <c r="AB1003" s="1285"/>
      <c r="AC1003" s="1286"/>
      <c r="AD1003" s="1279"/>
      <c r="AE1003" s="1280"/>
      <c r="AF1003" s="1280"/>
      <c r="AG1003" s="1280"/>
      <c r="AH1003" s="1280"/>
      <c r="AI1003" s="1280"/>
      <c r="AJ1003" s="1280"/>
      <c r="AK1003" s="1281"/>
      <c r="AL1003" s="105"/>
    </row>
    <row r="1004" spans="1:38" ht="12.75" customHeight="1">
      <c r="A1004" s="51"/>
      <c r="B1004" s="161"/>
      <c r="C1004" s="162"/>
      <c r="D1004" s="1334" t="s">
        <v>560</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67">
        <f>SUM(AD953:AK1003)</f>
        <v>71248901.719999999</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4" customHeight="1">
      <c r="A1012" s="51"/>
      <c r="B1012" s="116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9"/>
      <c r="D1012" s="1169"/>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69"/>
      <c r="AF1012" s="1169"/>
      <c r="AG1012" s="1169"/>
      <c r="AH1012" s="1169"/>
      <c r="AI1012" s="1169"/>
      <c r="AJ1012" s="1169"/>
      <c r="AK1012" s="1169"/>
      <c r="AL1012" s="105"/>
    </row>
    <row r="1013" spans="1:38" ht="12.4" customHeight="1">
      <c r="A1013" s="131"/>
      <c r="B1013" s="1169"/>
      <c r="C1013" s="1169"/>
      <c r="D1013" s="1169"/>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69"/>
      <c r="AF1013" s="1169"/>
      <c r="AG1013" s="1169"/>
      <c r="AH1013" s="1169"/>
      <c r="AI1013" s="1169"/>
      <c r="AJ1013" s="1169"/>
      <c r="AK1013" s="1169"/>
      <c r="AL1013" s="105"/>
    </row>
    <row r="1014" spans="1:38" ht="12.4" customHeight="1">
      <c r="A1014" s="131"/>
      <c r="B1014" s="1168">
        <f>IF(ISNA(IF((AD978&gt;(AD953*0.15)),"(f) cannot be greater than 15% of unadjusted eligible basis.",0)),"",(IF((AD978&gt;(AD953*0.15)),"(f) cannot be greater than 15% of unadjusted eligible basis.",0)))</f>
        <v>0</v>
      </c>
      <c r="C1014" s="1168"/>
      <c r="D1014" s="1168"/>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8"/>
      <c r="AF1014" s="1168"/>
      <c r="AG1014" s="1168"/>
      <c r="AH1014" s="1168"/>
      <c r="AI1014" s="1168"/>
      <c r="AJ1014" s="1168"/>
      <c r="AK1014" s="1168"/>
      <c r="AL1014" s="105"/>
    </row>
    <row r="1015" spans="1:38" ht="12.4" customHeight="1" thickBot="1">
      <c r="A1015" s="1266" t="s">
        <v>876</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4"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4"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4"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4"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4"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4"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4"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4"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4"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4"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4"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4"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4"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4"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4"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4"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4"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4"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4"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4"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4"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4"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4"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4"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4"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4"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4"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4"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4"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4"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4"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4"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4"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4"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4"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4"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P79" zoomScale="80" zoomScaleNormal="100" zoomScaleSheetLayoutView="80" workbookViewId="0">
      <selection activeCell="T98" sqref="T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596</v>
      </c>
      <c r="B1" s="197"/>
      <c r="C1" s="197"/>
      <c r="D1" s="197"/>
      <c r="E1" s="198"/>
      <c r="F1" s="1597" t="s">
        <v>672</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1)CCRC TE Permanent Loan</v>
      </c>
      <c r="G2" s="217" t="str">
        <f>Application!B619&amp;Application!C619</f>
        <v>2)City of South San Francisco - Assumed Loan</v>
      </c>
      <c r="H2" s="217" t="str">
        <f>Application!B620&amp;Application!C620</f>
        <v>3)San Mateo County AHF 7.0</v>
      </c>
      <c r="I2" s="217" t="str">
        <f>Application!B621&amp;Application!C621</f>
        <v>4)San Mateo County CDBG</v>
      </c>
      <c r="J2" s="217" t="str">
        <f>Application!B622&amp;Application!C622</f>
        <v>5)Subordinate Loan Deferred/Accrued Interest</v>
      </c>
      <c r="K2" s="217" t="str">
        <f>Application!B623&amp;Application!C623</f>
        <v>6)Seller Carryback Loan</v>
      </c>
      <c r="L2" s="217" t="str">
        <f>Application!B624&amp;Application!C624</f>
        <v>7)Sponsor Loan</v>
      </c>
      <c r="M2" s="217" t="str">
        <f>Application!B625&amp;Application!C625</f>
        <v>8)Deferred Developer Fee</v>
      </c>
      <c r="N2" s="217" t="str">
        <f>Application!B626&amp;Application!C626</f>
        <v>9)GP Capital Contribution - Developer Fee</v>
      </c>
      <c r="O2" s="217" t="str">
        <f>Application!B627&amp;Application!C627</f>
        <v>10)GP Capital Contrubution</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1999000</v>
      </c>
      <c r="C4" s="225">
        <f>1223000+776000</f>
        <v>1999000</v>
      </c>
      <c r="D4" s="225"/>
      <c r="E4" s="225"/>
      <c r="F4" s="225"/>
      <c r="G4" s="225"/>
      <c r="H4" s="225"/>
      <c r="I4" s="225"/>
      <c r="J4" s="225"/>
      <c r="K4" s="225">
        <f>C4-O4</f>
        <v>1998900</v>
      </c>
      <c r="L4" s="225"/>
      <c r="M4" s="225"/>
      <c r="N4" s="225"/>
      <c r="O4" s="225">
        <f>Application!AG627</f>
        <v>100</v>
      </c>
      <c r="P4" s="225"/>
      <c r="Q4" s="225"/>
      <c r="R4" s="916">
        <f>SUM(E4:Q4)</f>
        <v>1999000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1999000</v>
      </c>
      <c r="C8" s="224">
        <f t="shared" ref="C8:Q8" si="0">SUM(C4:C7)</f>
        <v>1999000</v>
      </c>
      <c r="D8" s="224">
        <f t="shared" si="0"/>
        <v>0</v>
      </c>
      <c r="E8" s="224">
        <f t="shared" si="0"/>
        <v>0</v>
      </c>
      <c r="F8" s="224">
        <f t="shared" si="0"/>
        <v>0</v>
      </c>
      <c r="G8" s="224">
        <f t="shared" si="0"/>
        <v>0</v>
      </c>
      <c r="H8" s="224">
        <f t="shared" si="0"/>
        <v>0</v>
      </c>
      <c r="I8" s="224">
        <f t="shared" si="0"/>
        <v>0</v>
      </c>
      <c r="J8" s="224">
        <f t="shared" si="0"/>
        <v>0</v>
      </c>
      <c r="K8" s="224">
        <f t="shared" si="0"/>
        <v>1998900</v>
      </c>
      <c r="L8" s="224">
        <f t="shared" si="0"/>
        <v>0</v>
      </c>
      <c r="M8" s="224">
        <f t="shared" si="0"/>
        <v>0</v>
      </c>
      <c r="N8" s="224">
        <f t="shared" si="0"/>
        <v>0</v>
      </c>
      <c r="O8" s="224">
        <f t="shared" si="0"/>
        <v>100</v>
      </c>
      <c r="P8" s="224"/>
      <c r="Q8" s="224">
        <f t="shared" si="0"/>
        <v>0</v>
      </c>
      <c r="R8" s="558">
        <f>SUM(R4:R7)</f>
        <v>1999000</v>
      </c>
      <c r="S8" s="226"/>
      <c r="T8" s="226"/>
      <c r="U8" s="221"/>
    </row>
    <row r="9" spans="1:21" s="222" customFormat="1">
      <c r="A9" s="223" t="s">
        <v>645</v>
      </c>
      <c r="B9" s="224">
        <f>SUM(C9+D9)</f>
        <v>26001000</v>
      </c>
      <c r="C9" s="225">
        <f>10777000+15224000</f>
        <v>26001000</v>
      </c>
      <c r="D9" s="225"/>
      <c r="E9" s="225">
        <f>C9-G9-K9</f>
        <v>9245184</v>
      </c>
      <c r="F9" s="225"/>
      <c r="G9" s="225">
        <f>Application!AG619</f>
        <v>8677431</v>
      </c>
      <c r="H9" s="225"/>
      <c r="I9" s="225"/>
      <c r="J9" s="225"/>
      <c r="K9" s="225">
        <f>Application!AG623-'Sources and Uses Budget'!K4</f>
        <v>8078385</v>
      </c>
      <c r="L9" s="225"/>
      <c r="M9" s="225"/>
      <c r="N9" s="225"/>
      <c r="O9" s="225"/>
      <c r="P9" s="225"/>
      <c r="Q9" s="225"/>
      <c r="R9" s="916">
        <f>SUM(E9:Q9)</f>
        <v>26001000</v>
      </c>
      <c r="S9" s="226"/>
      <c r="T9" s="225">
        <f>C9</f>
        <v>26001000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26001000</v>
      </c>
      <c r="C11" s="224">
        <f t="shared" ref="C11:Q11" si="1">SUM(C9:C10)</f>
        <v>26001000</v>
      </c>
      <c r="D11" s="224">
        <f t="shared" si="1"/>
        <v>0</v>
      </c>
      <c r="E11" s="224">
        <f t="shared" si="1"/>
        <v>9245184</v>
      </c>
      <c r="F11" s="224">
        <f t="shared" si="1"/>
        <v>0</v>
      </c>
      <c r="G11" s="224">
        <f t="shared" si="1"/>
        <v>8677431</v>
      </c>
      <c r="H11" s="224">
        <f t="shared" si="1"/>
        <v>0</v>
      </c>
      <c r="I11" s="224">
        <f t="shared" si="1"/>
        <v>0</v>
      </c>
      <c r="J11" s="224">
        <f t="shared" si="1"/>
        <v>0</v>
      </c>
      <c r="K11" s="224">
        <f t="shared" si="1"/>
        <v>8078385</v>
      </c>
      <c r="L11" s="224">
        <f t="shared" si="1"/>
        <v>0</v>
      </c>
      <c r="M11" s="224">
        <f t="shared" si="1"/>
        <v>0</v>
      </c>
      <c r="N11" s="224">
        <f t="shared" si="1"/>
        <v>0</v>
      </c>
      <c r="O11" s="224">
        <f t="shared" si="1"/>
        <v>0</v>
      </c>
      <c r="P11" s="224"/>
      <c r="Q11" s="224">
        <f t="shared" si="1"/>
        <v>0</v>
      </c>
      <c r="R11" s="558">
        <f>SUM(R9:R10)</f>
        <v>26001000</v>
      </c>
      <c r="S11" s="226"/>
      <c r="T11" s="228">
        <f>SUM(T9:T10)</f>
        <v>26001000</v>
      </c>
      <c r="U11" s="221"/>
    </row>
    <row r="12" spans="1:21" s="222" customFormat="1">
      <c r="A12" s="227" t="s">
        <v>91</v>
      </c>
      <c r="B12" s="224">
        <f t="shared" ref="B12:Q12" si="2">SUM(B8+B11)</f>
        <v>28000000</v>
      </c>
      <c r="C12" s="224">
        <f t="shared" si="2"/>
        <v>28000000</v>
      </c>
      <c r="D12" s="224">
        <f t="shared" si="2"/>
        <v>0</v>
      </c>
      <c r="E12" s="224">
        <f t="shared" si="2"/>
        <v>9245184</v>
      </c>
      <c r="F12" s="224">
        <f t="shared" si="2"/>
        <v>0</v>
      </c>
      <c r="G12" s="224">
        <f t="shared" si="2"/>
        <v>8677431</v>
      </c>
      <c r="H12" s="224">
        <f t="shared" si="2"/>
        <v>0</v>
      </c>
      <c r="I12" s="224">
        <f t="shared" si="2"/>
        <v>0</v>
      </c>
      <c r="J12" s="224">
        <f t="shared" si="2"/>
        <v>0</v>
      </c>
      <c r="K12" s="224">
        <f t="shared" si="2"/>
        <v>10077285</v>
      </c>
      <c r="L12" s="224">
        <f t="shared" si="2"/>
        <v>0</v>
      </c>
      <c r="M12" s="224">
        <f t="shared" si="2"/>
        <v>0</v>
      </c>
      <c r="N12" s="224">
        <f t="shared" si="2"/>
        <v>0</v>
      </c>
      <c r="O12" s="224">
        <f t="shared" si="2"/>
        <v>100</v>
      </c>
      <c r="P12" s="224"/>
      <c r="Q12" s="224">
        <f t="shared" si="2"/>
        <v>0</v>
      </c>
      <c r="R12" s="558">
        <f>SUM(R8+R11)</f>
        <v>28000000</v>
      </c>
      <c r="S12" s="226"/>
      <c r="T12" s="226"/>
      <c r="U12" s="221"/>
    </row>
    <row r="13" spans="1:21" s="222" customFormat="1">
      <c r="A13" s="466" t="s">
        <v>1001</v>
      </c>
      <c r="B13" s="224">
        <f>SUM(C13+D13)</f>
        <v>100000</v>
      </c>
      <c r="C13" s="225">
        <f>100000</f>
        <v>100000</v>
      </c>
      <c r="D13" s="225"/>
      <c r="E13" s="225"/>
      <c r="F13" s="225"/>
      <c r="G13" s="225"/>
      <c r="H13" s="225">
        <f>C13</f>
        <v>100000</v>
      </c>
      <c r="I13" s="225"/>
      <c r="J13" s="225"/>
      <c r="K13" s="225"/>
      <c r="L13" s="225"/>
      <c r="M13" s="225"/>
      <c r="N13" s="225"/>
      <c r="O13" s="225"/>
      <c r="P13" s="225"/>
      <c r="Q13" s="225"/>
      <c r="R13" s="916">
        <f>SUM(E13:Q13)</f>
        <v>100000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f>C17</f>
        <v>0</v>
      </c>
      <c r="T17" s="225"/>
      <c r="U17" s="221"/>
    </row>
    <row r="18" spans="1:21" s="222" customFormat="1">
      <c r="A18" s="223" t="s">
        <v>650</v>
      </c>
      <c r="B18" s="224">
        <f t="shared" si="3"/>
        <v>14679068</v>
      </c>
      <c r="C18" s="225">
        <f>14253806+425262</f>
        <v>14679068</v>
      </c>
      <c r="D18" s="225"/>
      <c r="E18" s="225">
        <f>C18-F18-H18-L18</f>
        <v>6458856</v>
      </c>
      <c r="F18" s="225">
        <f>1140212</f>
        <v>1140212</v>
      </c>
      <c r="G18" s="225"/>
      <c r="H18" s="225">
        <f>Application!AG620-'Sources and Uses Budget'!H13</f>
        <v>150000</v>
      </c>
      <c r="I18" s="225"/>
      <c r="J18" s="225"/>
      <c r="K18" s="225"/>
      <c r="L18" s="225">
        <f>Application!AG624</f>
        <v>6930000</v>
      </c>
      <c r="M18" s="225"/>
      <c r="N18" s="225"/>
      <c r="O18" s="225"/>
      <c r="P18" s="225"/>
      <c r="Q18" s="225"/>
      <c r="R18" s="916">
        <f>SUM(E18:Q18)</f>
        <v>14679068</v>
      </c>
      <c r="S18" s="225">
        <f t="shared" ref="S18:S24" si="4">C18</f>
        <v>14679068</v>
      </c>
      <c r="T18" s="225"/>
      <c r="U18" s="221"/>
    </row>
    <row r="19" spans="1:21" s="222" customFormat="1">
      <c r="A19" s="223" t="s">
        <v>651</v>
      </c>
      <c r="B19" s="224">
        <f t="shared" si="3"/>
        <v>926497</v>
      </c>
      <c r="C19" s="225">
        <f>926497</f>
        <v>926497</v>
      </c>
      <c r="D19" s="225"/>
      <c r="E19" s="225">
        <f>C19</f>
        <v>926497</v>
      </c>
      <c r="F19" s="225"/>
      <c r="G19" s="225"/>
      <c r="H19" s="225"/>
      <c r="I19" s="225"/>
      <c r="J19" s="225"/>
      <c r="K19" s="225"/>
      <c r="L19" s="225"/>
      <c r="M19" s="225"/>
      <c r="N19" s="225"/>
      <c r="O19" s="225"/>
      <c r="P19" s="225"/>
      <c r="Q19" s="225"/>
      <c r="R19" s="916">
        <f>SUM(E19:Q19)</f>
        <v>926497</v>
      </c>
      <c r="S19" s="225">
        <f t="shared" si="4"/>
        <v>926497</v>
      </c>
      <c r="T19" s="225"/>
      <c r="U19" s="221"/>
    </row>
    <row r="20" spans="1:21" s="222" customFormat="1">
      <c r="A20" s="223" t="s">
        <v>144</v>
      </c>
      <c r="B20" s="224">
        <f t="shared" si="3"/>
        <v>783959</v>
      </c>
      <c r="C20" s="225">
        <f>783959</f>
        <v>783959</v>
      </c>
      <c r="D20" s="225"/>
      <c r="E20" s="225">
        <f>C20</f>
        <v>783959</v>
      </c>
      <c r="F20" s="225"/>
      <c r="G20" s="225"/>
      <c r="H20" s="225"/>
      <c r="I20" s="225"/>
      <c r="J20" s="225"/>
      <c r="K20" s="225"/>
      <c r="L20" s="225"/>
      <c r="M20" s="225"/>
      <c r="N20" s="225"/>
      <c r="O20" s="225"/>
      <c r="P20" s="225"/>
      <c r="Q20" s="225"/>
      <c r="R20" s="916">
        <f t="shared" ref="R20:R26" si="5">SUM(E20:Q20)</f>
        <v>783959</v>
      </c>
      <c r="S20" s="225">
        <f t="shared" si="4"/>
        <v>783959</v>
      </c>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5"/>
        <v>0</v>
      </c>
      <c r="S21" s="225">
        <f t="shared" si="4"/>
        <v>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f t="shared" si="4"/>
        <v>0</v>
      </c>
      <c r="T22" s="225"/>
      <c r="U22" s="221"/>
    </row>
    <row r="23" spans="1:21" s="222" customFormat="1">
      <c r="A23" s="223" t="s">
        <v>147</v>
      </c>
      <c r="B23" s="224">
        <f t="shared" si="3"/>
        <v>391980</v>
      </c>
      <c r="C23" s="225">
        <f>391980</f>
        <v>391980</v>
      </c>
      <c r="D23" s="225"/>
      <c r="E23" s="225"/>
      <c r="F23" s="225">
        <f>C23-I23</f>
        <v>268955</v>
      </c>
      <c r="G23" s="225"/>
      <c r="H23" s="225"/>
      <c r="I23" s="225">
        <f>123025</f>
        <v>123025</v>
      </c>
      <c r="J23" s="225"/>
      <c r="K23" s="225"/>
      <c r="L23" s="225"/>
      <c r="M23" s="225"/>
      <c r="N23" s="225"/>
      <c r="O23" s="225"/>
      <c r="P23" s="225"/>
      <c r="Q23" s="225"/>
      <c r="R23" s="916">
        <f t="shared" si="5"/>
        <v>391980</v>
      </c>
      <c r="S23" s="225">
        <f t="shared" si="4"/>
        <v>391980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f t="shared" si="4"/>
        <v>0</v>
      </c>
      <c r="T24" s="225"/>
      <c r="U24" s="221"/>
    </row>
    <row r="25" spans="1:21" s="222" customFormat="1">
      <c r="A25" s="227" t="s">
        <v>140</v>
      </c>
      <c r="B25" s="224">
        <f t="shared" si="3"/>
        <v>16781504</v>
      </c>
      <c r="C25" s="224">
        <f>SUM(C17:C24)</f>
        <v>16781504</v>
      </c>
      <c r="D25" s="224">
        <f t="shared" ref="D25:Q25" si="6">SUM(D17:D24)</f>
        <v>0</v>
      </c>
      <c r="E25" s="224">
        <f t="shared" si="6"/>
        <v>8169312</v>
      </c>
      <c r="F25" s="224">
        <f t="shared" si="6"/>
        <v>1409167</v>
      </c>
      <c r="G25" s="224">
        <f t="shared" si="6"/>
        <v>0</v>
      </c>
      <c r="H25" s="224">
        <f t="shared" si="6"/>
        <v>150000</v>
      </c>
      <c r="I25" s="224">
        <f t="shared" si="6"/>
        <v>123025</v>
      </c>
      <c r="J25" s="224">
        <f t="shared" si="6"/>
        <v>0</v>
      </c>
      <c r="K25" s="224">
        <f t="shared" si="6"/>
        <v>0</v>
      </c>
      <c r="L25" s="224">
        <f t="shared" si="6"/>
        <v>6930000</v>
      </c>
      <c r="M25" s="224">
        <f t="shared" si="6"/>
        <v>0</v>
      </c>
      <c r="N25" s="224">
        <f t="shared" si="6"/>
        <v>0</v>
      </c>
      <c r="O25" s="224">
        <f t="shared" si="6"/>
        <v>0</v>
      </c>
      <c r="P25" s="224">
        <f t="shared" si="6"/>
        <v>0</v>
      </c>
      <c r="Q25" s="224">
        <f t="shared" si="6"/>
        <v>0</v>
      </c>
      <c r="R25" s="558">
        <f>SUM(R17:R24)</f>
        <v>16781504</v>
      </c>
      <c r="S25" s="228">
        <f>SUM(S17:S24)</f>
        <v>16781504</v>
      </c>
      <c r="T25" s="228">
        <f>SUM(T17:T24)</f>
        <v>0</v>
      </c>
      <c r="U25" s="221"/>
    </row>
    <row r="26" spans="1:21" s="222" customFormat="1">
      <c r="A26" s="227" t="s">
        <v>148</v>
      </c>
      <c r="B26" s="224">
        <f>SUM(C26:D26)</f>
        <v>2305700</v>
      </c>
      <c r="C26" s="225">
        <f>2305700</f>
        <v>2305700</v>
      </c>
      <c r="D26" s="225"/>
      <c r="E26" s="225"/>
      <c r="F26" s="225">
        <f>C26</f>
        <v>2305700</v>
      </c>
      <c r="G26" s="225"/>
      <c r="H26" s="225"/>
      <c r="I26" s="225"/>
      <c r="J26" s="225"/>
      <c r="K26" s="225"/>
      <c r="L26" s="225"/>
      <c r="M26" s="225"/>
      <c r="N26" s="225"/>
      <c r="O26" s="225"/>
      <c r="P26" s="225"/>
      <c r="Q26" s="225"/>
      <c r="R26" s="916">
        <f t="shared" si="5"/>
        <v>2305700</v>
      </c>
      <c r="S26" s="225">
        <f>C26</f>
        <v>2305700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405000</v>
      </c>
      <c r="C38" s="225">
        <f>405000</f>
        <v>405000</v>
      </c>
      <c r="D38" s="225"/>
      <c r="E38" s="225"/>
      <c r="F38" s="225"/>
      <c r="G38" s="225"/>
      <c r="H38" s="225"/>
      <c r="I38" s="225">
        <f>C38</f>
        <v>405000</v>
      </c>
      <c r="J38" s="225"/>
      <c r="K38" s="225"/>
      <c r="L38" s="225"/>
      <c r="M38" s="225"/>
      <c r="N38" s="225"/>
      <c r="O38" s="225"/>
      <c r="P38" s="225"/>
      <c r="Q38" s="225"/>
      <c r="R38" s="916">
        <f>SUM(E38:Q38)</f>
        <v>405000</v>
      </c>
      <c r="S38" s="225">
        <f>C38</f>
        <v>405000</v>
      </c>
      <c r="T38" s="225"/>
      <c r="U38" s="221"/>
    </row>
    <row r="39" spans="1:21" s="222" customFormat="1">
      <c r="A39" s="223" t="s">
        <v>153</v>
      </c>
      <c r="B39" s="224">
        <f>SUM(C39+D39)</f>
        <v>143193</v>
      </c>
      <c r="C39" s="225">
        <f>143193</f>
        <v>143193</v>
      </c>
      <c r="D39" s="225"/>
      <c r="E39" s="225"/>
      <c r="F39" s="225">
        <f>C39</f>
        <v>143193</v>
      </c>
      <c r="G39" s="225"/>
      <c r="H39" s="225"/>
      <c r="I39" s="225"/>
      <c r="J39" s="225"/>
      <c r="K39" s="225"/>
      <c r="L39" s="225"/>
      <c r="M39" s="225"/>
      <c r="N39" s="225"/>
      <c r="O39" s="225"/>
      <c r="P39" s="225"/>
      <c r="Q39" s="225"/>
      <c r="R39" s="916">
        <f>SUM(E39:Q39)</f>
        <v>143193</v>
      </c>
      <c r="S39" s="225">
        <f>C39</f>
        <v>143193</v>
      </c>
      <c r="T39" s="225"/>
      <c r="U39" s="221"/>
    </row>
    <row r="40" spans="1:21" s="222" customFormat="1">
      <c r="A40" s="227" t="s">
        <v>154</v>
      </c>
      <c r="B40" s="224">
        <f>SUM(C40:D40)</f>
        <v>548193</v>
      </c>
      <c r="C40" s="224">
        <f>SUM(C37:C39)</f>
        <v>548193</v>
      </c>
      <c r="D40" s="224">
        <f>SUM(D37:D39)</f>
        <v>0</v>
      </c>
      <c r="E40" s="224">
        <f t="shared" ref="E40:T40" si="10">SUM(E38:E39)</f>
        <v>0</v>
      </c>
      <c r="F40" s="224">
        <f t="shared" si="10"/>
        <v>143193</v>
      </c>
      <c r="G40" s="224">
        <f t="shared" si="10"/>
        <v>0</v>
      </c>
      <c r="H40" s="224">
        <f t="shared" si="10"/>
        <v>0</v>
      </c>
      <c r="I40" s="224">
        <f t="shared" si="10"/>
        <v>405000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548193</v>
      </c>
      <c r="S40" s="228">
        <f t="shared" si="10"/>
        <v>548193</v>
      </c>
      <c r="T40" s="228">
        <f t="shared" si="10"/>
        <v>0</v>
      </c>
      <c r="U40" s="221"/>
    </row>
    <row r="41" spans="1:21" s="222" customFormat="1">
      <c r="A41" s="227" t="s">
        <v>155</v>
      </c>
      <c r="B41" s="224">
        <f>SUM(C41:D41)</f>
        <v>172647</v>
      </c>
      <c r="C41" s="225">
        <f>52750+11000+25000+53747+24800+5350</f>
        <v>172647</v>
      </c>
      <c r="D41" s="225"/>
      <c r="E41" s="225"/>
      <c r="F41" s="225"/>
      <c r="G41" s="225"/>
      <c r="H41" s="225"/>
      <c r="I41" s="225">
        <f>C41</f>
        <v>172647</v>
      </c>
      <c r="J41" s="225"/>
      <c r="K41" s="225"/>
      <c r="L41" s="225"/>
      <c r="M41" s="225"/>
      <c r="N41" s="225"/>
      <c r="O41" s="225"/>
      <c r="P41" s="225"/>
      <c r="Q41" s="225"/>
      <c r="R41" s="916">
        <f>SUM(E41:Q41)</f>
        <v>172647</v>
      </c>
      <c r="S41" s="225">
        <f>C41</f>
        <v>172647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2345246</v>
      </c>
      <c r="C43" s="225">
        <f>1755488+316889+32856+172405+51885+15723</f>
        <v>2345246</v>
      </c>
      <c r="D43" s="225"/>
      <c r="E43" s="225"/>
      <c r="F43" s="225">
        <f>1755488</f>
        <v>1755488</v>
      </c>
      <c r="G43" s="225"/>
      <c r="H43" s="225"/>
      <c r="I43" s="225"/>
      <c r="J43" s="225">
        <f>Application!AG622</f>
        <v>589758</v>
      </c>
      <c r="K43" s="225"/>
      <c r="L43" s="225"/>
      <c r="M43" s="225"/>
      <c r="N43" s="225"/>
      <c r="O43" s="225"/>
      <c r="P43" s="225"/>
      <c r="Q43" s="225"/>
      <c r="R43" s="916">
        <f t="shared" ref="R43:R52" si="12">SUM(E43:Q43)</f>
        <v>2345246</v>
      </c>
      <c r="S43" s="225">
        <v>966504</v>
      </c>
      <c r="T43" s="225"/>
      <c r="U43" s="221"/>
    </row>
    <row r="44" spans="1:21" s="222" customFormat="1">
      <c r="A44" s="223" t="s">
        <v>158</v>
      </c>
      <c r="B44" s="224">
        <f t="shared" si="11"/>
        <v>243180</v>
      </c>
      <c r="C44" s="225">
        <v>243180</v>
      </c>
      <c r="D44" s="225"/>
      <c r="E44" s="225"/>
      <c r="F44" s="225">
        <f>C44</f>
        <v>243180</v>
      </c>
      <c r="G44" s="225"/>
      <c r="H44" s="225"/>
      <c r="I44" s="225"/>
      <c r="J44" s="225"/>
      <c r="K44" s="225"/>
      <c r="L44" s="225"/>
      <c r="M44" s="225"/>
      <c r="N44" s="225"/>
      <c r="O44" s="225"/>
      <c r="P44" s="225"/>
      <c r="Q44" s="225"/>
      <c r="R44" s="916">
        <f t="shared" si="12"/>
        <v>243180</v>
      </c>
      <c r="S44" s="225">
        <v>39175</v>
      </c>
      <c r="T44" s="225"/>
      <c r="U44" s="221"/>
    </row>
    <row r="45" spans="1:21" s="222" customFormat="1">
      <c r="A45" s="307" t="s">
        <v>159</v>
      </c>
      <c r="B45" s="224">
        <f t="shared" si="11"/>
        <v>40400</v>
      </c>
      <c r="C45" s="225">
        <v>40400</v>
      </c>
      <c r="D45" s="225"/>
      <c r="E45" s="225"/>
      <c r="F45" s="225">
        <f>C45</f>
        <v>40400</v>
      </c>
      <c r="G45" s="225"/>
      <c r="H45" s="225"/>
      <c r="I45" s="225"/>
      <c r="J45" s="225"/>
      <c r="K45" s="225"/>
      <c r="L45" s="225"/>
      <c r="M45" s="225"/>
      <c r="N45" s="225"/>
      <c r="O45" s="225"/>
      <c r="P45" s="225"/>
      <c r="Q45" s="225"/>
      <c r="R45" s="916">
        <f t="shared" si="12"/>
        <v>40400</v>
      </c>
      <c r="S45" s="225">
        <v>6509</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152484</v>
      </c>
      <c r="C47" s="225">
        <f>578389-C44-C45-C55-C56-C65</f>
        <v>152484</v>
      </c>
      <c r="D47" s="225"/>
      <c r="E47" s="225">
        <f>C47</f>
        <v>152484</v>
      </c>
      <c r="F47" s="225"/>
      <c r="G47" s="225"/>
      <c r="H47" s="225"/>
      <c r="I47" s="225"/>
      <c r="J47" s="225"/>
      <c r="K47" s="225"/>
      <c r="L47" s="225"/>
      <c r="M47" s="225"/>
      <c r="N47" s="225"/>
      <c r="O47" s="225"/>
      <c r="P47" s="225"/>
      <c r="Q47" s="225"/>
      <c r="R47" s="916">
        <f t="shared" si="12"/>
        <v>152484</v>
      </c>
      <c r="S47" s="225"/>
      <c r="T47" s="225"/>
      <c r="U47" s="221"/>
    </row>
    <row r="48" spans="1:21" s="222" customFormat="1">
      <c r="A48" s="223" t="s">
        <v>163</v>
      </c>
      <c r="B48" s="224">
        <f t="shared" si="11"/>
        <v>25000</v>
      </c>
      <c r="C48" s="225">
        <f>25000</f>
        <v>25000</v>
      </c>
      <c r="D48" s="225"/>
      <c r="E48" s="225"/>
      <c r="F48" s="225">
        <f>C48</f>
        <v>25000</v>
      </c>
      <c r="G48" s="225"/>
      <c r="H48" s="225"/>
      <c r="I48" s="225"/>
      <c r="J48" s="225"/>
      <c r="K48" s="225"/>
      <c r="L48" s="225"/>
      <c r="M48" s="225"/>
      <c r="N48" s="225"/>
      <c r="O48" s="225"/>
      <c r="P48" s="225"/>
      <c r="Q48" s="225"/>
      <c r="R48" s="916">
        <f t="shared" si="12"/>
        <v>25000</v>
      </c>
      <c r="S48" s="225">
        <f>C48</f>
        <v>25000</v>
      </c>
      <c r="T48" s="225"/>
      <c r="U48" s="221"/>
    </row>
    <row r="49" spans="1:21" s="222" customFormat="1">
      <c r="A49" s="457" t="s">
        <v>161</v>
      </c>
      <c r="B49" s="224">
        <f t="shared" si="11"/>
        <v>0</v>
      </c>
      <c r="C49" s="225"/>
      <c r="D49" s="225"/>
      <c r="E49" s="225"/>
      <c r="F49" s="225">
        <f t="shared" ref="F49:F50" si="13">C49</f>
        <v>0</v>
      </c>
      <c r="G49" s="225"/>
      <c r="H49" s="225"/>
      <c r="I49" s="225"/>
      <c r="J49" s="225"/>
      <c r="K49" s="225"/>
      <c r="L49" s="225"/>
      <c r="M49" s="225"/>
      <c r="N49" s="225"/>
      <c r="O49" s="225"/>
      <c r="P49" s="225"/>
      <c r="Q49" s="225"/>
      <c r="R49" s="916">
        <f t="shared" si="12"/>
        <v>0</v>
      </c>
      <c r="S49" s="225">
        <f t="shared" ref="S49:S50" si="14">C49</f>
        <v>0</v>
      </c>
      <c r="T49" s="225"/>
      <c r="U49" s="221"/>
    </row>
    <row r="50" spans="1:21" s="222" customFormat="1">
      <c r="A50" s="223" t="s">
        <v>162</v>
      </c>
      <c r="B50" s="224">
        <f t="shared" si="11"/>
        <v>214031</v>
      </c>
      <c r="C50" s="225">
        <f>214031</f>
        <v>214031</v>
      </c>
      <c r="D50" s="225"/>
      <c r="E50" s="225"/>
      <c r="F50" s="225">
        <f t="shared" si="13"/>
        <v>214031</v>
      </c>
      <c r="G50" s="225"/>
      <c r="H50" s="225"/>
      <c r="I50" s="225"/>
      <c r="J50" s="225"/>
      <c r="K50" s="225"/>
      <c r="L50" s="225"/>
      <c r="M50" s="225"/>
      <c r="N50" s="225"/>
      <c r="O50" s="225"/>
      <c r="P50" s="225"/>
      <c r="Q50" s="225"/>
      <c r="R50" s="916">
        <f t="shared" si="12"/>
        <v>214031</v>
      </c>
      <c r="S50" s="225">
        <f t="shared" si="14"/>
        <v>214031</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3020341</v>
      </c>
      <c r="C53" s="228">
        <f t="shared" ref="C53:T53" si="15">SUM(C43:C52)</f>
        <v>3020341</v>
      </c>
      <c r="D53" s="228">
        <f t="shared" si="15"/>
        <v>0</v>
      </c>
      <c r="E53" s="228">
        <f t="shared" si="15"/>
        <v>152484</v>
      </c>
      <c r="F53" s="228">
        <f t="shared" si="15"/>
        <v>2278099</v>
      </c>
      <c r="G53" s="228">
        <f t="shared" si="15"/>
        <v>0</v>
      </c>
      <c r="H53" s="228">
        <f t="shared" si="15"/>
        <v>0</v>
      </c>
      <c r="I53" s="228">
        <f t="shared" si="15"/>
        <v>0</v>
      </c>
      <c r="J53" s="228">
        <f t="shared" si="15"/>
        <v>589758</v>
      </c>
      <c r="K53" s="228">
        <f t="shared" si="15"/>
        <v>0</v>
      </c>
      <c r="L53" s="228">
        <f t="shared" si="15"/>
        <v>0</v>
      </c>
      <c r="M53" s="228">
        <f t="shared" si="15"/>
        <v>0</v>
      </c>
      <c r="N53" s="228">
        <f t="shared" si="15"/>
        <v>0</v>
      </c>
      <c r="O53" s="228">
        <f t="shared" si="15"/>
        <v>0</v>
      </c>
      <c r="P53" s="228">
        <f t="shared" si="15"/>
        <v>0</v>
      </c>
      <c r="Q53" s="228">
        <f t="shared" si="15"/>
        <v>0</v>
      </c>
      <c r="R53" s="558">
        <f>SUM(R43:R52)</f>
        <v>3020341</v>
      </c>
      <c r="S53" s="228">
        <f t="shared" si="15"/>
        <v>1251219</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SUM(C55+D55)</f>
        <v>42325</v>
      </c>
      <c r="C55" s="225">
        <v>42325</v>
      </c>
      <c r="D55" s="225"/>
      <c r="E55" s="225"/>
      <c r="F55" s="225">
        <f>C55</f>
        <v>42325</v>
      </c>
      <c r="G55" s="225"/>
      <c r="H55" s="225"/>
      <c r="I55" s="225"/>
      <c r="J55" s="225"/>
      <c r="K55" s="225"/>
      <c r="L55" s="225"/>
      <c r="M55" s="225"/>
      <c r="N55" s="225"/>
      <c r="O55" s="225"/>
      <c r="P55" s="225"/>
      <c r="Q55" s="225"/>
      <c r="R55" s="916">
        <f t="shared" ref="R55:R61" si="16">SUM(E55:Q55)</f>
        <v>42325</v>
      </c>
      <c r="S55" s="226"/>
      <c r="T55" s="226"/>
      <c r="U55" s="221"/>
    </row>
    <row r="56" spans="1:21" s="313" customFormat="1">
      <c r="A56" s="307" t="s">
        <v>159</v>
      </c>
      <c r="B56" s="314">
        <f>SUM(C56+D56)</f>
        <v>15000</v>
      </c>
      <c r="C56" s="311">
        <v>15000</v>
      </c>
      <c r="D56" s="311"/>
      <c r="E56" s="311"/>
      <c r="F56" s="311">
        <f>C56</f>
        <v>15000</v>
      </c>
      <c r="G56" s="311"/>
      <c r="H56" s="311"/>
      <c r="I56" s="311"/>
      <c r="J56" s="311"/>
      <c r="K56" s="311"/>
      <c r="L56" s="311"/>
      <c r="M56" s="311"/>
      <c r="N56" s="311"/>
      <c r="O56" s="311"/>
      <c r="P56" s="311"/>
      <c r="Q56" s="311"/>
      <c r="R56" s="916">
        <f t="shared" si="16"/>
        <v>15000</v>
      </c>
      <c r="S56" s="315"/>
      <c r="T56" s="315"/>
      <c r="U56" s="312"/>
    </row>
    <row r="57" spans="1:21" s="222" customFormat="1">
      <c r="A57" s="223" t="s">
        <v>163</v>
      </c>
      <c r="B57" s="224">
        <f t="shared" ref="B57:B61" si="17">SUM(C57+D57)</f>
        <v>14765</v>
      </c>
      <c r="C57" s="225">
        <f>14765</f>
        <v>14765</v>
      </c>
      <c r="D57" s="225"/>
      <c r="E57" s="225"/>
      <c r="F57" s="225">
        <f>C57</f>
        <v>14765</v>
      </c>
      <c r="G57" s="225"/>
      <c r="H57" s="225"/>
      <c r="I57" s="225"/>
      <c r="J57" s="225"/>
      <c r="K57" s="225"/>
      <c r="L57" s="225"/>
      <c r="M57" s="225"/>
      <c r="N57" s="225"/>
      <c r="O57" s="225"/>
      <c r="P57" s="225"/>
      <c r="Q57" s="225"/>
      <c r="R57" s="916">
        <f t="shared" si="16"/>
        <v>14765</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9" customHeight="1">
      <c r="A62" s="227" t="s">
        <v>320</v>
      </c>
      <c r="B62" s="224">
        <f>SUM(C62:D62)</f>
        <v>72090</v>
      </c>
      <c r="C62" s="224">
        <f>SUM(C55:C61)</f>
        <v>72090</v>
      </c>
      <c r="D62" s="224">
        <f t="shared" ref="D62:Q62" si="18">SUM(D55:D61)</f>
        <v>0</v>
      </c>
      <c r="E62" s="224">
        <f t="shared" si="18"/>
        <v>0</v>
      </c>
      <c r="F62" s="224">
        <f t="shared" si="18"/>
        <v>72090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72090</v>
      </c>
      <c r="S62" s="226"/>
      <c r="T62" s="226"/>
      <c r="U62" s="221"/>
    </row>
    <row r="63" spans="1:21" s="222" customFormat="1">
      <c r="A63" s="233" t="s">
        <v>321</v>
      </c>
      <c r="B63" s="224">
        <f>SUM(B8+B11+B13+B14+B15+B25+B26+B36+B40+B41+B53+B62)</f>
        <v>51000475</v>
      </c>
      <c r="C63" s="224">
        <f t="shared" ref="C63:Q63" si="19">SUM(C8+C11+C13+C14+C15+C25+C26+C36+C40+C41+C53+C62)</f>
        <v>51000475</v>
      </c>
      <c r="D63" s="224">
        <f t="shared" si="19"/>
        <v>0</v>
      </c>
      <c r="E63" s="224">
        <f t="shared" si="19"/>
        <v>17566980</v>
      </c>
      <c r="F63" s="224">
        <f t="shared" si="19"/>
        <v>6208249</v>
      </c>
      <c r="G63" s="224">
        <f t="shared" si="19"/>
        <v>8677431</v>
      </c>
      <c r="H63" s="224">
        <f t="shared" si="19"/>
        <v>250000</v>
      </c>
      <c r="I63" s="224">
        <f t="shared" si="19"/>
        <v>700672</v>
      </c>
      <c r="J63" s="224">
        <f t="shared" si="19"/>
        <v>589758</v>
      </c>
      <c r="K63" s="224">
        <f t="shared" si="19"/>
        <v>10077285</v>
      </c>
      <c r="L63" s="224">
        <f t="shared" si="19"/>
        <v>6930000</v>
      </c>
      <c r="M63" s="224">
        <f t="shared" si="19"/>
        <v>0</v>
      </c>
      <c r="N63" s="224">
        <f t="shared" si="19"/>
        <v>0</v>
      </c>
      <c r="O63" s="224">
        <f t="shared" si="19"/>
        <v>100</v>
      </c>
      <c r="P63" s="224">
        <f t="shared" si="19"/>
        <v>0</v>
      </c>
      <c r="Q63" s="224">
        <f t="shared" si="19"/>
        <v>0</v>
      </c>
      <c r="R63" s="558">
        <f>SUM(R8+R11+R13+R14+R15+R25+R26+R36+R40+R41+R53+R62)</f>
        <v>51000475</v>
      </c>
      <c r="S63" s="224">
        <f>SUM(S10+S13+S14+S15+S25+S26+S36+S40+S41+S53)</f>
        <v>21059263</v>
      </c>
      <c r="T63" s="224">
        <f>SUM(T11+T13+T14+T15+T25+T26+T36+T40+T41+T53)</f>
        <v>26001000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85000</v>
      </c>
      <c r="C65" s="225">
        <f>60000+25000</f>
        <v>85000</v>
      </c>
      <c r="D65" s="225"/>
      <c r="E65" s="225"/>
      <c r="F65" s="225">
        <f>C65</f>
        <v>85000</v>
      </c>
      <c r="G65" s="225"/>
      <c r="H65" s="225"/>
      <c r="I65" s="225"/>
      <c r="J65" s="225"/>
      <c r="K65" s="225"/>
      <c r="L65" s="225"/>
      <c r="M65" s="225"/>
      <c r="N65" s="225"/>
      <c r="O65" s="225"/>
      <c r="P65" s="225"/>
      <c r="Q65" s="225"/>
      <c r="R65" s="916">
        <f>SUM(E65:Q65)</f>
        <v>85000</v>
      </c>
      <c r="S65" s="225">
        <v>9665</v>
      </c>
      <c r="T65" s="225"/>
      <c r="U65" s="221"/>
    </row>
    <row r="66" spans="1:21" s="222" customFormat="1">
      <c r="A66" s="955" t="s">
        <v>1817</v>
      </c>
      <c r="B66" s="224">
        <f>SUM(C66+D66)</f>
        <v>40500</v>
      </c>
      <c r="C66" s="225">
        <f>25000+15500</f>
        <v>40500</v>
      </c>
      <c r="D66" s="225"/>
      <c r="E66" s="225"/>
      <c r="F66" s="225">
        <f>C66</f>
        <v>40500</v>
      </c>
      <c r="G66" s="225"/>
      <c r="H66" s="225"/>
      <c r="I66" s="225"/>
      <c r="J66" s="225"/>
      <c r="K66" s="225"/>
      <c r="L66" s="225"/>
      <c r="M66" s="225"/>
      <c r="N66" s="225"/>
      <c r="O66" s="225"/>
      <c r="P66" s="225"/>
      <c r="Q66" s="225"/>
      <c r="R66" s="916">
        <f>SUM(E66:Q66)</f>
        <v>40500</v>
      </c>
      <c r="S66" s="225">
        <f>25000</f>
        <v>25000</v>
      </c>
      <c r="T66" s="225"/>
      <c r="U66" s="221"/>
    </row>
    <row r="67" spans="1:21" s="222" customFormat="1">
      <c r="A67" s="227" t="s">
        <v>652</v>
      </c>
      <c r="B67" s="224">
        <f>SUM(C67:D67)</f>
        <v>125500</v>
      </c>
      <c r="C67" s="224">
        <f>SUM(C64:C66)</f>
        <v>125500</v>
      </c>
      <c r="D67" s="224">
        <f>SUM(D64:D66)</f>
        <v>0</v>
      </c>
      <c r="E67" s="224">
        <f t="shared" ref="E67:T67" si="20">SUM(E65:E66)</f>
        <v>0</v>
      </c>
      <c r="F67" s="224">
        <f t="shared" si="20"/>
        <v>125500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125500</v>
      </c>
      <c r="S67" s="228">
        <f>SUM(S65:S66)</f>
        <v>34665</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268024</v>
      </c>
      <c r="C72" s="225">
        <f>268024</f>
        <v>268024</v>
      </c>
      <c r="D72" s="225"/>
      <c r="E72" s="225">
        <f>C72</f>
        <v>268024</v>
      </c>
      <c r="F72" s="225"/>
      <c r="G72" s="225"/>
      <c r="H72" s="225"/>
      <c r="I72" s="225"/>
      <c r="J72" s="225"/>
      <c r="K72" s="225"/>
      <c r="L72" s="225"/>
      <c r="M72" s="225"/>
      <c r="N72" s="225"/>
      <c r="O72" s="225"/>
      <c r="P72" s="225"/>
      <c r="Q72" s="225"/>
      <c r="R72" s="916">
        <f>SUM(E72:Q72)</f>
        <v>268024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268024</v>
      </c>
      <c r="C74" s="224">
        <f>SUM(C69:C73)</f>
        <v>268024</v>
      </c>
      <c r="D74" s="224">
        <f>SUM(D69:D73)</f>
        <v>0</v>
      </c>
      <c r="E74" s="224">
        <f t="shared" ref="E74:Q74" si="21">SUM(E69:E73)</f>
        <v>268024</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268024</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2131251</v>
      </c>
      <c r="C76" s="225">
        <f>2131251</f>
        <v>2131251</v>
      </c>
      <c r="D76" s="225"/>
      <c r="E76" s="225"/>
      <c r="F76" s="225">
        <f>C76</f>
        <v>2131251</v>
      </c>
      <c r="G76" s="225"/>
      <c r="H76" s="225"/>
      <c r="I76" s="225"/>
      <c r="J76" s="225"/>
      <c r="K76" s="225"/>
      <c r="L76" s="225"/>
      <c r="M76" s="225"/>
      <c r="N76" s="225"/>
      <c r="O76" s="225"/>
      <c r="P76" s="225"/>
      <c r="Q76" s="225"/>
      <c r="R76" s="916">
        <f>SUM(E76:Q76)</f>
        <v>2131251</v>
      </c>
      <c r="S76" s="225">
        <f>C76</f>
        <v>2131251</v>
      </c>
      <c r="T76" s="225"/>
      <c r="U76" s="221"/>
    </row>
    <row r="77" spans="1:21" s="222" customFormat="1">
      <c r="A77" s="457" t="s">
        <v>63</v>
      </c>
      <c r="B77" s="224">
        <f>SUM(C77:D77)</f>
        <v>404835</v>
      </c>
      <c r="C77" s="225">
        <f>404835</f>
        <v>404835</v>
      </c>
      <c r="D77" s="225"/>
      <c r="E77" s="225">
        <f>C77</f>
        <v>404835</v>
      </c>
      <c r="F77" s="225"/>
      <c r="G77" s="225"/>
      <c r="H77" s="225"/>
      <c r="I77" s="225"/>
      <c r="J77" s="225"/>
      <c r="K77" s="225"/>
      <c r="L77" s="225"/>
      <c r="M77" s="225"/>
      <c r="N77" s="225"/>
      <c r="O77" s="225"/>
      <c r="P77" s="225"/>
      <c r="Q77" s="225"/>
      <c r="R77" s="916">
        <f>SUM(E77:Q77)</f>
        <v>404835</v>
      </c>
      <c r="S77" s="225">
        <f>C77</f>
        <v>404835</v>
      </c>
      <c r="T77" s="225"/>
      <c r="U77" s="221"/>
    </row>
    <row r="78" spans="1:21" s="222" customFormat="1">
      <c r="A78" s="227" t="s">
        <v>1469</v>
      </c>
      <c r="B78" s="224">
        <f>SUM(C78:D78)</f>
        <v>2536086</v>
      </c>
      <c r="C78" s="890">
        <f>SUM(C76:C77)</f>
        <v>2536086</v>
      </c>
      <c r="D78" s="890">
        <f t="shared" ref="D78:T78" si="22">SUM(D76:D77)</f>
        <v>0</v>
      </c>
      <c r="E78" s="890">
        <f t="shared" si="22"/>
        <v>404835</v>
      </c>
      <c r="F78" s="890">
        <f t="shared" si="22"/>
        <v>2131251</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2536086</v>
      </c>
      <c r="S78" s="890">
        <f t="shared" si="22"/>
        <v>2536086</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845</v>
      </c>
      <c r="B80" s="224">
        <f t="shared" ref="B80:B94" si="23">SUM(C80+D80)</f>
        <v>50817</v>
      </c>
      <c r="C80" s="225">
        <f>50817</f>
        <v>50817</v>
      </c>
      <c r="D80" s="225"/>
      <c r="E80" s="225"/>
      <c r="F80" s="225"/>
      <c r="G80" s="225"/>
      <c r="H80" s="225"/>
      <c r="I80" s="225">
        <f>C80</f>
        <v>50817</v>
      </c>
      <c r="J80" s="225"/>
      <c r="K80" s="225"/>
      <c r="L80" s="225"/>
      <c r="M80" s="225"/>
      <c r="N80" s="225"/>
      <c r="O80" s="225"/>
      <c r="P80" s="225"/>
      <c r="Q80" s="225"/>
      <c r="R80" s="916">
        <f t="shared" ref="R80:R94" si="24">SUM(E80:Q80)</f>
        <v>50817</v>
      </c>
      <c r="S80" s="226"/>
      <c r="T80" s="226"/>
      <c r="U80" s="221"/>
    </row>
    <row r="81" spans="1:21" s="222" customFormat="1">
      <c r="A81" s="223" t="s">
        <v>846</v>
      </c>
      <c r="B81" s="224">
        <f t="shared" si="23"/>
        <v>32011</v>
      </c>
      <c r="C81" s="225">
        <f>32011</f>
        <v>32011</v>
      </c>
      <c r="D81" s="225"/>
      <c r="E81" s="225"/>
      <c r="F81" s="225"/>
      <c r="G81" s="225"/>
      <c r="H81" s="225"/>
      <c r="I81" s="225">
        <f t="shared" ref="I81:I83" si="25">C81</f>
        <v>32011</v>
      </c>
      <c r="J81" s="225"/>
      <c r="K81" s="225"/>
      <c r="L81" s="225"/>
      <c r="M81" s="225"/>
      <c r="N81" s="225"/>
      <c r="O81" s="225"/>
      <c r="P81" s="225"/>
      <c r="Q81" s="225"/>
      <c r="R81" s="916">
        <f t="shared" si="24"/>
        <v>32011</v>
      </c>
      <c r="S81" s="225">
        <f>C81</f>
        <v>32011</v>
      </c>
      <c r="T81" s="225"/>
      <c r="U81" s="221"/>
    </row>
    <row r="82" spans="1:21" s="222" customFormat="1">
      <c r="A82" s="223" t="s">
        <v>847</v>
      </c>
      <c r="B82" s="224">
        <f t="shared" si="23"/>
        <v>0</v>
      </c>
      <c r="C82" s="225"/>
      <c r="D82" s="225"/>
      <c r="E82" s="225"/>
      <c r="F82" s="225"/>
      <c r="G82" s="225"/>
      <c r="H82" s="225"/>
      <c r="I82" s="225">
        <f t="shared" si="25"/>
        <v>0</v>
      </c>
      <c r="J82" s="225"/>
      <c r="K82" s="225"/>
      <c r="L82" s="225"/>
      <c r="M82" s="225"/>
      <c r="N82" s="225"/>
      <c r="O82" s="225"/>
      <c r="P82" s="225"/>
      <c r="Q82" s="225"/>
      <c r="R82" s="916">
        <f t="shared" si="24"/>
        <v>0</v>
      </c>
      <c r="S82" s="225">
        <f t="shared" ref="S82:S84" si="26">C82</f>
        <v>0</v>
      </c>
      <c r="T82" s="225"/>
      <c r="U82" s="221"/>
    </row>
    <row r="83" spans="1:21" s="222" customFormat="1">
      <c r="A83" s="223" t="s">
        <v>848</v>
      </c>
      <c r="B83" s="224">
        <f t="shared" si="23"/>
        <v>200000</v>
      </c>
      <c r="C83" s="225">
        <f>200000</f>
        <v>200000</v>
      </c>
      <c r="D83" s="225"/>
      <c r="E83" s="225"/>
      <c r="F83" s="225"/>
      <c r="G83" s="225"/>
      <c r="H83" s="225"/>
      <c r="I83" s="225">
        <f t="shared" si="25"/>
        <v>200000</v>
      </c>
      <c r="J83" s="225"/>
      <c r="K83" s="225"/>
      <c r="L83" s="225"/>
      <c r="M83" s="225"/>
      <c r="N83" s="225"/>
      <c r="O83" s="225"/>
      <c r="P83" s="225"/>
      <c r="Q83" s="225"/>
      <c r="R83" s="916">
        <f t="shared" si="24"/>
        <v>200000</v>
      </c>
      <c r="S83" s="225">
        <f t="shared" si="26"/>
        <v>200000</v>
      </c>
      <c r="T83" s="225"/>
      <c r="U83" s="221"/>
    </row>
    <row r="84" spans="1:21" s="222" customFormat="1">
      <c r="A84" s="223" t="s">
        <v>849</v>
      </c>
      <c r="B84" s="224">
        <f t="shared" si="23"/>
        <v>0</v>
      </c>
      <c r="C84" s="225"/>
      <c r="D84" s="225"/>
      <c r="E84" s="225"/>
      <c r="F84" s="225"/>
      <c r="G84" s="225"/>
      <c r="H84" s="225"/>
      <c r="I84" s="225"/>
      <c r="J84" s="225"/>
      <c r="K84" s="225"/>
      <c r="L84" s="225"/>
      <c r="M84" s="225"/>
      <c r="N84" s="225"/>
      <c r="O84" s="225"/>
      <c r="P84" s="225"/>
      <c r="Q84" s="225"/>
      <c r="R84" s="916">
        <f t="shared" si="24"/>
        <v>0</v>
      </c>
      <c r="S84" s="225">
        <f t="shared" si="26"/>
        <v>0</v>
      </c>
      <c r="T84" s="225"/>
      <c r="U84" s="221"/>
    </row>
    <row r="85" spans="1:21" s="222" customFormat="1">
      <c r="A85" s="223" t="s">
        <v>850</v>
      </c>
      <c r="B85" s="224">
        <f t="shared" si="23"/>
        <v>60000</v>
      </c>
      <c r="C85" s="225">
        <v>60000</v>
      </c>
      <c r="D85" s="225"/>
      <c r="E85" s="225">
        <f>C85</f>
        <v>60000</v>
      </c>
      <c r="F85" s="225"/>
      <c r="G85" s="225"/>
      <c r="H85" s="225"/>
      <c r="I85" s="225"/>
      <c r="J85" s="225"/>
      <c r="K85" s="225"/>
      <c r="L85" s="225"/>
      <c r="M85" s="225"/>
      <c r="N85" s="225"/>
      <c r="O85" s="225"/>
      <c r="P85" s="225"/>
      <c r="Q85" s="225"/>
      <c r="R85" s="916">
        <f t="shared" si="24"/>
        <v>60000</v>
      </c>
      <c r="S85" s="226"/>
      <c r="T85" s="226"/>
      <c r="U85" s="221"/>
    </row>
    <row r="86" spans="1:21" s="222" customFormat="1">
      <c r="A86" s="223" t="s">
        <v>851</v>
      </c>
      <c r="B86" s="224">
        <f t="shared" si="23"/>
        <v>50000</v>
      </c>
      <c r="C86" s="225">
        <v>50000</v>
      </c>
      <c r="D86" s="225"/>
      <c r="E86" s="225">
        <f>C86</f>
        <v>50000</v>
      </c>
      <c r="F86" s="225"/>
      <c r="G86" s="225"/>
      <c r="H86" s="225"/>
      <c r="I86" s="225"/>
      <c r="J86" s="225"/>
      <c r="K86" s="225"/>
      <c r="L86" s="225"/>
      <c r="M86" s="225"/>
      <c r="N86" s="225"/>
      <c r="O86" s="225"/>
      <c r="P86" s="225"/>
      <c r="Q86" s="225"/>
      <c r="R86" s="916">
        <f t="shared" si="24"/>
        <v>50000</v>
      </c>
      <c r="S86" s="225">
        <f>R86</f>
        <v>50000</v>
      </c>
      <c r="T86" s="225"/>
      <c r="U86" s="221"/>
    </row>
    <row r="87" spans="1:21" s="222" customFormat="1">
      <c r="A87" s="223" t="s">
        <v>852</v>
      </c>
      <c r="B87" s="224">
        <f t="shared" si="23"/>
        <v>5500</v>
      </c>
      <c r="C87" s="225">
        <v>5500</v>
      </c>
      <c r="D87" s="225"/>
      <c r="E87" s="225"/>
      <c r="F87" s="225"/>
      <c r="G87" s="225"/>
      <c r="H87" s="225"/>
      <c r="I87" s="225">
        <f>C87</f>
        <v>5500</v>
      </c>
      <c r="J87" s="225"/>
      <c r="K87" s="225"/>
      <c r="L87" s="225"/>
      <c r="M87" s="225"/>
      <c r="N87" s="225"/>
      <c r="O87" s="225"/>
      <c r="P87" s="225"/>
      <c r="Q87" s="225"/>
      <c r="R87" s="916">
        <f t="shared" si="24"/>
        <v>5500</v>
      </c>
      <c r="S87" s="225"/>
      <c r="T87" s="225"/>
      <c r="U87" s="221"/>
    </row>
    <row r="88" spans="1:21" s="222" customFormat="1">
      <c r="A88" s="234" t="s">
        <v>404</v>
      </c>
      <c r="B88" s="224">
        <f t="shared" si="23"/>
        <v>0</v>
      </c>
      <c r="C88" s="225"/>
      <c r="D88" s="225"/>
      <c r="E88" s="225"/>
      <c r="F88" s="225"/>
      <c r="G88" s="225"/>
      <c r="H88" s="225"/>
      <c r="I88" s="225"/>
      <c r="J88" s="225"/>
      <c r="K88" s="225"/>
      <c r="L88" s="225"/>
      <c r="M88" s="225"/>
      <c r="N88" s="225"/>
      <c r="O88" s="225"/>
      <c r="P88" s="225"/>
      <c r="Q88" s="225"/>
      <c r="R88" s="916">
        <f t="shared" si="24"/>
        <v>0</v>
      </c>
      <c r="S88" s="225"/>
      <c r="T88" s="225"/>
      <c r="U88" s="221"/>
    </row>
    <row r="89" spans="1:21" s="222" customFormat="1">
      <c r="A89" s="889" t="s">
        <v>1471</v>
      </c>
      <c r="B89" s="224">
        <f t="shared" si="23"/>
        <v>11000</v>
      </c>
      <c r="C89" s="225">
        <f>11000</f>
        <v>11000</v>
      </c>
      <c r="D89" s="225"/>
      <c r="E89" s="225"/>
      <c r="F89" s="225"/>
      <c r="G89" s="225"/>
      <c r="H89" s="225"/>
      <c r="I89" s="225">
        <f>C89</f>
        <v>11000</v>
      </c>
      <c r="J89" s="225"/>
      <c r="K89" s="225"/>
      <c r="L89" s="225"/>
      <c r="M89" s="225"/>
      <c r="N89" s="225"/>
      <c r="O89" s="225"/>
      <c r="P89" s="225"/>
      <c r="Q89" s="225"/>
      <c r="R89" s="916">
        <f t="shared" si="24"/>
        <v>11000</v>
      </c>
      <c r="S89" s="225">
        <f>C89</f>
        <v>11000</v>
      </c>
      <c r="T89" s="225"/>
      <c r="U89" s="221"/>
    </row>
    <row r="90" spans="1:21" s="222" customFormat="1">
      <c r="A90" s="955" t="s">
        <v>1814</v>
      </c>
      <c r="B90" s="224">
        <f t="shared" si="23"/>
        <v>35000</v>
      </c>
      <c r="C90" s="225">
        <f>10000+10000+15000</f>
        <v>35000</v>
      </c>
      <c r="D90" s="225"/>
      <c r="E90" s="225">
        <f>C90</f>
        <v>35000</v>
      </c>
      <c r="F90" s="225"/>
      <c r="G90" s="225"/>
      <c r="H90" s="225"/>
      <c r="I90" s="225"/>
      <c r="J90" s="225"/>
      <c r="K90" s="225"/>
      <c r="L90" s="225"/>
      <c r="M90" s="225"/>
      <c r="N90" s="225"/>
      <c r="O90" s="225"/>
      <c r="P90" s="225"/>
      <c r="Q90" s="225"/>
      <c r="R90" s="916">
        <f t="shared" si="24"/>
        <v>35000</v>
      </c>
      <c r="S90" s="225"/>
      <c r="T90" s="225">
        <f>9248+9248+13871</f>
        <v>32367</v>
      </c>
      <c r="U90" s="221"/>
    </row>
    <row r="91" spans="1:21" s="222" customFormat="1">
      <c r="A91" s="955" t="s">
        <v>1815</v>
      </c>
      <c r="B91" s="224">
        <f t="shared" si="23"/>
        <v>174000</v>
      </c>
      <c r="C91" s="225">
        <f>174000</f>
        <v>174000</v>
      </c>
      <c r="D91" s="225"/>
      <c r="E91" s="225">
        <f>C91</f>
        <v>174000</v>
      </c>
      <c r="F91" s="225"/>
      <c r="G91" s="225"/>
      <c r="H91" s="225"/>
      <c r="I91" s="225"/>
      <c r="J91" s="225"/>
      <c r="K91" s="225"/>
      <c r="L91" s="225"/>
      <c r="M91" s="225"/>
      <c r="N91" s="225"/>
      <c r="O91" s="225"/>
      <c r="P91" s="225"/>
      <c r="Q91" s="225"/>
      <c r="R91" s="916">
        <f t="shared" si="24"/>
        <v>174000</v>
      </c>
      <c r="S91" s="225">
        <f>C91</f>
        <v>174000</v>
      </c>
      <c r="T91" s="225"/>
      <c r="U91" s="221"/>
    </row>
    <row r="92" spans="1:21" s="222" customFormat="1">
      <c r="A92" s="955" t="s">
        <v>1816</v>
      </c>
      <c r="B92" s="224">
        <f t="shared" si="23"/>
        <v>50000</v>
      </c>
      <c r="C92" s="225">
        <f>50000</f>
        <v>50000</v>
      </c>
      <c r="D92" s="225"/>
      <c r="E92" s="225">
        <f>C92</f>
        <v>50000</v>
      </c>
      <c r="F92" s="225"/>
      <c r="G92" s="225"/>
      <c r="H92" s="225"/>
      <c r="I92" s="225"/>
      <c r="J92" s="225"/>
      <c r="K92" s="225"/>
      <c r="L92" s="225"/>
      <c r="M92" s="225"/>
      <c r="N92" s="225"/>
      <c r="O92" s="225"/>
      <c r="P92" s="225"/>
      <c r="Q92" s="225"/>
      <c r="R92" s="916">
        <f t="shared" si="24"/>
        <v>50000</v>
      </c>
      <c r="S92" s="225">
        <f>C92</f>
        <v>50000</v>
      </c>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668328</v>
      </c>
      <c r="C95" s="224">
        <f t="shared" ref="C95:Q95" si="27">SUM(C80:C94)</f>
        <v>668328</v>
      </c>
      <c r="D95" s="224">
        <f t="shared" si="27"/>
        <v>0</v>
      </c>
      <c r="E95" s="224">
        <f t="shared" si="27"/>
        <v>369000</v>
      </c>
      <c r="F95" s="224">
        <f t="shared" si="27"/>
        <v>0</v>
      </c>
      <c r="G95" s="224">
        <f t="shared" si="27"/>
        <v>0</v>
      </c>
      <c r="H95" s="224">
        <f t="shared" si="27"/>
        <v>0</v>
      </c>
      <c r="I95" s="224">
        <f t="shared" si="27"/>
        <v>299328</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668328</v>
      </c>
      <c r="S95" s="228">
        <f>SUM(S81:S84,S86:S94)</f>
        <v>517011</v>
      </c>
      <c r="T95" s="224">
        <f>SUM(T81:T84,T86:T94)</f>
        <v>32367</v>
      </c>
      <c r="U95" s="221"/>
    </row>
    <row r="96" spans="1:21" s="222" customFormat="1">
      <c r="A96" s="227" t="s">
        <v>854</v>
      </c>
      <c r="B96" s="224">
        <f>SUM(C96:D96)</f>
        <v>54598413</v>
      </c>
      <c r="C96" s="224">
        <f>SUM(C63+C67+C74+C78+C95)</f>
        <v>54598413</v>
      </c>
      <c r="D96" s="224">
        <f t="shared" ref="D96:R96" si="28">SUM(D63+D67+D74+D78+D95)</f>
        <v>0</v>
      </c>
      <c r="E96" s="224">
        <f t="shared" si="28"/>
        <v>18608839</v>
      </c>
      <c r="F96" s="224">
        <f t="shared" si="28"/>
        <v>8465000</v>
      </c>
      <c r="G96" s="224">
        <f t="shared" si="28"/>
        <v>8677431</v>
      </c>
      <c r="H96" s="224">
        <f t="shared" si="28"/>
        <v>250000</v>
      </c>
      <c r="I96" s="224">
        <f t="shared" si="28"/>
        <v>1000000</v>
      </c>
      <c r="J96" s="224">
        <f t="shared" si="28"/>
        <v>589758</v>
      </c>
      <c r="K96" s="224">
        <f t="shared" si="28"/>
        <v>10077285</v>
      </c>
      <c r="L96" s="224">
        <f t="shared" si="28"/>
        <v>6930000</v>
      </c>
      <c r="M96" s="224">
        <f t="shared" si="28"/>
        <v>0</v>
      </c>
      <c r="N96" s="224">
        <f t="shared" si="28"/>
        <v>0</v>
      </c>
      <c r="O96" s="224">
        <f t="shared" si="28"/>
        <v>100</v>
      </c>
      <c r="P96" s="224">
        <f t="shared" si="28"/>
        <v>0</v>
      </c>
      <c r="Q96" s="224">
        <f t="shared" si="28"/>
        <v>0</v>
      </c>
      <c r="R96" s="224">
        <f t="shared" si="28"/>
        <v>54598413</v>
      </c>
      <c r="S96" s="224">
        <f>SUM(S63+S67+S78+S95)</f>
        <v>24147025</v>
      </c>
      <c r="T96" s="224">
        <f>SUM(T63+T67+T78+T95)</f>
        <v>26033367</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6774353</v>
      </c>
      <c r="C98" s="225">
        <f>6774353</f>
        <v>6774353</v>
      </c>
      <c r="D98" s="225"/>
      <c r="E98" s="225">
        <f>1200000</f>
        <v>1200000</v>
      </c>
      <c r="F98" s="225"/>
      <c r="G98" s="225"/>
      <c r="H98" s="225"/>
      <c r="I98" s="225"/>
      <c r="J98" s="225"/>
      <c r="K98" s="225"/>
      <c r="L98" s="225"/>
      <c r="M98" s="225">
        <f>Application!AG625</f>
        <v>2463575</v>
      </c>
      <c r="N98" s="225">
        <f>Application!AG626</f>
        <v>3110778</v>
      </c>
      <c r="O98" s="225"/>
      <c r="P98" s="225"/>
      <c r="Q98" s="225"/>
      <c r="R98" s="916">
        <f t="shared" ref="R98:R103" si="30">SUM(E98:Q98)</f>
        <v>6774353</v>
      </c>
      <c r="S98" s="225">
        <v>3259848</v>
      </c>
      <c r="T98" s="225">
        <v>3514505</v>
      </c>
      <c r="U98" s="221"/>
    </row>
    <row r="99" spans="1:21" s="222" customFormat="1">
      <c r="A99" s="223" t="s">
        <v>857</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858</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859</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1129</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861</v>
      </c>
      <c r="B104" s="224">
        <f>SUM(C104:D104)</f>
        <v>6774353</v>
      </c>
      <c r="C104" s="224">
        <f t="shared" ref="C104:T104" si="31">SUM(C98:C103)</f>
        <v>6774353</v>
      </c>
      <c r="D104" s="224">
        <f t="shared" si="31"/>
        <v>0</v>
      </c>
      <c r="E104" s="224">
        <f t="shared" si="31"/>
        <v>1200000</v>
      </c>
      <c r="F104" s="224">
        <f t="shared" si="31"/>
        <v>0</v>
      </c>
      <c r="G104" s="224">
        <f t="shared" si="31"/>
        <v>0</v>
      </c>
      <c r="H104" s="224">
        <f t="shared" si="31"/>
        <v>0</v>
      </c>
      <c r="I104" s="224">
        <f t="shared" si="31"/>
        <v>0</v>
      </c>
      <c r="J104" s="224">
        <f t="shared" si="31"/>
        <v>0</v>
      </c>
      <c r="K104" s="224">
        <f t="shared" si="31"/>
        <v>0</v>
      </c>
      <c r="L104" s="224">
        <f t="shared" si="31"/>
        <v>0</v>
      </c>
      <c r="M104" s="224">
        <f t="shared" si="31"/>
        <v>2463575</v>
      </c>
      <c r="N104" s="224">
        <f t="shared" si="31"/>
        <v>3110778</v>
      </c>
      <c r="O104" s="224">
        <f t="shared" si="31"/>
        <v>0</v>
      </c>
      <c r="P104" s="224">
        <f t="shared" si="31"/>
        <v>0</v>
      </c>
      <c r="Q104" s="224">
        <f t="shared" si="31"/>
        <v>0</v>
      </c>
      <c r="R104" s="558">
        <f>SUM(R98:R103)</f>
        <v>6774353</v>
      </c>
      <c r="S104" s="228">
        <f t="shared" si="31"/>
        <v>3259848</v>
      </c>
      <c r="T104" s="228">
        <f t="shared" si="31"/>
        <v>3514505</v>
      </c>
      <c r="U104" s="221"/>
    </row>
    <row r="105" spans="1:21" s="222" customFormat="1">
      <c r="A105" s="227" t="s">
        <v>862</v>
      </c>
      <c r="B105" s="228">
        <f>SUM(C105:D105)</f>
        <v>61372766</v>
      </c>
      <c r="C105" s="228">
        <f t="shared" ref="C105:R105" si="32">SUM(C96+C104)</f>
        <v>61372766</v>
      </c>
      <c r="D105" s="228">
        <f t="shared" si="32"/>
        <v>0</v>
      </c>
      <c r="E105" s="228">
        <f t="shared" si="32"/>
        <v>19808839</v>
      </c>
      <c r="F105" s="228">
        <f t="shared" si="32"/>
        <v>8465000</v>
      </c>
      <c r="G105" s="228">
        <f t="shared" si="32"/>
        <v>8677431</v>
      </c>
      <c r="H105" s="228">
        <f t="shared" si="32"/>
        <v>250000</v>
      </c>
      <c r="I105" s="228">
        <f t="shared" si="32"/>
        <v>1000000</v>
      </c>
      <c r="J105" s="228">
        <f t="shared" si="32"/>
        <v>589758</v>
      </c>
      <c r="K105" s="228">
        <f t="shared" si="32"/>
        <v>10077285</v>
      </c>
      <c r="L105" s="228">
        <f t="shared" si="32"/>
        <v>6930000</v>
      </c>
      <c r="M105" s="228">
        <f t="shared" si="32"/>
        <v>2463575</v>
      </c>
      <c r="N105" s="228">
        <f t="shared" si="32"/>
        <v>3110778</v>
      </c>
      <c r="O105" s="228">
        <f t="shared" si="32"/>
        <v>100</v>
      </c>
      <c r="P105" s="228">
        <f t="shared" si="32"/>
        <v>0</v>
      </c>
      <c r="Q105" s="228">
        <f t="shared" si="32"/>
        <v>0</v>
      </c>
      <c r="R105" s="558">
        <f t="shared" si="32"/>
        <v>61372766</v>
      </c>
      <c r="S105" s="228">
        <f>S96+S104</f>
        <v>27406873</v>
      </c>
      <c r="T105" s="228">
        <f>T96+T104</f>
        <v>29547872</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27406873</v>
      </c>
      <c r="T107" s="242">
        <f>T105+T106</f>
        <v>29547872</v>
      </c>
    </row>
    <row r="108" spans="1:21" s="310" customFormat="1">
      <c r="A108" s="241" t="s">
        <v>974</v>
      </c>
      <c r="B108" s="236"/>
      <c r="C108" s="236"/>
      <c r="D108" s="236"/>
      <c r="E108" s="481">
        <f>Application!AG631</f>
        <v>19808839</v>
      </c>
      <c r="F108" s="481">
        <f>Application!AG618</f>
        <v>8465000</v>
      </c>
      <c r="G108" s="481">
        <f>Application!AG619</f>
        <v>8677431</v>
      </c>
      <c r="H108" s="481">
        <f>Application!AG620</f>
        <v>250000</v>
      </c>
      <c r="I108" s="481">
        <f>Application!AG621</f>
        <v>1000000</v>
      </c>
      <c r="J108" s="481">
        <f>Application!AG622</f>
        <v>589758</v>
      </c>
      <c r="K108" s="481">
        <f>Application!AG623</f>
        <v>10077285</v>
      </c>
      <c r="L108" s="481">
        <f>Application!AG624</f>
        <v>6930000</v>
      </c>
      <c r="M108" s="481">
        <f>Application!AG625</f>
        <v>2463575</v>
      </c>
      <c r="N108" s="481">
        <f>Application!AG626</f>
        <v>3110778</v>
      </c>
      <c r="O108" s="481">
        <f>Application!AG627</f>
        <v>100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7" t="s">
        <v>1493</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1137</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1138</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1142</v>
      </c>
      <c r="E129" s="1602"/>
      <c r="F129" s="1602"/>
      <c r="G129" s="1602"/>
      <c r="H129" s="160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03"/>
      <c r="E131" s="1603"/>
      <c r="F131" s="1603"/>
      <c r="G131" s="1603"/>
      <c r="H131" s="1603"/>
      <c r="I131" s="534"/>
      <c r="J131" s="1603"/>
      <c r="K131" s="1603"/>
      <c r="L131" s="1603"/>
      <c r="M131" s="1603"/>
      <c r="N131" s="534"/>
      <c r="O131" s="534"/>
      <c r="P131" s="534"/>
      <c r="Q131" s="534"/>
      <c r="R131" s="534"/>
      <c r="S131" s="534"/>
      <c r="T131" s="535"/>
      <c r="U131" s="537"/>
    </row>
    <row r="132" spans="1:21" ht="12" customHeight="1">
      <c r="A132" s="548"/>
      <c r="B132" s="534"/>
      <c r="C132" s="534"/>
      <c r="D132" s="1609" t="s">
        <v>1145</v>
      </c>
      <c r="E132" s="1609"/>
      <c r="F132" s="1609"/>
      <c r="G132" s="1609"/>
      <c r="H132" s="1609"/>
      <c r="I132" s="534"/>
      <c r="J132" s="1609" t="s">
        <v>1146</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1"/>
      <c r="F138" s="1601"/>
      <c r="G138" s="534"/>
      <c r="H138" s="534"/>
      <c r="I138" s="534"/>
      <c r="J138" s="534"/>
      <c r="K138" s="534"/>
      <c r="L138" s="534"/>
      <c r="M138" s="534"/>
      <c r="N138" s="534"/>
      <c r="O138" s="534"/>
      <c r="P138" s="534"/>
      <c r="Q138" s="534"/>
      <c r="R138" s="534"/>
      <c r="S138" s="534"/>
      <c r="T138" s="541"/>
      <c r="U138" s="542"/>
    </row>
    <row r="139" spans="1:21" ht="12.75">
      <c r="A139" s="1605" t="s">
        <v>1149</v>
      </c>
      <c r="B139" s="1606"/>
      <c r="C139" s="160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5">
    <cfRule type="cellIs" dxfId="124" priority="229" stopIfTrue="1" operator="notEqual">
      <formula>$B25</formula>
    </cfRule>
    <cfRule type="cellIs" priority="230" stopIfTrue="1" operator="notEqual">
      <formula>$B25</formula>
    </cfRule>
  </conditionalFormatting>
  <conditionalFormatting sqref="R17:R24">
    <cfRule type="cellIs" dxfId="123" priority="228" stopIfTrue="1" operator="notEqual">
      <formula>$B17</formula>
    </cfRule>
  </conditionalFormatting>
  <conditionalFormatting sqref="R26">
    <cfRule type="cellIs" dxfId="122" priority="227" stopIfTrue="1" operator="notEqual">
      <formula>$B26</formula>
    </cfRule>
  </conditionalFormatting>
  <conditionalFormatting sqref="R36">
    <cfRule type="cellIs" dxfId="121" priority="225" stopIfTrue="1" operator="notEqual">
      <formula>$B36</formula>
    </cfRule>
    <cfRule type="cellIs" priority="226" stopIfTrue="1" operator="notEqual">
      <formula>$B36</formula>
    </cfRule>
  </conditionalFormatting>
  <conditionalFormatting sqref="R28:R35">
    <cfRule type="cellIs" dxfId="120" priority="224" stopIfTrue="1" operator="notEqual">
      <formula>$B28</formula>
    </cfRule>
  </conditionalFormatting>
  <conditionalFormatting sqref="R40">
    <cfRule type="cellIs" dxfId="119" priority="222" stopIfTrue="1" operator="notEqual">
      <formula>$B40</formula>
    </cfRule>
    <cfRule type="cellIs" priority="223" stopIfTrue="1" operator="notEqual">
      <formula>$B40</formula>
    </cfRule>
  </conditionalFormatting>
  <conditionalFormatting sqref="R38:R39">
    <cfRule type="cellIs" dxfId="118" priority="221" stopIfTrue="1" operator="notEqual">
      <formula>$B38</formula>
    </cfRule>
  </conditionalFormatting>
  <conditionalFormatting sqref="R41">
    <cfRule type="cellIs" dxfId="117" priority="220" stopIfTrue="1" operator="notEqual">
      <formula>$B41</formula>
    </cfRule>
  </conditionalFormatting>
  <conditionalFormatting sqref="R53">
    <cfRule type="cellIs" dxfId="116" priority="218" stopIfTrue="1" operator="notEqual">
      <formula>$B53</formula>
    </cfRule>
    <cfRule type="cellIs" priority="219" stopIfTrue="1" operator="notEqual">
      <formula>$B53</formula>
    </cfRule>
  </conditionalFormatting>
  <conditionalFormatting sqref="R43:R52">
    <cfRule type="cellIs" dxfId="115" priority="217" stopIfTrue="1" operator="notEqual">
      <formula>$B43</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55:R61">
    <cfRule type="cellIs" dxfId="113" priority="214" stopIfTrue="1" operator="notEqual">
      <formula>$B55</formula>
    </cfRule>
  </conditionalFormatting>
  <conditionalFormatting sqref="R67">
    <cfRule type="cellIs" dxfId="112" priority="212" stopIfTrue="1" operator="notEqual">
      <formula>$B67</formula>
    </cfRule>
    <cfRule type="cellIs" priority="213" stopIfTrue="1" operator="notEqual">
      <formula>$B67</formula>
    </cfRule>
  </conditionalFormatting>
  <conditionalFormatting sqref="R65:R66">
    <cfRule type="cellIs" dxfId="111" priority="211" stopIfTrue="1" operator="notEqual">
      <formula>$B65</formula>
    </cfRule>
  </conditionalFormatting>
  <conditionalFormatting sqref="R74">
    <cfRule type="cellIs" dxfId="110" priority="209" stopIfTrue="1" operator="notEqual">
      <formula>$B74</formula>
    </cfRule>
    <cfRule type="cellIs" priority="210" stopIfTrue="1" operator="notEqual">
      <formula>$B74</formula>
    </cfRule>
  </conditionalFormatting>
  <conditionalFormatting sqref="R95">
    <cfRule type="cellIs" dxfId="109" priority="207" stopIfTrue="1" operator="notEqual">
      <formula>$B95</formula>
    </cfRule>
    <cfRule type="cellIs" priority="208" stopIfTrue="1" operator="notEqual">
      <formula>$B95</formula>
    </cfRule>
  </conditionalFormatting>
  <conditionalFormatting sqref="R69:R73">
    <cfRule type="cellIs" dxfId="108" priority="206" stopIfTrue="1" operator="notEqual">
      <formula>$B69</formula>
    </cfRule>
  </conditionalFormatting>
  <conditionalFormatting sqref="R76:R77">
    <cfRule type="cellIs" dxfId="107" priority="205" stopIfTrue="1" operator="notEqual">
      <formula>$B76</formula>
    </cfRule>
  </conditionalFormatting>
  <conditionalFormatting sqref="R80:R94">
    <cfRule type="cellIs" dxfId="106" priority="204" stopIfTrue="1" operator="notEqual">
      <formula>$B80</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R98:R103">
    <cfRule type="cellIs" dxfId="104" priority="201" stopIfTrue="1" operator="notEqual">
      <formula>$B98</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S24">
    <cfRule type="expression" dxfId="100" priority="193" stopIfTrue="1">
      <formula>(S17+T17)&gt;C17</formula>
    </cfRule>
  </conditionalFormatting>
  <conditionalFormatting sqref="S26">
    <cfRule type="expression" dxfId="99" priority="171" stopIfTrue="1">
      <formula>(S26+T26)&gt;C26</formula>
    </cfRule>
  </conditionalFormatting>
  <conditionalFormatting sqref="S28">
    <cfRule type="expression" dxfId="98" priority="169" stopIfTrue="1">
      <formula>(S28+T28)&gt;C28</formula>
    </cfRule>
  </conditionalFormatting>
  <conditionalFormatting sqref="S29">
    <cfRule type="expression" dxfId="97" priority="167" stopIfTrue="1">
      <formula>(S29+T29)&gt;C29</formula>
    </cfRule>
  </conditionalFormatting>
  <conditionalFormatting sqref="S30">
    <cfRule type="expression" dxfId="96" priority="166" stopIfTrue="1">
      <formula>(S30+T30)&gt;C30</formula>
    </cfRule>
  </conditionalFormatting>
  <conditionalFormatting sqref="S31">
    <cfRule type="expression" dxfId="95" priority="165" stopIfTrue="1">
      <formula>(S31+T31)&gt;C31</formula>
    </cfRule>
  </conditionalFormatting>
  <conditionalFormatting sqref="S32">
    <cfRule type="expression" dxfId="94" priority="164" stopIfTrue="1">
      <formula>(S32+T32)&gt;C32</formula>
    </cfRule>
  </conditionalFormatting>
  <conditionalFormatting sqref="S33">
    <cfRule type="expression" dxfId="93" priority="163" stopIfTrue="1">
      <formula>(S33+T33)&gt;C33</formula>
    </cfRule>
  </conditionalFormatting>
  <conditionalFormatting sqref="S34">
    <cfRule type="expression" dxfId="92" priority="162" stopIfTrue="1">
      <formula>(S34+T34)&gt;C34</formula>
    </cfRule>
  </conditionalFormatting>
  <conditionalFormatting sqref="S35">
    <cfRule type="expression" dxfId="91" priority="161" stopIfTrue="1">
      <formula>(S35+T35)&gt;C35</formula>
    </cfRule>
  </conditionalFormatting>
  <conditionalFormatting sqref="S38:S39">
    <cfRule type="expression" dxfId="90" priority="153" stopIfTrue="1">
      <formula>(S38+T38)&gt;C38</formula>
    </cfRule>
  </conditionalFormatting>
  <conditionalFormatting sqref="S41">
    <cfRule type="expression" dxfId="89" priority="149" stopIfTrue="1">
      <formula>(S41+T41)&gt;C41</formula>
    </cfRule>
  </conditionalFormatting>
  <conditionalFormatting sqref="S43">
    <cfRule type="expression" dxfId="88" priority="147" stopIfTrue="1">
      <formula>(S43+T43)&gt;C43</formula>
    </cfRule>
  </conditionalFormatting>
  <conditionalFormatting sqref="S44">
    <cfRule type="expression" dxfId="87" priority="142" stopIfTrue="1">
      <formula>(S44+T44)&gt;C44</formula>
    </cfRule>
  </conditionalFormatting>
  <conditionalFormatting sqref="S45">
    <cfRule type="expression" dxfId="86" priority="141" stopIfTrue="1">
      <formula>(S45+T45)&gt;C45</formula>
    </cfRule>
  </conditionalFormatting>
  <conditionalFormatting sqref="S46">
    <cfRule type="expression" dxfId="85" priority="140" stopIfTrue="1">
      <formula>(S46+T46)&gt;C46</formula>
    </cfRule>
  </conditionalFormatting>
  <conditionalFormatting sqref="S47">
    <cfRule type="expression" dxfId="84" priority="139" stopIfTrue="1">
      <formula>(S47+T47)&gt;C47</formula>
    </cfRule>
  </conditionalFormatting>
  <conditionalFormatting sqref="S48:S50">
    <cfRule type="expression" dxfId="83" priority="138" stopIfTrue="1">
      <formula>(S48+T48)&gt;C48</formula>
    </cfRule>
  </conditionalFormatting>
  <conditionalFormatting sqref="S51">
    <cfRule type="expression" dxfId="82" priority="135" stopIfTrue="1">
      <formula>(S51+T51)&gt;C51</formula>
    </cfRule>
  </conditionalFormatting>
  <conditionalFormatting sqref="S52">
    <cfRule type="expression" dxfId="81" priority="134" stopIfTrue="1">
      <formula>(S52+T52)&gt;C52</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S77">
    <cfRule type="expression" dxfId="78" priority="120" stopIfTrue="1">
      <formula>(S76+T76)&gt;C76</formula>
    </cfRule>
  </conditionalFormatting>
  <conditionalFormatting sqref="S81:S84">
    <cfRule type="expression" dxfId="77" priority="116" stopIfTrue="1">
      <formula>(S81+T81)&gt;C81</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
    <cfRule type="expression" dxfId="73" priority="105" stopIfTrue="1">
      <formula>(S89+T89)&gt;C89</formula>
    </cfRule>
  </conditionalFormatting>
  <conditionalFormatting sqref="S90">
    <cfRule type="expression" dxfId="72" priority="104" stopIfTrue="1">
      <formula>(S90+T90)&gt;C90</formula>
    </cfRule>
  </conditionalFormatting>
  <conditionalFormatting sqref="S91:S92">
    <cfRule type="expression" dxfId="71" priority="103" stopIfTrue="1">
      <formula>(S91+T91)&gt;C91</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7109375" style="627" customWidth="1"/>
    <col min="7" max="9" width="12.140625" style="627" customWidth="1"/>
    <col min="10" max="10" width="12.140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140625" style="627" hidden="1" customWidth="1"/>
    <col min="260" max="260" width="12.7109375" style="627" hidden="1" customWidth="1"/>
    <col min="261" max="266" width="12.140625" style="627" hidden="1" customWidth="1"/>
    <col min="267" max="277" width="8.7109375" style="627" hidden="1" customWidth="1"/>
    <col min="278" max="512" width="8.7109375" style="627" hidden="1"/>
    <col min="513" max="513" width="32.7109375" style="627" hidden="1" customWidth="1"/>
    <col min="514" max="515" width="12.140625" style="627" hidden="1" customWidth="1"/>
    <col min="516" max="516" width="12.7109375" style="627" hidden="1" customWidth="1"/>
    <col min="517" max="522" width="12.140625" style="627" hidden="1" customWidth="1"/>
    <col min="523" max="533" width="8.7109375" style="627" hidden="1" customWidth="1"/>
    <col min="534" max="768" width="8.7109375" style="627" hidden="1"/>
    <col min="769" max="769" width="32.7109375" style="627" hidden="1" customWidth="1"/>
    <col min="770" max="771" width="12.140625" style="627" hidden="1" customWidth="1"/>
    <col min="772" max="772" width="12.7109375" style="627" hidden="1" customWidth="1"/>
    <col min="773" max="778" width="12.140625" style="627" hidden="1" customWidth="1"/>
    <col min="779" max="789" width="8.7109375" style="627" hidden="1" customWidth="1"/>
    <col min="790" max="1024" width="8.7109375" style="627" hidden="1"/>
    <col min="1025" max="1025" width="32.7109375" style="627" hidden="1" customWidth="1"/>
    <col min="1026" max="1027" width="12.140625" style="627" hidden="1" customWidth="1"/>
    <col min="1028" max="1028" width="12.7109375" style="627" hidden="1" customWidth="1"/>
    <col min="1029" max="1034" width="12.140625" style="627" hidden="1" customWidth="1"/>
    <col min="1035" max="1045" width="8.7109375" style="627" hidden="1" customWidth="1"/>
    <col min="1046" max="1280" width="8.7109375" style="627" hidden="1"/>
    <col min="1281" max="1281" width="32.7109375" style="627" hidden="1" customWidth="1"/>
    <col min="1282" max="1283" width="12.140625" style="627" hidden="1" customWidth="1"/>
    <col min="1284" max="1284" width="12.7109375" style="627" hidden="1" customWidth="1"/>
    <col min="1285" max="1290" width="12.140625" style="627" hidden="1" customWidth="1"/>
    <col min="1291" max="1301" width="8.7109375" style="627" hidden="1" customWidth="1"/>
    <col min="1302" max="1536" width="8.7109375" style="627" hidden="1"/>
    <col min="1537" max="1537" width="32.7109375" style="627" hidden="1" customWidth="1"/>
    <col min="1538" max="1539" width="12.140625" style="627" hidden="1" customWidth="1"/>
    <col min="1540" max="1540" width="12.7109375" style="627" hidden="1" customWidth="1"/>
    <col min="1541" max="1546" width="12.140625" style="627" hidden="1" customWidth="1"/>
    <col min="1547" max="1557" width="8.7109375" style="627" hidden="1" customWidth="1"/>
    <col min="1558" max="1792" width="8.7109375" style="627" hidden="1"/>
    <col min="1793" max="1793" width="32.7109375" style="627" hidden="1" customWidth="1"/>
    <col min="1794" max="1795" width="12.140625" style="627" hidden="1" customWidth="1"/>
    <col min="1796" max="1796" width="12.7109375" style="627" hidden="1" customWidth="1"/>
    <col min="1797" max="1802" width="12.140625" style="627" hidden="1" customWidth="1"/>
    <col min="1803" max="1813" width="8.7109375" style="627" hidden="1" customWidth="1"/>
    <col min="1814" max="2048" width="8.7109375" style="627" hidden="1"/>
    <col min="2049" max="2049" width="32.7109375" style="627" hidden="1" customWidth="1"/>
    <col min="2050" max="2051" width="12.140625" style="627" hidden="1" customWidth="1"/>
    <col min="2052" max="2052" width="12.7109375" style="627" hidden="1" customWidth="1"/>
    <col min="2053" max="2058" width="12.140625" style="627" hidden="1" customWidth="1"/>
    <col min="2059" max="2069" width="8.7109375" style="627" hidden="1" customWidth="1"/>
    <col min="2070" max="2304" width="8.7109375" style="627" hidden="1"/>
    <col min="2305" max="2305" width="32.7109375" style="627" hidden="1" customWidth="1"/>
    <col min="2306" max="2307" width="12.140625" style="627" hidden="1" customWidth="1"/>
    <col min="2308" max="2308" width="12.7109375" style="627" hidden="1" customWidth="1"/>
    <col min="2309" max="2314" width="12.140625" style="627" hidden="1" customWidth="1"/>
    <col min="2315" max="2325" width="8.7109375" style="627" hidden="1" customWidth="1"/>
    <col min="2326" max="2560" width="8.7109375" style="627" hidden="1"/>
    <col min="2561" max="2561" width="32.7109375" style="627" hidden="1" customWidth="1"/>
    <col min="2562" max="2563" width="12.140625" style="627" hidden="1" customWidth="1"/>
    <col min="2564" max="2564" width="12.7109375" style="627" hidden="1" customWidth="1"/>
    <col min="2565" max="2570" width="12.140625" style="627" hidden="1" customWidth="1"/>
    <col min="2571" max="2581" width="8.7109375" style="627" hidden="1" customWidth="1"/>
    <col min="2582" max="2816" width="8.7109375" style="627" hidden="1"/>
    <col min="2817" max="2817" width="32.7109375" style="627" hidden="1" customWidth="1"/>
    <col min="2818" max="2819" width="12.140625" style="627" hidden="1" customWidth="1"/>
    <col min="2820" max="2820" width="12.7109375" style="627" hidden="1" customWidth="1"/>
    <col min="2821" max="2826" width="12.140625" style="627" hidden="1" customWidth="1"/>
    <col min="2827" max="2837" width="8.7109375" style="627" hidden="1" customWidth="1"/>
    <col min="2838" max="3072" width="8.7109375" style="627" hidden="1"/>
    <col min="3073" max="3073" width="32.7109375" style="627" hidden="1" customWidth="1"/>
    <col min="3074" max="3075" width="12.140625" style="627" hidden="1" customWidth="1"/>
    <col min="3076" max="3076" width="12.7109375" style="627" hidden="1" customWidth="1"/>
    <col min="3077" max="3082" width="12.140625" style="627" hidden="1" customWidth="1"/>
    <col min="3083" max="3093" width="8.7109375" style="627" hidden="1" customWidth="1"/>
    <col min="3094" max="3328" width="8.7109375" style="627" hidden="1"/>
    <col min="3329" max="3329" width="32.7109375" style="627" hidden="1" customWidth="1"/>
    <col min="3330" max="3331" width="12.140625" style="627" hidden="1" customWidth="1"/>
    <col min="3332" max="3332" width="12.7109375" style="627" hidden="1" customWidth="1"/>
    <col min="3333" max="3338" width="12.140625" style="627" hidden="1" customWidth="1"/>
    <col min="3339" max="3349" width="8.7109375" style="627" hidden="1" customWidth="1"/>
    <col min="3350" max="3584" width="8.7109375" style="627" hidden="1"/>
    <col min="3585" max="3585" width="32.7109375" style="627" hidden="1" customWidth="1"/>
    <col min="3586" max="3587" width="12.140625" style="627" hidden="1" customWidth="1"/>
    <col min="3588" max="3588" width="12.7109375" style="627" hidden="1" customWidth="1"/>
    <col min="3589" max="3594" width="12.140625" style="627" hidden="1" customWidth="1"/>
    <col min="3595" max="3605" width="8.7109375" style="627" hidden="1" customWidth="1"/>
    <col min="3606" max="3840" width="8.7109375" style="627" hidden="1"/>
    <col min="3841" max="3841" width="32.7109375" style="627" hidden="1" customWidth="1"/>
    <col min="3842" max="3843" width="12.140625" style="627" hidden="1" customWidth="1"/>
    <col min="3844" max="3844" width="12.7109375" style="627" hidden="1" customWidth="1"/>
    <col min="3845" max="3850" width="12.140625" style="627" hidden="1" customWidth="1"/>
    <col min="3851" max="3861" width="8.7109375" style="627" hidden="1" customWidth="1"/>
    <col min="3862" max="4096" width="8.7109375" style="627" hidden="1"/>
    <col min="4097" max="4097" width="32.7109375" style="627" hidden="1" customWidth="1"/>
    <col min="4098" max="4099" width="12.140625" style="627" hidden="1" customWidth="1"/>
    <col min="4100" max="4100" width="12.7109375" style="627" hidden="1" customWidth="1"/>
    <col min="4101" max="4106" width="12.140625" style="627" hidden="1" customWidth="1"/>
    <col min="4107" max="4117" width="8.7109375" style="627" hidden="1" customWidth="1"/>
    <col min="4118" max="4352" width="8.7109375" style="627" hidden="1"/>
    <col min="4353" max="4353" width="32.7109375" style="627" hidden="1" customWidth="1"/>
    <col min="4354" max="4355" width="12.140625" style="627" hidden="1" customWidth="1"/>
    <col min="4356" max="4356" width="12.7109375" style="627" hidden="1" customWidth="1"/>
    <col min="4357" max="4362" width="12.140625" style="627" hidden="1" customWidth="1"/>
    <col min="4363" max="4373" width="8.7109375" style="627" hidden="1" customWidth="1"/>
    <col min="4374" max="4608" width="8.7109375" style="627" hidden="1"/>
    <col min="4609" max="4609" width="32.7109375" style="627" hidden="1" customWidth="1"/>
    <col min="4610" max="4611" width="12.140625" style="627" hidden="1" customWidth="1"/>
    <col min="4612" max="4612" width="12.7109375" style="627" hidden="1" customWidth="1"/>
    <col min="4613" max="4618" width="12.140625" style="627" hidden="1" customWidth="1"/>
    <col min="4619" max="4629" width="8.7109375" style="627" hidden="1" customWidth="1"/>
    <col min="4630" max="4864" width="8.7109375" style="627" hidden="1"/>
    <col min="4865" max="4865" width="32.7109375" style="627" hidden="1" customWidth="1"/>
    <col min="4866" max="4867" width="12.140625" style="627" hidden="1" customWidth="1"/>
    <col min="4868" max="4868" width="12.7109375" style="627" hidden="1" customWidth="1"/>
    <col min="4869" max="4874" width="12.140625" style="627" hidden="1" customWidth="1"/>
    <col min="4875" max="4885" width="8.7109375" style="627" hidden="1" customWidth="1"/>
    <col min="4886" max="5120" width="8.7109375" style="627" hidden="1"/>
    <col min="5121" max="5121" width="32.7109375" style="627" hidden="1" customWidth="1"/>
    <col min="5122" max="5123" width="12.140625" style="627" hidden="1" customWidth="1"/>
    <col min="5124" max="5124" width="12.7109375" style="627" hidden="1" customWidth="1"/>
    <col min="5125" max="5130" width="12.140625" style="627" hidden="1" customWidth="1"/>
    <col min="5131" max="5141" width="8.7109375" style="627" hidden="1" customWidth="1"/>
    <col min="5142" max="5376" width="8.7109375" style="627" hidden="1"/>
    <col min="5377" max="5377" width="32.7109375" style="627" hidden="1" customWidth="1"/>
    <col min="5378" max="5379" width="12.140625" style="627" hidden="1" customWidth="1"/>
    <col min="5380" max="5380" width="12.7109375" style="627" hidden="1" customWidth="1"/>
    <col min="5381" max="5386" width="12.140625" style="627" hidden="1" customWidth="1"/>
    <col min="5387" max="5397" width="8.7109375" style="627" hidden="1" customWidth="1"/>
    <col min="5398" max="5632" width="8.7109375" style="627" hidden="1"/>
    <col min="5633" max="5633" width="32.7109375" style="627" hidden="1" customWidth="1"/>
    <col min="5634" max="5635" width="12.140625" style="627" hidden="1" customWidth="1"/>
    <col min="5636" max="5636" width="12.7109375" style="627" hidden="1" customWidth="1"/>
    <col min="5637" max="5642" width="12.140625" style="627" hidden="1" customWidth="1"/>
    <col min="5643" max="5653" width="8.7109375" style="627" hidden="1" customWidth="1"/>
    <col min="5654" max="5888" width="8.7109375" style="627" hidden="1"/>
    <col min="5889" max="5889" width="32.7109375" style="627" hidden="1" customWidth="1"/>
    <col min="5890" max="5891" width="12.140625" style="627" hidden="1" customWidth="1"/>
    <col min="5892" max="5892" width="12.7109375" style="627" hidden="1" customWidth="1"/>
    <col min="5893" max="5898" width="12.140625" style="627" hidden="1" customWidth="1"/>
    <col min="5899" max="5909" width="8.7109375" style="627" hidden="1" customWidth="1"/>
    <col min="5910" max="6144" width="8.7109375" style="627" hidden="1"/>
    <col min="6145" max="6145" width="32.7109375" style="627" hidden="1" customWidth="1"/>
    <col min="6146" max="6147" width="12.140625" style="627" hidden="1" customWidth="1"/>
    <col min="6148" max="6148" width="12.7109375" style="627" hidden="1" customWidth="1"/>
    <col min="6149" max="6154" width="12.140625" style="627" hidden="1" customWidth="1"/>
    <col min="6155" max="6165" width="8.7109375" style="627" hidden="1" customWidth="1"/>
    <col min="6166" max="6400" width="8.7109375" style="627" hidden="1"/>
    <col min="6401" max="6401" width="32.7109375" style="627" hidden="1" customWidth="1"/>
    <col min="6402" max="6403" width="12.140625" style="627" hidden="1" customWidth="1"/>
    <col min="6404" max="6404" width="12.7109375" style="627" hidden="1" customWidth="1"/>
    <col min="6405" max="6410" width="12.140625" style="627" hidden="1" customWidth="1"/>
    <col min="6411" max="6421" width="8.7109375" style="627" hidden="1" customWidth="1"/>
    <col min="6422" max="6656" width="8.7109375" style="627" hidden="1"/>
    <col min="6657" max="6657" width="32.7109375" style="627" hidden="1" customWidth="1"/>
    <col min="6658" max="6659" width="12.140625" style="627" hidden="1" customWidth="1"/>
    <col min="6660" max="6660" width="12.7109375" style="627" hidden="1" customWidth="1"/>
    <col min="6661" max="6666" width="12.140625" style="627" hidden="1" customWidth="1"/>
    <col min="6667" max="6677" width="8.7109375" style="627" hidden="1" customWidth="1"/>
    <col min="6678" max="6912" width="8.7109375" style="627" hidden="1"/>
    <col min="6913" max="6913" width="32.7109375" style="627" hidden="1" customWidth="1"/>
    <col min="6914" max="6915" width="12.140625" style="627" hidden="1" customWidth="1"/>
    <col min="6916" max="6916" width="12.7109375" style="627" hidden="1" customWidth="1"/>
    <col min="6917" max="6922" width="12.140625" style="627" hidden="1" customWidth="1"/>
    <col min="6923" max="6933" width="8.7109375" style="627" hidden="1" customWidth="1"/>
    <col min="6934" max="7168" width="8.7109375" style="627" hidden="1"/>
    <col min="7169" max="7169" width="32.7109375" style="627" hidden="1" customWidth="1"/>
    <col min="7170" max="7171" width="12.140625" style="627" hidden="1" customWidth="1"/>
    <col min="7172" max="7172" width="12.7109375" style="627" hidden="1" customWidth="1"/>
    <col min="7173" max="7178" width="12.140625" style="627" hidden="1" customWidth="1"/>
    <col min="7179" max="7189" width="8.7109375" style="627" hidden="1" customWidth="1"/>
    <col min="7190" max="7424" width="8.7109375" style="627" hidden="1"/>
    <col min="7425" max="7425" width="32.7109375" style="627" hidden="1" customWidth="1"/>
    <col min="7426" max="7427" width="12.140625" style="627" hidden="1" customWidth="1"/>
    <col min="7428" max="7428" width="12.7109375" style="627" hidden="1" customWidth="1"/>
    <col min="7429" max="7434" width="12.140625" style="627" hidden="1" customWidth="1"/>
    <col min="7435" max="7445" width="8.7109375" style="627" hidden="1" customWidth="1"/>
    <col min="7446" max="7680" width="8.7109375" style="627" hidden="1"/>
    <col min="7681" max="7681" width="32.7109375" style="627" hidden="1" customWidth="1"/>
    <col min="7682" max="7683" width="12.140625" style="627" hidden="1" customWidth="1"/>
    <col min="7684" max="7684" width="12.7109375" style="627" hidden="1" customWidth="1"/>
    <col min="7685" max="7690" width="12.140625" style="627" hidden="1" customWidth="1"/>
    <col min="7691" max="7701" width="8.7109375" style="627" hidden="1" customWidth="1"/>
    <col min="7702" max="7936" width="8.7109375" style="627" hidden="1"/>
    <col min="7937" max="7937" width="32.7109375" style="627" hidden="1" customWidth="1"/>
    <col min="7938" max="7939" width="12.140625" style="627" hidden="1" customWidth="1"/>
    <col min="7940" max="7940" width="12.7109375" style="627" hidden="1" customWidth="1"/>
    <col min="7941" max="7946" width="12.140625" style="627" hidden="1" customWidth="1"/>
    <col min="7947" max="7957" width="8.7109375" style="627" hidden="1" customWidth="1"/>
    <col min="7958" max="8192" width="8.7109375" style="627" hidden="1"/>
    <col min="8193" max="8193" width="32.7109375" style="627" hidden="1" customWidth="1"/>
    <col min="8194" max="8195" width="12.140625" style="627" hidden="1" customWidth="1"/>
    <col min="8196" max="8196" width="12.7109375" style="627" hidden="1" customWidth="1"/>
    <col min="8197" max="8202" width="12.140625" style="627" hidden="1" customWidth="1"/>
    <col min="8203" max="8213" width="8.7109375" style="627" hidden="1" customWidth="1"/>
    <col min="8214" max="8448" width="8.7109375" style="627" hidden="1"/>
    <col min="8449" max="8449" width="32.7109375" style="627" hidden="1" customWidth="1"/>
    <col min="8450" max="8451" width="12.140625" style="627" hidden="1" customWidth="1"/>
    <col min="8452" max="8452" width="12.7109375" style="627" hidden="1" customWidth="1"/>
    <col min="8453" max="8458" width="12.140625" style="627" hidden="1" customWidth="1"/>
    <col min="8459" max="8469" width="8.7109375" style="627" hidden="1" customWidth="1"/>
    <col min="8470" max="8704" width="8.7109375" style="627" hidden="1"/>
    <col min="8705" max="8705" width="32.7109375" style="627" hidden="1" customWidth="1"/>
    <col min="8706" max="8707" width="12.140625" style="627" hidden="1" customWidth="1"/>
    <col min="8708" max="8708" width="12.7109375" style="627" hidden="1" customWidth="1"/>
    <col min="8709" max="8714" width="12.140625" style="627" hidden="1" customWidth="1"/>
    <col min="8715" max="8725" width="8.7109375" style="627" hidden="1" customWidth="1"/>
    <col min="8726" max="8960" width="8.7109375" style="627" hidden="1"/>
    <col min="8961" max="8961" width="32.7109375" style="627" hidden="1" customWidth="1"/>
    <col min="8962" max="8963" width="12.140625" style="627" hidden="1" customWidth="1"/>
    <col min="8964" max="8964" width="12.7109375" style="627" hidden="1" customWidth="1"/>
    <col min="8965" max="8970" width="12.140625" style="627" hidden="1" customWidth="1"/>
    <col min="8971" max="8981" width="8.7109375" style="627" hidden="1" customWidth="1"/>
    <col min="8982" max="9216" width="8.7109375" style="627" hidden="1"/>
    <col min="9217" max="9217" width="32.7109375" style="627" hidden="1" customWidth="1"/>
    <col min="9218" max="9219" width="12.140625" style="627" hidden="1" customWidth="1"/>
    <col min="9220" max="9220" width="12.7109375" style="627" hidden="1" customWidth="1"/>
    <col min="9221" max="9226" width="12.140625" style="627" hidden="1" customWidth="1"/>
    <col min="9227" max="9237" width="8.7109375" style="627" hidden="1" customWidth="1"/>
    <col min="9238" max="9472" width="8.7109375" style="627" hidden="1"/>
    <col min="9473" max="9473" width="32.7109375" style="627" hidden="1" customWidth="1"/>
    <col min="9474" max="9475" width="12.140625" style="627" hidden="1" customWidth="1"/>
    <col min="9476" max="9476" width="12.7109375" style="627" hidden="1" customWidth="1"/>
    <col min="9477" max="9482" width="12.140625" style="627" hidden="1" customWidth="1"/>
    <col min="9483" max="9493" width="8.7109375" style="627" hidden="1" customWidth="1"/>
    <col min="9494" max="9728" width="8.7109375" style="627" hidden="1"/>
    <col min="9729" max="9729" width="32.7109375" style="627" hidden="1" customWidth="1"/>
    <col min="9730" max="9731" width="12.140625" style="627" hidden="1" customWidth="1"/>
    <col min="9732" max="9732" width="12.7109375" style="627" hidden="1" customWidth="1"/>
    <col min="9733" max="9738" width="12.140625" style="627" hidden="1" customWidth="1"/>
    <col min="9739" max="9749" width="8.7109375" style="627" hidden="1" customWidth="1"/>
    <col min="9750" max="9984" width="8.7109375" style="627" hidden="1"/>
    <col min="9985" max="9985" width="32.7109375" style="627" hidden="1" customWidth="1"/>
    <col min="9986" max="9987" width="12.140625" style="627" hidden="1" customWidth="1"/>
    <col min="9988" max="9988" width="12.7109375" style="627" hidden="1" customWidth="1"/>
    <col min="9989" max="9994" width="12.140625" style="627" hidden="1" customWidth="1"/>
    <col min="9995" max="10005" width="8.7109375" style="627" hidden="1" customWidth="1"/>
    <col min="10006" max="10240" width="8.7109375" style="627" hidden="1"/>
    <col min="10241" max="10241" width="32.7109375" style="627" hidden="1" customWidth="1"/>
    <col min="10242" max="10243" width="12.140625" style="627" hidden="1" customWidth="1"/>
    <col min="10244" max="10244" width="12.7109375" style="627" hidden="1" customWidth="1"/>
    <col min="10245" max="10250" width="12.140625" style="627" hidden="1" customWidth="1"/>
    <col min="10251" max="10261" width="8.7109375" style="627" hidden="1" customWidth="1"/>
    <col min="10262" max="10496" width="8.7109375" style="627" hidden="1"/>
    <col min="10497" max="10497" width="32.7109375" style="627" hidden="1" customWidth="1"/>
    <col min="10498" max="10499" width="12.140625" style="627" hidden="1" customWidth="1"/>
    <col min="10500" max="10500" width="12.7109375" style="627" hidden="1" customWidth="1"/>
    <col min="10501" max="10506" width="12.140625" style="627" hidden="1" customWidth="1"/>
    <col min="10507" max="10517" width="8.7109375" style="627" hidden="1" customWidth="1"/>
    <col min="10518" max="10752" width="8.7109375" style="627" hidden="1"/>
    <col min="10753" max="10753" width="32.7109375" style="627" hidden="1" customWidth="1"/>
    <col min="10754" max="10755" width="12.140625" style="627" hidden="1" customWidth="1"/>
    <col min="10756" max="10756" width="12.7109375" style="627" hidden="1" customWidth="1"/>
    <col min="10757" max="10762" width="12.140625" style="627" hidden="1" customWidth="1"/>
    <col min="10763" max="10773" width="8.7109375" style="627" hidden="1" customWidth="1"/>
    <col min="10774" max="11008" width="8.7109375" style="627" hidden="1"/>
    <col min="11009" max="11009" width="32.7109375" style="627" hidden="1" customWidth="1"/>
    <col min="11010" max="11011" width="12.140625" style="627" hidden="1" customWidth="1"/>
    <col min="11012" max="11012" width="12.7109375" style="627" hidden="1" customWidth="1"/>
    <col min="11013" max="11018" width="12.140625" style="627" hidden="1" customWidth="1"/>
    <col min="11019" max="11029" width="8.7109375" style="627" hidden="1" customWidth="1"/>
    <col min="11030" max="11264" width="8.7109375" style="627" hidden="1"/>
    <col min="11265" max="11265" width="32.7109375" style="627" hidden="1" customWidth="1"/>
    <col min="11266" max="11267" width="12.140625" style="627" hidden="1" customWidth="1"/>
    <col min="11268" max="11268" width="12.7109375" style="627" hidden="1" customWidth="1"/>
    <col min="11269" max="11274" width="12.140625" style="627" hidden="1" customWidth="1"/>
    <col min="11275" max="11285" width="8.7109375" style="627" hidden="1" customWidth="1"/>
    <col min="11286" max="11520" width="8.7109375" style="627" hidden="1"/>
    <col min="11521" max="11521" width="32.7109375" style="627" hidden="1" customWidth="1"/>
    <col min="11522" max="11523" width="12.140625" style="627" hidden="1" customWidth="1"/>
    <col min="11524" max="11524" width="12.7109375" style="627" hidden="1" customWidth="1"/>
    <col min="11525" max="11530" width="12.140625" style="627" hidden="1" customWidth="1"/>
    <col min="11531" max="11541" width="8.7109375" style="627" hidden="1" customWidth="1"/>
    <col min="11542" max="11776" width="8.7109375" style="627" hidden="1"/>
    <col min="11777" max="11777" width="32.7109375" style="627" hidden="1" customWidth="1"/>
    <col min="11778" max="11779" width="12.140625" style="627" hidden="1" customWidth="1"/>
    <col min="11780" max="11780" width="12.7109375" style="627" hidden="1" customWidth="1"/>
    <col min="11781" max="11786" width="12.140625" style="627" hidden="1" customWidth="1"/>
    <col min="11787" max="11797" width="8.7109375" style="627" hidden="1" customWidth="1"/>
    <col min="11798" max="12032" width="8.7109375" style="627" hidden="1"/>
    <col min="12033" max="12033" width="32.7109375" style="627" hidden="1" customWidth="1"/>
    <col min="12034" max="12035" width="12.140625" style="627" hidden="1" customWidth="1"/>
    <col min="12036" max="12036" width="12.7109375" style="627" hidden="1" customWidth="1"/>
    <col min="12037" max="12042" width="12.140625" style="627" hidden="1" customWidth="1"/>
    <col min="12043" max="12053" width="8.7109375" style="627" hidden="1" customWidth="1"/>
    <col min="12054" max="12288" width="8.7109375" style="627" hidden="1"/>
    <col min="12289" max="12289" width="32.7109375" style="627" hidden="1" customWidth="1"/>
    <col min="12290" max="12291" width="12.140625" style="627" hidden="1" customWidth="1"/>
    <col min="12292" max="12292" width="12.7109375" style="627" hidden="1" customWidth="1"/>
    <col min="12293" max="12298" width="12.140625" style="627" hidden="1" customWidth="1"/>
    <col min="12299" max="12309" width="8.7109375" style="627" hidden="1" customWidth="1"/>
    <col min="12310" max="12544" width="8.7109375" style="627" hidden="1"/>
    <col min="12545" max="12545" width="32.7109375" style="627" hidden="1" customWidth="1"/>
    <col min="12546" max="12547" width="12.140625" style="627" hidden="1" customWidth="1"/>
    <col min="12548" max="12548" width="12.7109375" style="627" hidden="1" customWidth="1"/>
    <col min="12549" max="12554" width="12.140625" style="627" hidden="1" customWidth="1"/>
    <col min="12555" max="12565" width="8.7109375" style="627" hidden="1" customWidth="1"/>
    <col min="12566" max="12800" width="8.7109375" style="627" hidden="1"/>
    <col min="12801" max="12801" width="32.7109375" style="627" hidden="1" customWidth="1"/>
    <col min="12802" max="12803" width="12.140625" style="627" hidden="1" customWidth="1"/>
    <col min="12804" max="12804" width="12.7109375" style="627" hidden="1" customWidth="1"/>
    <col min="12805" max="12810" width="12.140625" style="627" hidden="1" customWidth="1"/>
    <col min="12811" max="12821" width="8.7109375" style="627" hidden="1" customWidth="1"/>
    <col min="12822" max="13056" width="8.7109375" style="627" hidden="1"/>
    <col min="13057" max="13057" width="32.7109375" style="627" hidden="1" customWidth="1"/>
    <col min="13058" max="13059" width="12.140625" style="627" hidden="1" customWidth="1"/>
    <col min="13060" max="13060" width="12.7109375" style="627" hidden="1" customWidth="1"/>
    <col min="13061" max="13066" width="12.140625" style="627" hidden="1" customWidth="1"/>
    <col min="13067" max="13077" width="8.7109375" style="627" hidden="1" customWidth="1"/>
    <col min="13078" max="13312" width="8.7109375" style="627" hidden="1"/>
    <col min="13313" max="13313" width="32.7109375" style="627" hidden="1" customWidth="1"/>
    <col min="13314" max="13315" width="12.140625" style="627" hidden="1" customWidth="1"/>
    <col min="13316" max="13316" width="12.7109375" style="627" hidden="1" customWidth="1"/>
    <col min="13317" max="13322" width="12.140625" style="627" hidden="1" customWidth="1"/>
    <col min="13323" max="13333" width="8.7109375" style="627" hidden="1" customWidth="1"/>
    <col min="13334" max="13568" width="8.7109375" style="627" hidden="1"/>
    <col min="13569" max="13569" width="32.7109375" style="627" hidden="1" customWidth="1"/>
    <col min="13570" max="13571" width="12.140625" style="627" hidden="1" customWidth="1"/>
    <col min="13572" max="13572" width="12.7109375" style="627" hidden="1" customWidth="1"/>
    <col min="13573" max="13578" width="12.140625" style="627" hidden="1" customWidth="1"/>
    <col min="13579" max="13589" width="8.7109375" style="627" hidden="1" customWidth="1"/>
    <col min="13590" max="13824" width="8.7109375" style="627" hidden="1"/>
    <col min="13825" max="13825" width="32.7109375" style="627" hidden="1" customWidth="1"/>
    <col min="13826" max="13827" width="12.140625" style="627" hidden="1" customWidth="1"/>
    <col min="13828" max="13828" width="12.7109375" style="627" hidden="1" customWidth="1"/>
    <col min="13829" max="13834" width="12.140625" style="627" hidden="1" customWidth="1"/>
    <col min="13835" max="13845" width="8.7109375" style="627" hidden="1" customWidth="1"/>
    <col min="13846" max="14080" width="8.7109375" style="627" hidden="1"/>
    <col min="14081" max="14081" width="32.7109375" style="627" hidden="1" customWidth="1"/>
    <col min="14082" max="14083" width="12.140625" style="627" hidden="1" customWidth="1"/>
    <col min="14084" max="14084" width="12.7109375" style="627" hidden="1" customWidth="1"/>
    <col min="14085" max="14090" width="12.140625" style="627" hidden="1" customWidth="1"/>
    <col min="14091" max="14101" width="8.7109375" style="627" hidden="1" customWidth="1"/>
    <col min="14102" max="14336" width="8.7109375" style="627" hidden="1"/>
    <col min="14337" max="14337" width="32.7109375" style="627" hidden="1" customWidth="1"/>
    <col min="14338" max="14339" width="12.140625" style="627" hidden="1" customWidth="1"/>
    <col min="14340" max="14340" width="12.7109375" style="627" hidden="1" customWidth="1"/>
    <col min="14341" max="14346" width="12.140625" style="627" hidden="1" customWidth="1"/>
    <col min="14347" max="14357" width="8.7109375" style="627" hidden="1" customWidth="1"/>
    <col min="14358" max="14592" width="8.7109375" style="627" hidden="1"/>
    <col min="14593" max="14593" width="32.7109375" style="627" hidden="1" customWidth="1"/>
    <col min="14594" max="14595" width="12.140625" style="627" hidden="1" customWidth="1"/>
    <col min="14596" max="14596" width="12.7109375" style="627" hidden="1" customWidth="1"/>
    <col min="14597" max="14602" width="12.140625" style="627" hidden="1" customWidth="1"/>
    <col min="14603" max="14613" width="8.7109375" style="627" hidden="1" customWidth="1"/>
    <col min="14614" max="14848" width="8.7109375" style="627" hidden="1"/>
    <col min="14849" max="14849" width="32.7109375" style="627" hidden="1" customWidth="1"/>
    <col min="14850" max="14851" width="12.140625" style="627" hidden="1" customWidth="1"/>
    <col min="14852" max="14852" width="12.7109375" style="627" hidden="1" customWidth="1"/>
    <col min="14853" max="14858" width="12.140625" style="627" hidden="1" customWidth="1"/>
    <col min="14859" max="14869" width="8.7109375" style="627" hidden="1" customWidth="1"/>
    <col min="14870" max="15104" width="8.7109375" style="627" hidden="1"/>
    <col min="15105" max="15105" width="32.7109375" style="627" hidden="1" customWidth="1"/>
    <col min="15106" max="15107" width="12.140625" style="627" hidden="1" customWidth="1"/>
    <col min="15108" max="15108" width="12.7109375" style="627" hidden="1" customWidth="1"/>
    <col min="15109" max="15114" width="12.140625" style="627" hidden="1" customWidth="1"/>
    <col min="15115" max="15125" width="8.7109375" style="627" hidden="1" customWidth="1"/>
    <col min="15126" max="15360" width="8.7109375" style="627" hidden="1"/>
    <col min="15361" max="15361" width="32.7109375" style="627" hidden="1" customWidth="1"/>
    <col min="15362" max="15363" width="12.140625" style="627" hidden="1" customWidth="1"/>
    <col min="15364" max="15364" width="12.7109375" style="627" hidden="1" customWidth="1"/>
    <col min="15365" max="15370" width="12.140625" style="627" hidden="1" customWidth="1"/>
    <col min="15371" max="15381" width="8.7109375" style="627" hidden="1" customWidth="1"/>
    <col min="15382" max="15616" width="8.7109375" style="627" hidden="1"/>
    <col min="15617" max="15617" width="32.7109375" style="627" hidden="1" customWidth="1"/>
    <col min="15618" max="15619" width="12.140625" style="627" hidden="1" customWidth="1"/>
    <col min="15620" max="15620" width="12.7109375" style="627" hidden="1" customWidth="1"/>
    <col min="15621" max="15626" width="12.140625" style="627" hidden="1" customWidth="1"/>
    <col min="15627" max="15637" width="8.7109375" style="627" hidden="1" customWidth="1"/>
    <col min="15638" max="15872" width="8.7109375" style="627" hidden="1"/>
    <col min="15873" max="15873" width="32.7109375" style="627" hidden="1" customWidth="1"/>
    <col min="15874" max="15875" width="12.140625" style="627" hidden="1" customWidth="1"/>
    <col min="15876" max="15876" width="12.7109375" style="627" hidden="1" customWidth="1"/>
    <col min="15877" max="15882" width="12.140625" style="627" hidden="1" customWidth="1"/>
    <col min="15883" max="15893" width="8.7109375" style="627" hidden="1" customWidth="1"/>
    <col min="15894" max="16128" width="8.7109375" style="627" hidden="1"/>
    <col min="16129" max="16129" width="32.7109375" style="627" hidden="1" customWidth="1"/>
    <col min="16130" max="16131" width="12.140625" style="627" hidden="1" customWidth="1"/>
    <col min="16132" max="16132" width="12.7109375" style="627" hidden="1" customWidth="1"/>
    <col min="16133" max="16138" width="12.140625" style="627" hidden="1" customWidth="1"/>
    <col min="16139" max="16149" width="8.7109375" style="627" hidden="1" customWidth="1"/>
    <col min="16150" max="16384" width="8.7109375" style="627" hidden="1"/>
  </cols>
  <sheetData>
    <row r="1" spans="1:11" s="584" customFormat="1" ht="12.75">
      <c r="A1" s="1618" t="s">
        <v>1496</v>
      </c>
      <c r="B1" s="1619"/>
      <c r="C1" s="1619"/>
      <c r="D1" s="1619"/>
      <c r="E1" s="1619"/>
      <c r="F1" s="1619"/>
      <c r="G1" s="1619"/>
      <c r="H1" s="1619"/>
      <c r="I1" s="1619"/>
      <c r="J1" s="162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1999000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1999000</v>
      </c>
      <c r="C8" s="589">
        <f>SUM(C4:C7)</f>
        <v>0</v>
      </c>
      <c r="D8" s="589">
        <f>SUM(D4:D7)</f>
        <v>0</v>
      </c>
      <c r="E8" s="591"/>
      <c r="F8" s="591"/>
      <c r="G8" s="591"/>
      <c r="H8" s="591"/>
      <c r="I8" s="591"/>
      <c r="J8" s="591"/>
      <c r="K8" s="587"/>
    </row>
    <row r="9" spans="1:11" s="588" customFormat="1">
      <c r="A9" s="592" t="s">
        <v>645</v>
      </c>
      <c r="B9" s="589">
        <f>'Sources and Uses Budget'!C9</f>
        <v>26001000</v>
      </c>
      <c r="C9" s="590"/>
      <c r="D9" s="590"/>
      <c r="E9" s="591"/>
      <c r="F9" s="591"/>
      <c r="G9" s="591"/>
      <c r="H9" s="589">
        <f>'Sources and Uses Budget'!T9</f>
        <v>26001000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26001000</v>
      </c>
      <c r="C11" s="589">
        <f>SUM(C9:C10)</f>
        <v>0</v>
      </c>
      <c r="D11" s="589">
        <f>SUM(D9:D10)</f>
        <v>0</v>
      </c>
      <c r="E11" s="591"/>
      <c r="F11" s="591"/>
      <c r="G11" s="591"/>
      <c r="H11" s="589">
        <f>'Sources and Uses Budget'!T11</f>
        <v>26001000</v>
      </c>
      <c r="I11" s="589">
        <f>SUM(I9:I10)</f>
        <v>0</v>
      </c>
      <c r="J11" s="589">
        <f>SUM(J9:J10)</f>
        <v>0</v>
      </c>
      <c r="K11" s="587"/>
    </row>
    <row r="12" spans="1:11" s="588" customFormat="1">
      <c r="A12" s="593" t="s">
        <v>91</v>
      </c>
      <c r="B12" s="589">
        <f>'Sources and Uses Budget'!C12</f>
        <v>28000000</v>
      </c>
      <c r="C12" s="589">
        <f>SUM(C8+C11)</f>
        <v>0</v>
      </c>
      <c r="D12" s="589">
        <f>SUM(D8+D11)</f>
        <v>0</v>
      </c>
      <c r="E12" s="591"/>
      <c r="F12" s="591"/>
      <c r="G12" s="591"/>
      <c r="H12" s="591"/>
      <c r="I12" s="591"/>
      <c r="J12" s="591"/>
      <c r="K12" s="587"/>
    </row>
    <row r="13" spans="1:11" s="588" customFormat="1">
      <c r="A13" s="594" t="s">
        <v>1001</v>
      </c>
      <c r="B13" s="589">
        <f>'Sources and Uses Budget'!C13</f>
        <v>100000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14679068</v>
      </c>
      <c r="C18" s="590"/>
      <c r="D18" s="590"/>
      <c r="E18" s="589">
        <f>'Sources and Uses Budget'!S18</f>
        <v>14679068</v>
      </c>
      <c r="F18" s="590"/>
      <c r="G18" s="590"/>
      <c r="H18" s="589">
        <f>'Sources and Uses Budget'!T18</f>
        <v>0</v>
      </c>
      <c r="I18" s="590"/>
      <c r="J18" s="590"/>
      <c r="K18" s="587"/>
    </row>
    <row r="19" spans="1:11" s="588" customFormat="1">
      <c r="A19" s="592" t="s">
        <v>651</v>
      </c>
      <c r="B19" s="589">
        <f>'Sources and Uses Budget'!C19</f>
        <v>926497</v>
      </c>
      <c r="C19" s="590"/>
      <c r="D19" s="590"/>
      <c r="E19" s="589">
        <f>'Sources and Uses Budget'!S19</f>
        <v>926497</v>
      </c>
      <c r="F19" s="590"/>
      <c r="G19" s="590"/>
      <c r="H19" s="589">
        <f>'Sources and Uses Budget'!T19</f>
        <v>0</v>
      </c>
      <c r="I19" s="590"/>
      <c r="J19" s="590"/>
      <c r="K19" s="587"/>
    </row>
    <row r="20" spans="1:11" s="588" customFormat="1">
      <c r="A20" s="592" t="s">
        <v>144</v>
      </c>
      <c r="B20" s="589">
        <f>'Sources and Uses Budget'!C20</f>
        <v>783959</v>
      </c>
      <c r="C20" s="590"/>
      <c r="D20" s="590"/>
      <c r="E20" s="589">
        <f>'Sources and Uses Budget'!S20</f>
        <v>783959</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391980</v>
      </c>
      <c r="C23" s="590"/>
      <c r="D23" s="590"/>
      <c r="E23" s="589">
        <f>'Sources and Uses Budget'!S23</f>
        <v>391980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16781504</v>
      </c>
      <c r="C25" s="589">
        <f>SUM(C17:C24)</f>
        <v>0</v>
      </c>
      <c r="D25" s="589">
        <f>SUM(D17:D24)</f>
        <v>0</v>
      </c>
      <c r="E25" s="589">
        <f>'Sources and Uses Budget'!S25</f>
        <v>16781504</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2305700</v>
      </c>
      <c r="C26" s="590"/>
      <c r="D26" s="590"/>
      <c r="E26" s="589">
        <f>'Sources and Uses Budget'!S26</f>
        <v>2305700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405000</v>
      </c>
      <c r="C38" s="590"/>
      <c r="D38" s="590"/>
      <c r="E38" s="589">
        <f>'Sources and Uses Budget'!S38</f>
        <v>405000</v>
      </c>
      <c r="F38" s="590"/>
      <c r="G38" s="590"/>
      <c r="H38" s="589">
        <f>'Sources and Uses Budget'!T38</f>
        <v>0</v>
      </c>
      <c r="I38" s="590"/>
      <c r="J38" s="590"/>
      <c r="K38" s="587"/>
    </row>
    <row r="39" spans="1:11" s="588" customFormat="1">
      <c r="A39" s="592" t="s">
        <v>153</v>
      </c>
      <c r="B39" s="589">
        <f>'Sources and Uses Budget'!C39</f>
        <v>143193</v>
      </c>
      <c r="C39" s="590"/>
      <c r="D39" s="590"/>
      <c r="E39" s="589">
        <f>'Sources and Uses Budget'!S39</f>
        <v>143193</v>
      </c>
      <c r="F39" s="590"/>
      <c r="G39" s="590"/>
      <c r="H39" s="589">
        <f>'Sources and Uses Budget'!T39</f>
        <v>0</v>
      </c>
      <c r="I39" s="590"/>
      <c r="J39" s="590"/>
      <c r="K39" s="587"/>
    </row>
    <row r="40" spans="1:11" s="588" customFormat="1">
      <c r="A40" s="593" t="s">
        <v>154</v>
      </c>
      <c r="B40" s="589">
        <f>'Sources and Uses Budget'!C40</f>
        <v>548193</v>
      </c>
      <c r="C40" s="589">
        <f>SUM(C37:C39)</f>
        <v>0</v>
      </c>
      <c r="D40" s="589">
        <f>SUM(D37:D39)</f>
        <v>0</v>
      </c>
      <c r="E40" s="589">
        <f>'Sources and Uses Budget'!S40</f>
        <v>548193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172647</v>
      </c>
      <c r="C41" s="590"/>
      <c r="D41" s="590"/>
      <c r="E41" s="589">
        <f>'Sources and Uses Budget'!S41</f>
        <v>172647</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2345246</v>
      </c>
      <c r="C43" s="590"/>
      <c r="D43" s="590"/>
      <c r="E43" s="589">
        <f>'Sources and Uses Budget'!S43</f>
        <v>966504</v>
      </c>
      <c r="F43" s="590"/>
      <c r="G43" s="590"/>
      <c r="H43" s="589">
        <f>'Sources and Uses Budget'!T43</f>
        <v>0</v>
      </c>
      <c r="I43" s="590"/>
      <c r="J43" s="590"/>
      <c r="K43" s="587"/>
    </row>
    <row r="44" spans="1:11" s="588" customFormat="1">
      <c r="A44" s="592" t="s">
        <v>158</v>
      </c>
      <c r="B44" s="589">
        <f>'Sources and Uses Budget'!C44</f>
        <v>243180</v>
      </c>
      <c r="C44" s="590"/>
      <c r="D44" s="590"/>
      <c r="E44" s="589">
        <f>'Sources and Uses Budget'!S44</f>
        <v>39175</v>
      </c>
      <c r="F44" s="590"/>
      <c r="G44" s="590"/>
      <c r="H44" s="589">
        <f>'Sources and Uses Budget'!T44</f>
        <v>0</v>
      </c>
      <c r="I44" s="590"/>
      <c r="J44" s="590"/>
      <c r="K44" s="587"/>
    </row>
    <row r="45" spans="1:11" s="588" customFormat="1" ht="12" customHeight="1">
      <c r="A45" s="592" t="s">
        <v>159</v>
      </c>
      <c r="B45" s="589">
        <f>'Sources and Uses Budget'!C45</f>
        <v>40400</v>
      </c>
      <c r="C45" s="590"/>
      <c r="D45" s="590"/>
      <c r="E45" s="589">
        <f>'Sources and Uses Budget'!S45</f>
        <v>6509</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152484</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214031</v>
      </c>
      <c r="C50" s="590"/>
      <c r="D50" s="590"/>
      <c r="E50" s="589">
        <f>'Sources and Uses Budget'!S50</f>
        <v>214031</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3020341</v>
      </c>
      <c r="C53" s="596">
        <f>SUM(C43:C52)</f>
        <v>0</v>
      </c>
      <c r="D53" s="596">
        <f>SUM(D43:D52)</f>
        <v>0</v>
      </c>
      <c r="E53" s="589">
        <f>'Sources and Uses Budget'!S53</f>
        <v>1251219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42325</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14765</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320</v>
      </c>
      <c r="B62" s="589">
        <f>'Sources and Uses Budget'!C62</f>
        <v>72090</v>
      </c>
      <c r="C62" s="589">
        <f>SUM(C55:C61)</f>
        <v>0</v>
      </c>
      <c r="D62" s="589">
        <f>SUM(D55:D61)</f>
        <v>0</v>
      </c>
      <c r="E62" s="591"/>
      <c r="F62" s="591"/>
      <c r="G62" s="591"/>
      <c r="H62" s="591"/>
      <c r="I62" s="591"/>
      <c r="J62" s="591"/>
      <c r="K62" s="587"/>
    </row>
    <row r="63" spans="1:11" s="588" customFormat="1">
      <c r="A63" s="600" t="s">
        <v>321</v>
      </c>
      <c r="B63" s="589">
        <f>'Sources and Uses Budget'!C63</f>
        <v>51000475</v>
      </c>
      <c r="C63" s="589">
        <f>SUM(C8+C11+C13+C14+C15+C25+C26+C36+C40+C41+C53+C62)</f>
        <v>0</v>
      </c>
      <c r="D63" s="589">
        <f>SUM(D8+D11+D13+D14+D15+D25+D26+D36+D40+D41+D53+D62)</f>
        <v>0</v>
      </c>
      <c r="E63" s="589">
        <f>'Sources and Uses Budget'!S63</f>
        <v>21059263</v>
      </c>
      <c r="F63" s="589">
        <f>SUM(F10+F13+F14+F15+F25+F26+F36+F40+F41+F53)</f>
        <v>0</v>
      </c>
      <c r="G63" s="589">
        <f>SUM(G10+G13+G14+G15+G25+G26+G36+G40+G41+G53)</f>
        <v>0</v>
      </c>
      <c r="H63" s="589">
        <f>'Sources and Uses Budget'!T63</f>
        <v>26001000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85000</v>
      </c>
      <c r="C65" s="590"/>
      <c r="D65" s="590"/>
      <c r="E65" s="589">
        <f>'Sources and Uses Budget'!S65</f>
        <v>9665</v>
      </c>
      <c r="F65" s="590"/>
      <c r="G65" s="590"/>
      <c r="H65" s="589">
        <f>'Sources and Uses Budget'!T65</f>
        <v>0</v>
      </c>
      <c r="I65" s="590"/>
      <c r="J65" s="590"/>
      <c r="K65" s="587"/>
    </row>
    <row r="66" spans="1:11" s="588" customFormat="1">
      <c r="A66" s="595" t="str">
        <f>'Sources and Uses Budget'!$A73</f>
        <v>Other: (Specify)</v>
      </c>
      <c r="B66" s="589">
        <f>'Sources and Uses Budget'!C66</f>
        <v>40500</v>
      </c>
      <c r="C66" s="590"/>
      <c r="D66" s="590"/>
      <c r="E66" s="589">
        <f>'Sources and Uses Budget'!S66</f>
        <v>25000</v>
      </c>
      <c r="F66" s="590"/>
      <c r="G66" s="590"/>
      <c r="H66" s="589">
        <f>'Sources and Uses Budget'!T66</f>
        <v>0</v>
      </c>
      <c r="I66" s="590"/>
      <c r="J66" s="590"/>
      <c r="K66" s="587"/>
    </row>
    <row r="67" spans="1:11" s="588" customFormat="1">
      <c r="A67" s="593" t="s">
        <v>652</v>
      </c>
      <c r="B67" s="589">
        <f>'Sources and Uses Budget'!C67</f>
        <v>125500</v>
      </c>
      <c r="C67" s="589">
        <f>SUM(C64:C66)</f>
        <v>0</v>
      </c>
      <c r="D67" s="589">
        <f>SUM(D64:D66)</f>
        <v>0</v>
      </c>
      <c r="E67" s="589">
        <f>'Sources and Uses Budget'!S67</f>
        <v>34665</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268024</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268024</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2131251</v>
      </c>
      <c r="C76" s="590"/>
      <c r="D76" s="590"/>
      <c r="E76" s="589">
        <f>'Sources and Uses Budget'!S76</f>
        <v>2131251</v>
      </c>
      <c r="F76" s="590"/>
      <c r="G76" s="590"/>
      <c r="H76" s="589">
        <f>'Sources and Uses Budget'!T76</f>
        <v>0</v>
      </c>
      <c r="I76" s="590"/>
      <c r="J76" s="590"/>
      <c r="K76" s="587"/>
    </row>
    <row r="77" spans="1:11" s="588" customFormat="1">
      <c r="A77" s="592" t="s">
        <v>63</v>
      </c>
      <c r="B77" s="589">
        <f>'Sources and Uses Budget'!C77</f>
        <v>404835</v>
      </c>
      <c r="C77" s="590"/>
      <c r="D77" s="590"/>
      <c r="E77" s="589">
        <f>'Sources and Uses Budget'!S77</f>
        <v>404835</v>
      </c>
      <c r="F77" s="590"/>
      <c r="G77" s="590"/>
      <c r="H77" s="589">
        <f>'Sources and Uses Budget'!T77</f>
        <v>0</v>
      </c>
      <c r="I77" s="590"/>
      <c r="J77" s="590"/>
      <c r="K77" s="587"/>
    </row>
    <row r="78" spans="1:11" s="588" customFormat="1">
      <c r="A78" s="593" t="s">
        <v>1469</v>
      </c>
      <c r="B78" s="589">
        <f>'Sources and Uses Budget'!C78</f>
        <v>2536086</v>
      </c>
      <c r="C78" s="589">
        <f>SUM(C76:C77)</f>
        <v>0</v>
      </c>
      <c r="D78" s="589">
        <f>SUM(D76:D77)</f>
        <v>0</v>
      </c>
      <c r="E78" s="589">
        <f>'Sources and Uses Budget'!S78</f>
        <v>2536086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9" customHeight="1">
      <c r="A80" s="223" t="s">
        <v>845</v>
      </c>
      <c r="B80" s="589">
        <f>'Sources and Uses Budget'!C80</f>
        <v>50817</v>
      </c>
      <c r="C80" s="590"/>
      <c r="D80" s="590"/>
      <c r="E80" s="591"/>
      <c r="F80" s="591"/>
      <c r="G80" s="591"/>
      <c r="H80" s="591"/>
      <c r="I80" s="591"/>
      <c r="J80" s="591"/>
      <c r="K80" s="587"/>
    </row>
    <row r="81" spans="1:11" s="588" customFormat="1">
      <c r="A81" s="223" t="s">
        <v>846</v>
      </c>
      <c r="B81" s="589">
        <f>'Sources and Uses Budget'!C81</f>
        <v>32011</v>
      </c>
      <c r="C81" s="590"/>
      <c r="D81" s="590"/>
      <c r="E81" s="589">
        <f>'Sources and Uses Budget'!S81</f>
        <v>32011</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200000</v>
      </c>
      <c r="C83" s="590"/>
      <c r="D83" s="590"/>
      <c r="E83" s="589">
        <f>'Sources and Uses Budget'!S83</f>
        <v>200000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60000</v>
      </c>
      <c r="C85" s="590"/>
      <c r="D85" s="590"/>
      <c r="E85" s="591"/>
      <c r="F85" s="591"/>
      <c r="G85" s="591"/>
      <c r="H85" s="591"/>
      <c r="I85" s="591"/>
      <c r="J85" s="591"/>
      <c r="K85" s="587"/>
    </row>
    <row r="86" spans="1:11" s="588" customFormat="1">
      <c r="A86" s="223" t="s">
        <v>851</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852</v>
      </c>
      <c r="B87" s="589">
        <f>'Sources and Uses Budget'!C87</f>
        <v>5500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11000</v>
      </c>
      <c r="C89" s="590"/>
      <c r="D89" s="590"/>
      <c r="E89" s="589">
        <f>'Sources and Uses Budget'!S89</f>
        <v>11000</v>
      </c>
      <c r="F89" s="590"/>
      <c r="G89" s="590"/>
      <c r="H89" s="589">
        <f>'Sources and Uses Budget'!T89</f>
        <v>0</v>
      </c>
      <c r="I89" s="590"/>
      <c r="J89" s="590"/>
      <c r="K89" s="587"/>
    </row>
    <row r="90" spans="1:11" s="588" customFormat="1">
      <c r="A90" s="595" t="str">
        <f>'Sources and Uses Budget'!$A90</f>
        <v>Other: Acquisition Legal/Title &amp; Escrow</v>
      </c>
      <c r="B90" s="589">
        <f>'Sources and Uses Budget'!C90</f>
        <v>35000</v>
      </c>
      <c r="C90" s="590"/>
      <c r="D90" s="590"/>
      <c r="E90" s="589">
        <f>'Sources and Uses Budget'!S90</f>
        <v>0</v>
      </c>
      <c r="F90" s="590"/>
      <c r="G90" s="590"/>
      <c r="H90" s="589">
        <f>'Sources and Uses Budget'!T90</f>
        <v>32367</v>
      </c>
      <c r="I90" s="590"/>
      <c r="J90" s="590"/>
      <c r="K90" s="587"/>
    </row>
    <row r="91" spans="1:11" s="588" customFormat="1">
      <c r="A91" s="595" t="str">
        <f>'Sources and Uses Budget'!$A91</f>
        <v>Other: 3rd Pty Construction Mgr</v>
      </c>
      <c r="B91" s="589">
        <f>'Sources and Uses Budget'!C91</f>
        <v>174000</v>
      </c>
      <c r="C91" s="590"/>
      <c r="D91" s="590"/>
      <c r="E91" s="589">
        <f>'Sources and Uses Budget'!S91</f>
        <v>174000</v>
      </c>
      <c r="F91" s="590"/>
      <c r="G91" s="590"/>
      <c r="H91" s="589">
        <f>'Sources and Uses Budget'!T91</f>
        <v>0</v>
      </c>
      <c r="I91" s="590"/>
      <c r="J91" s="590"/>
      <c r="K91" s="587"/>
    </row>
    <row r="92" spans="1:11" s="588" customFormat="1">
      <c r="A92" s="595" t="str">
        <f>'Sources and Uses Budget'!$A92</f>
        <v>Other: 3rd Pty Prevailing Wage Monitor</v>
      </c>
      <c r="B92" s="589">
        <f>'Sources and Uses Budget'!C92</f>
        <v>50000</v>
      </c>
      <c r="C92" s="590"/>
      <c r="D92" s="590"/>
      <c r="E92" s="589">
        <f>'Sources and Uses Budget'!S92</f>
        <v>50000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668328</v>
      </c>
      <c r="C95" s="589">
        <f>SUM(C80:C94)</f>
        <v>0</v>
      </c>
      <c r="D95" s="589">
        <f>SUM(D80:D94)</f>
        <v>0</v>
      </c>
      <c r="E95" s="589">
        <f>'Sources and Uses Budget'!S95</f>
        <v>517011</v>
      </c>
      <c r="F95" s="596">
        <f>SUM(F81:F84,F86:F94)</f>
        <v>0</v>
      </c>
      <c r="G95" s="596">
        <f>SUM(G81:G84,G86:G94)</f>
        <v>0</v>
      </c>
      <c r="H95" s="589">
        <f>'Sources and Uses Budget'!T95</f>
        <v>32367</v>
      </c>
      <c r="I95" s="589">
        <f>SUM(I81:I84,I86:I94)</f>
        <v>0</v>
      </c>
      <c r="J95" s="589">
        <f>SUM(J81:J84,J86:J94)</f>
        <v>0</v>
      </c>
      <c r="K95" s="587"/>
    </row>
    <row r="96" spans="1:11" s="588" customFormat="1">
      <c r="A96" s="593" t="s">
        <v>1181</v>
      </c>
      <c r="B96" s="589">
        <f>'Sources and Uses Budget'!C96</f>
        <v>54598413</v>
      </c>
      <c r="C96" s="589">
        <f>SUM(C63+C67+C74+C78+C95)</f>
        <v>0</v>
      </c>
      <c r="D96" s="589">
        <f>SUM(D63+D67+D74+D78+D95)</f>
        <v>0</v>
      </c>
      <c r="E96" s="589">
        <f>'Sources and Uses Budget'!S96</f>
        <v>24147025</v>
      </c>
      <c r="F96" s="596">
        <f>SUM(+F63+F67+F78+F95)</f>
        <v>0</v>
      </c>
      <c r="G96" s="596">
        <f>SUM(+G63+G67+G78+G95)</f>
        <v>0</v>
      </c>
      <c r="H96" s="589">
        <f>'Sources and Uses Budget'!T96</f>
        <v>26033367</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6774353</v>
      </c>
      <c r="C98" s="590"/>
      <c r="D98" s="590"/>
      <c r="E98" s="589">
        <f>'Sources and Uses Budget'!S98</f>
        <v>3259848</v>
      </c>
      <c r="F98" s="590"/>
      <c r="G98" s="590"/>
      <c r="H98" s="589">
        <f>'Sources and Uses Budget'!T98</f>
        <v>3514505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6774353</v>
      </c>
      <c r="C104" s="589">
        <f>SUM(C98:C103)</f>
        <v>0</v>
      </c>
      <c r="D104" s="589">
        <f>SUM(D98:D103)</f>
        <v>0</v>
      </c>
      <c r="E104" s="589">
        <f>'Sources and Uses Budget'!S104</f>
        <v>3259848</v>
      </c>
      <c r="F104" s="596">
        <f>SUM(F98:F103)</f>
        <v>0</v>
      </c>
      <c r="G104" s="596">
        <f>SUM(G98:G103)</f>
        <v>0</v>
      </c>
      <c r="H104" s="589">
        <f>'Sources and Uses Budget'!T104</f>
        <v>3514505</v>
      </c>
      <c r="I104" s="596">
        <f>SUM(I98:I103)</f>
        <v>0</v>
      </c>
      <c r="J104" s="596">
        <f>SUM(J98:J103)</f>
        <v>0</v>
      </c>
      <c r="K104" s="587"/>
    </row>
    <row r="105" spans="1:11" s="588" customFormat="1">
      <c r="A105" s="593" t="s">
        <v>1182</v>
      </c>
      <c r="B105" s="589">
        <f>'Sources and Uses Budget'!C105</f>
        <v>61372766</v>
      </c>
      <c r="C105" s="596">
        <f>SUM(C96+C104)</f>
        <v>0</v>
      </c>
      <c r="D105" s="596">
        <f>SUM(D96+D104)</f>
        <v>0</v>
      </c>
      <c r="E105" s="589">
        <f>'Sources and Uses Budget'!S105</f>
        <v>27406873</v>
      </c>
      <c r="F105" s="596">
        <f>F96+F104</f>
        <v>0</v>
      </c>
      <c r="G105" s="596">
        <f>G96+G104</f>
        <v>0</v>
      </c>
      <c r="H105" s="589">
        <f>'Sources and Uses Budget'!T105</f>
        <v>29547872</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27406873</v>
      </c>
      <c r="F107" s="605">
        <f>F105+F106</f>
        <v>0</v>
      </c>
      <c r="G107" s="605">
        <f>G105+G106</f>
        <v>0</v>
      </c>
      <c r="H107" s="589">
        <f>'Sources and Uses Budget'!T107</f>
        <v>29547872</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9" zoomScaleNormal="100" zoomScaleSheetLayoutView="100" workbookViewId="0">
      <selection activeCell="Y39" sqref="Y39:AC39"/>
    </sheetView>
  </sheetViews>
  <sheetFormatPr defaultColWidth="0" defaultRowHeight="0" customHeight="1" zeroHeight="1"/>
  <cols>
    <col min="1" max="1" width="1.42578125" style="815" customWidth="1"/>
    <col min="2" max="2" width="0.71093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71093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71093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71093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71093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71093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71093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71093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71093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71093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71093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71093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71093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71093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71093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71093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71093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71093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71093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71093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71093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71093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71093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71093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71093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71093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71093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71093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71093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71093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71093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71093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71093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71093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71093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71093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71093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71093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71093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71093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71093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71093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71093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71093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71093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71093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71093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71093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71093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71093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71093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71093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71093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71093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71093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71093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71093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71093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71093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71093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71093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71093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71093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71093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8" t="s">
        <v>1600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27406873</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29547872</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1070</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1070</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1552</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27406873</v>
      </c>
      <c r="U23" s="1657"/>
      <c r="V23" s="1657"/>
      <c r="W23" s="1657"/>
      <c r="X23" s="1657"/>
      <c r="Y23" s="1654">
        <f>Y11+Y22</f>
        <v>0</v>
      </c>
      <c r="Z23" s="1657"/>
      <c r="AA23" s="1657"/>
      <c r="AB23" s="1657"/>
      <c r="AC23" s="1657"/>
      <c r="AD23" s="1654">
        <f>AD11+AD22</f>
        <v>29547872</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1071</v>
      </c>
      <c r="C24" s="1637"/>
      <c r="D24" s="1637"/>
      <c r="E24" s="1637"/>
      <c r="F24" s="1637"/>
      <c r="G24" s="1637"/>
      <c r="H24" s="1637"/>
      <c r="I24" s="1637"/>
      <c r="J24" s="1637"/>
      <c r="K24" s="1637"/>
      <c r="L24" s="1637"/>
      <c r="M24" s="1637"/>
      <c r="N24" s="1637"/>
      <c r="O24" s="1637"/>
      <c r="P24" s="1637"/>
      <c r="Q24" s="1637"/>
      <c r="R24" s="1637"/>
      <c r="S24" s="1638"/>
      <c r="T24" s="1652">
        <f>Application!AD1004</f>
        <v>71248901.719999999</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1553</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35628934.899999999</v>
      </c>
      <c r="U26" s="1669"/>
      <c r="V26" s="1669"/>
      <c r="W26" s="1669"/>
      <c r="X26" s="1669"/>
      <c r="Y26" s="1668">
        <f>Y23*Y25</f>
        <v>0</v>
      </c>
      <c r="Z26" s="1669"/>
      <c r="AA26" s="1669"/>
      <c r="AB26" s="1669"/>
      <c r="AC26" s="1669"/>
      <c r="AD26" s="1668">
        <f>AD23*AD25</f>
        <v>29547872</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35628934.899999999</v>
      </c>
      <c r="U28" s="1635"/>
      <c r="V28" s="1635"/>
      <c r="W28" s="1635"/>
      <c r="X28" s="1635"/>
      <c r="Y28" s="1634">
        <f>IF(ISERROR((Y26*Y27)),0,(Y26*Y27))</f>
        <v>0</v>
      </c>
      <c r="Z28" s="1635"/>
      <c r="AA28" s="1635"/>
      <c r="AB28" s="1635"/>
      <c r="AC28" s="1635"/>
      <c r="AD28" s="1634">
        <f>IF(ISERROR((AD26*AD27)),0,(AD26*AD27))</f>
        <v>29547872</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65176806.899999999</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1557</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1554</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1387</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35628934.899999999</v>
      </c>
      <c r="Z38" s="1657"/>
      <c r="AA38" s="1657"/>
      <c r="AB38" s="1657"/>
      <c r="AC38" s="1657"/>
      <c r="AD38" s="1657">
        <f>IF(T24&gt;=(T23+Y23+AD23+AI23),AD28+AI28,0)</f>
        <v>29547872</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1555</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1154377</v>
      </c>
      <c r="Z40" s="1657"/>
      <c r="AA40" s="1657"/>
      <c r="AB40" s="1657"/>
      <c r="AC40" s="1657"/>
      <c r="AD40" s="1654">
        <f>ROUND(AD38*AD39,0)</f>
        <v>957351</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2111728</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1556</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1587</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61372766</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41563927</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19808839</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v>0.93803930000000002</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1183</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21117280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2111728</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2111728</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19808839</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9" t="s">
        <v>1102</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1537</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1540</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1588</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643</v>
      </c>
      <c r="C85" s="344" t="s">
        <v>1586</v>
      </c>
    </row>
    <row r="86" spans="1:98" ht="12.75">
      <c r="D86" s="344" t="s">
        <v>1642</v>
      </c>
      <c r="AB86" s="1690">
        <f>IF(A61="$500M State Credit",AB77/(Application!AG424-Application!AG425),"N/A")</f>
        <v>0</v>
      </c>
      <c r="AC86" s="1690"/>
      <c r="AD86" s="1690"/>
      <c r="AE86" s="1690"/>
      <c r="AF86" s="1690"/>
    </row>
    <row r="87" spans="1:98" ht="13.5" thickBot="1">
      <c r="D87" s="344" t="s">
        <v>1643</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33" zoomScaleNormal="100" zoomScaleSheetLayoutView="100" workbookViewId="0">
      <selection activeCell="Q18" sqref="Q1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1168548</v>
      </c>
      <c r="G4" s="366">
        <f>E4*$C$4</f>
        <v>1197761.7</v>
      </c>
      <c r="I4" s="366">
        <f>G4*$C$4</f>
        <v>1227705.7424999999</v>
      </c>
      <c r="K4" s="366">
        <f>I4*$C$4</f>
        <v>1258398.3860624998</v>
      </c>
      <c r="M4" s="366">
        <f>K4*$C$4</f>
        <v>1289858.3457140622</v>
      </c>
      <c r="O4" s="366">
        <f>M4*$C$4</f>
        <v>1322104.8043569135</v>
      </c>
      <c r="Q4" s="366">
        <f>O4*$C$4</f>
        <v>1355157.4244658363</v>
      </c>
      <c r="S4" s="366">
        <f>Q4*$C$4</f>
        <v>1389036.3600774819</v>
      </c>
      <c r="U4" s="366">
        <f>S4*$C$4</f>
        <v>1423762.2690794189</v>
      </c>
      <c r="W4" s="366">
        <f>U4*$C$4</f>
        <v>1459356.3258064042</v>
      </c>
      <c r="Y4" s="366">
        <f>W4*$C$4</f>
        <v>1495840.2339515642</v>
      </c>
      <c r="AA4" s="366">
        <f>Y4*$C$4</f>
        <v>1533236.2398003531</v>
      </c>
      <c r="AC4" s="366">
        <f>AA4*$C$4</f>
        <v>1571567.1457953618</v>
      </c>
      <c r="AE4" s="366">
        <f>AC4*$C$4</f>
        <v>1610856.3244402457</v>
      </c>
      <c r="AG4" s="366">
        <f>AE4*$C$4</f>
        <v>1651127.7325512518</v>
      </c>
    </row>
    <row r="5" spans="1:34" s="350" customFormat="1" ht="14.25">
      <c r="B5" s="350" t="s">
        <v>925</v>
      </c>
      <c r="C5" s="391">
        <f>IF(Application!$D$210="Special Needs",0.1,0.05)</f>
        <v>0.05</v>
      </c>
      <c r="E5" s="368">
        <f>-E4*$C$5</f>
        <v>-58427.4</v>
      </c>
      <c r="F5" s="368"/>
      <c r="G5" s="368">
        <f>-G4*$C$5</f>
        <v>-59888.084999999999</v>
      </c>
      <c r="H5" s="368"/>
      <c r="I5" s="368">
        <f>-I4*$C$5</f>
        <v>-61385.287125000003</v>
      </c>
      <c r="J5" s="368"/>
      <c r="K5" s="368">
        <f>-K4*$C$5</f>
        <v>-62919.919303124996</v>
      </c>
      <c r="L5" s="368"/>
      <c r="M5" s="368">
        <f>-M4*$C$5</f>
        <v>-64492.917285703115</v>
      </c>
      <c r="N5" s="368"/>
      <c r="O5" s="368">
        <f>-O4*$C$5</f>
        <v>-66105.240217845683</v>
      </c>
      <c r="P5" s="368"/>
      <c r="Q5" s="368">
        <f>-Q4*$C$5</f>
        <v>-67757.871223291819</v>
      </c>
      <c r="R5" s="368"/>
      <c r="S5" s="368">
        <f>-S4*$C$5</f>
        <v>-69451.818003874097</v>
      </c>
      <c r="T5" s="368"/>
      <c r="U5" s="368">
        <f>-U4*$C$5</f>
        <v>-71188.113453970946</v>
      </c>
      <c r="V5" s="368"/>
      <c r="W5" s="368">
        <f>-W4*$C$5</f>
        <v>-72967.816290320217</v>
      </c>
      <c r="X5" s="368"/>
      <c r="Y5" s="368">
        <f>-Y4*$C$5</f>
        <v>-74792.011697578215</v>
      </c>
      <c r="Z5" s="368"/>
      <c r="AA5" s="368">
        <f>-AA4*$C$5</f>
        <v>-76661.811990017653</v>
      </c>
      <c r="AB5" s="368"/>
      <c r="AC5" s="368">
        <f>-AC4*$C$5</f>
        <v>-78578.357289768101</v>
      </c>
      <c r="AD5" s="368"/>
      <c r="AE5" s="368">
        <f>-AE4*$C$5</f>
        <v>-80542.81622201229</v>
      </c>
      <c r="AF5" s="368"/>
      <c r="AG5" s="368">
        <f>-AG4*$C$5</f>
        <v>-82556.386627562591</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25200</v>
      </c>
      <c r="F8" s="369"/>
      <c r="G8" s="369">
        <f>E8*$C$8</f>
        <v>25829.999999999996</v>
      </c>
      <c r="H8" s="369"/>
      <c r="I8" s="369">
        <f>G8*$C$8</f>
        <v>26475.749999999993</v>
      </c>
      <c r="J8" s="369"/>
      <c r="K8" s="369">
        <f>I8*$C$8</f>
        <v>27137.643749999992</v>
      </c>
      <c r="L8" s="369"/>
      <c r="M8" s="369">
        <f>K8*$C$8</f>
        <v>27816.084843749988</v>
      </c>
      <c r="N8" s="369"/>
      <c r="O8" s="369">
        <f>M8*$C$8</f>
        <v>28511.486964843734</v>
      </c>
      <c r="P8" s="369"/>
      <c r="Q8" s="369">
        <f>O8*$C$8</f>
        <v>29224.274138964825</v>
      </c>
      <c r="R8" s="369"/>
      <c r="S8" s="369">
        <f>Q8*$C$8</f>
        <v>29954.880992438942</v>
      </c>
      <c r="T8" s="369"/>
      <c r="U8" s="369">
        <f>S8*$C$8</f>
        <v>30703.753017249914</v>
      </c>
      <c r="V8" s="369"/>
      <c r="W8" s="369">
        <f>U8*$C$8</f>
        <v>31471.34684268116</v>
      </c>
      <c r="X8" s="369"/>
      <c r="Y8" s="369">
        <f>W8*$C$8</f>
        <v>32258.130513748187</v>
      </c>
      <c r="Z8" s="369"/>
      <c r="AA8" s="369">
        <f>Y8*$C$8</f>
        <v>33064.583776591891</v>
      </c>
      <c r="AB8" s="369"/>
      <c r="AC8" s="369">
        <f>AA8*$C$8</f>
        <v>33891.198371006685</v>
      </c>
      <c r="AD8" s="369"/>
      <c r="AE8" s="369">
        <f>AC8*$C$8</f>
        <v>34738.478330281847</v>
      </c>
      <c r="AF8" s="369"/>
      <c r="AG8" s="369">
        <f>AE8*$C$8</f>
        <v>35606.940288538892</v>
      </c>
    </row>
    <row r="9" spans="1:34" s="350" customFormat="1" ht="14.25">
      <c r="B9" s="350" t="s">
        <v>925</v>
      </c>
      <c r="C9" s="391">
        <f>IF(Application!$D$210="Special Needs",0.1,0.05)</f>
        <v>0.05</v>
      </c>
      <c r="E9" s="388">
        <f>-E8*$C$9</f>
        <v>-1260</v>
      </c>
      <c r="F9" s="368"/>
      <c r="G9" s="388">
        <f>-G8*$C$9</f>
        <v>-1291.5</v>
      </c>
      <c r="H9" s="368"/>
      <c r="I9" s="388">
        <f>-I8*$C$9</f>
        <v>-1323.7874999999997</v>
      </c>
      <c r="J9" s="368"/>
      <c r="K9" s="388">
        <f>-K8*$C$9</f>
        <v>-1356.8821874999996</v>
      </c>
      <c r="L9" s="368"/>
      <c r="M9" s="388">
        <f>-M8*$C$9</f>
        <v>-1390.8042421874995</v>
      </c>
      <c r="N9" s="368"/>
      <c r="O9" s="388">
        <f>-O8*$C$9</f>
        <v>-1425.5743482421867</v>
      </c>
      <c r="P9" s="368"/>
      <c r="Q9" s="388">
        <f>-Q8*$C$9</f>
        <v>-1461.2137069482415</v>
      </c>
      <c r="R9" s="368"/>
      <c r="S9" s="388">
        <f>-S8*$C$9</f>
        <v>-1497.7440496219472</v>
      </c>
      <c r="T9" s="368"/>
      <c r="U9" s="388">
        <f>-U8*$C$9</f>
        <v>-1535.1876508624957</v>
      </c>
      <c r="V9" s="368"/>
      <c r="W9" s="388">
        <f>-W8*$C$9</f>
        <v>-1573.567342134058</v>
      </c>
      <c r="X9" s="368"/>
      <c r="Y9" s="388">
        <f>-Y8*$C$9</f>
        <v>-1612.9065256874094</v>
      </c>
      <c r="Z9" s="368"/>
      <c r="AA9" s="388">
        <f>-AA8*$C$9</f>
        <v>-1653.2291888295947</v>
      </c>
      <c r="AB9" s="368"/>
      <c r="AC9" s="388">
        <f>-AC8*$C$9</f>
        <v>-1694.5599185503343</v>
      </c>
      <c r="AD9" s="368"/>
      <c r="AE9" s="388">
        <f>-AE8*$C$9</f>
        <v>-1736.9239165140925</v>
      </c>
      <c r="AF9" s="368"/>
      <c r="AG9" s="388">
        <f>-AG8*$C$9</f>
        <v>-1780.3470144269447</v>
      </c>
    </row>
    <row r="10" spans="1:34" s="370" customFormat="1" ht="15">
      <c r="A10" s="370" t="s">
        <v>947</v>
      </c>
      <c r="C10" s="361"/>
      <c r="E10" s="370">
        <f>SUM(E4:E9)</f>
        <v>1134060.6000000001</v>
      </c>
      <c r="G10" s="370">
        <f>SUM(G4:G9)</f>
        <v>1162412.115</v>
      </c>
      <c r="I10" s="370">
        <f>SUM(I4:I9)</f>
        <v>1191472.4178749998</v>
      </c>
      <c r="K10" s="370">
        <f>SUM(K4:K9)</f>
        <v>1221259.228321875</v>
      </c>
      <c r="M10" s="370">
        <f>SUM(M4:M9)</f>
        <v>1251790.7090299216</v>
      </c>
      <c r="O10" s="370">
        <f>SUM(O4:O9)</f>
        <v>1283085.4767556693</v>
      </c>
      <c r="Q10" s="370">
        <f>SUM(Q4:Q9)</f>
        <v>1315162.6136745608</v>
      </c>
      <c r="S10" s="370">
        <f>SUM(S4:S9)</f>
        <v>1348041.6790164248</v>
      </c>
      <c r="U10" s="370">
        <f>SUM(U4:U9)</f>
        <v>1381742.7209918355</v>
      </c>
      <c r="W10" s="370">
        <f>SUM(W4:W9)</f>
        <v>1416286.2890166312</v>
      </c>
      <c r="Y10" s="370">
        <f>SUM(Y4:Y9)</f>
        <v>1451693.4462420468</v>
      </c>
      <c r="AA10" s="370">
        <f>SUM(AA4:AA9)</f>
        <v>1487985.7823980977</v>
      </c>
      <c r="AC10" s="370">
        <f>SUM(AC4:AC9)</f>
        <v>1525185.4269580501</v>
      </c>
      <c r="AE10" s="370">
        <f>SUM(AE4:AE9)</f>
        <v>1563315.0626320012</v>
      </c>
      <c r="AG10" s="370">
        <f>SUM(AG4:AG9)</f>
        <v>1602397.9391978011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35769</v>
      </c>
      <c r="G14" s="366">
        <f>E14*$C$13</f>
        <v>37020.914999999994</v>
      </c>
      <c r="I14" s="366">
        <f>G14*$C$13</f>
        <v>38316.647024999991</v>
      </c>
      <c r="K14" s="366">
        <f>I14*$C$13</f>
        <v>39657.729670874985</v>
      </c>
      <c r="M14" s="366">
        <f>K14*$C$13</f>
        <v>41045.750209355603</v>
      </c>
      <c r="O14" s="366">
        <f>M14*$C$13</f>
        <v>42482.351466683045</v>
      </c>
      <c r="Q14" s="366">
        <f>O14*$C$13</f>
        <v>43969.233768016951</v>
      </c>
      <c r="S14" s="366">
        <f>Q14*$C$13</f>
        <v>45508.156949897544</v>
      </c>
      <c r="U14" s="366">
        <f>S14*$C$13</f>
        <v>47100.942443143955</v>
      </c>
      <c r="W14" s="366">
        <f>U14*$C$13</f>
        <v>48749.47542865399</v>
      </c>
      <c r="Y14" s="366">
        <f>W14*$C$13</f>
        <v>50455.707068656877</v>
      </c>
      <c r="AA14" s="366">
        <f>Y14*$C$13</f>
        <v>52221.656816059862</v>
      </c>
      <c r="AC14" s="366">
        <f>AA14*$C$13</f>
        <v>54049.414804621956</v>
      </c>
      <c r="AE14" s="366">
        <f>AC14*$C$13</f>
        <v>55941.144322783723</v>
      </c>
      <c r="AG14" s="366">
        <f>AE14*$C$13</f>
        <v>57899.084374081147</v>
      </c>
    </row>
    <row r="15" spans="1:34" s="350" customFormat="1" ht="14.25">
      <c r="A15" s="350" t="s">
        <v>368</v>
      </c>
      <c r="C15" s="380"/>
      <c r="E15" s="369">
        <f>Application!W829</f>
        <v>61740</v>
      </c>
      <c r="F15" s="369"/>
      <c r="G15" s="369">
        <f t="shared" ref="G15:AG20" si="0">E15*$C$13</f>
        <v>63900.899999999994</v>
      </c>
      <c r="H15" s="369"/>
      <c r="I15" s="369">
        <f t="shared" si="0"/>
        <v>66137.431499999992</v>
      </c>
      <c r="J15" s="369"/>
      <c r="K15" s="369">
        <f t="shared" si="0"/>
        <v>68452.241602499984</v>
      </c>
      <c r="L15" s="369"/>
      <c r="M15" s="369">
        <f t="shared" si="0"/>
        <v>70848.070058587473</v>
      </c>
      <c r="N15" s="369"/>
      <c r="O15" s="369">
        <f t="shared" si="0"/>
        <v>73327.752510638034</v>
      </c>
      <c r="P15" s="369"/>
      <c r="Q15" s="369">
        <f t="shared" si="0"/>
        <v>75894.223848510359</v>
      </c>
      <c r="R15" s="369"/>
      <c r="S15" s="369">
        <f t="shared" si="0"/>
        <v>78550.521683208222</v>
      </c>
      <c r="T15" s="369"/>
      <c r="U15" s="369">
        <f t="shared" si="0"/>
        <v>81299.789942120507</v>
      </c>
      <c r="V15" s="369"/>
      <c r="W15" s="369">
        <f t="shared" si="0"/>
        <v>84145.282590094721</v>
      </c>
      <c r="X15" s="369"/>
      <c r="Y15" s="369">
        <f t="shared" si="0"/>
        <v>87090.367480748027</v>
      </c>
      <c r="Z15" s="369"/>
      <c r="AA15" s="369">
        <f t="shared" si="0"/>
        <v>90138.530342574202</v>
      </c>
      <c r="AB15" s="369"/>
      <c r="AC15" s="369">
        <f t="shared" si="0"/>
        <v>93293.378904564292</v>
      </c>
      <c r="AD15" s="369"/>
      <c r="AE15" s="369">
        <f t="shared" si="0"/>
        <v>96558.647166224036</v>
      </c>
      <c r="AF15" s="369"/>
      <c r="AG15" s="369">
        <f t="shared" si="0"/>
        <v>99938.199817041866</v>
      </c>
    </row>
    <row r="16" spans="1:34" s="350" customFormat="1" ht="14.25">
      <c r="A16" s="350" t="s">
        <v>610</v>
      </c>
      <c r="C16" s="380"/>
      <c r="E16" s="369">
        <f>Application!W835</f>
        <v>120132</v>
      </c>
      <c r="F16" s="369"/>
      <c r="G16" s="369">
        <f t="shared" si="0"/>
        <v>124336.62</v>
      </c>
      <c r="H16" s="369"/>
      <c r="I16" s="369">
        <f t="shared" si="0"/>
        <v>128688.40169999999</v>
      </c>
      <c r="J16" s="369"/>
      <c r="K16" s="369">
        <f t="shared" si="0"/>
        <v>133192.49575949999</v>
      </c>
      <c r="L16" s="369"/>
      <c r="M16" s="369">
        <f t="shared" si="0"/>
        <v>137854.23311108249</v>
      </c>
      <c r="N16" s="369"/>
      <c r="O16" s="369">
        <f t="shared" si="0"/>
        <v>142679.13126997036</v>
      </c>
      <c r="P16" s="369"/>
      <c r="Q16" s="369">
        <f t="shared" si="0"/>
        <v>147672.90086441929</v>
      </c>
      <c r="R16" s="369"/>
      <c r="S16" s="369">
        <f t="shared" si="0"/>
        <v>152841.45239467395</v>
      </c>
      <c r="T16" s="369"/>
      <c r="U16" s="369">
        <f t="shared" si="0"/>
        <v>158190.90322848753</v>
      </c>
      <c r="V16" s="369"/>
      <c r="W16" s="369">
        <f t="shared" si="0"/>
        <v>163727.58484148458</v>
      </c>
      <c r="X16" s="369"/>
      <c r="Y16" s="369">
        <f t="shared" si="0"/>
        <v>169458.05031093652</v>
      </c>
      <c r="Z16" s="369"/>
      <c r="AA16" s="369">
        <f t="shared" si="0"/>
        <v>175389.08207181928</v>
      </c>
      <c r="AB16" s="369"/>
      <c r="AC16" s="369">
        <f t="shared" si="0"/>
        <v>181527.69994433294</v>
      </c>
      <c r="AD16" s="369"/>
      <c r="AE16" s="369">
        <f t="shared" si="0"/>
        <v>187881.16944238459</v>
      </c>
      <c r="AF16" s="369"/>
      <c r="AG16" s="369">
        <f t="shared" si="0"/>
        <v>194457.01037286804</v>
      </c>
    </row>
    <row r="17" spans="1:33" s="350" customFormat="1" ht="14.25">
      <c r="A17" s="350" t="s">
        <v>929</v>
      </c>
      <c r="C17" s="380"/>
      <c r="E17" s="369">
        <f>Application!W840</f>
        <v>166658</v>
      </c>
      <c r="F17" s="369"/>
      <c r="G17" s="369">
        <f t="shared" si="0"/>
        <v>172491.03</v>
      </c>
      <c r="H17" s="369"/>
      <c r="I17" s="369">
        <f t="shared" si="0"/>
        <v>178528.21604999999</v>
      </c>
      <c r="J17" s="369"/>
      <c r="K17" s="369">
        <f t="shared" si="0"/>
        <v>184776.70361174998</v>
      </c>
      <c r="L17" s="369"/>
      <c r="M17" s="369">
        <f t="shared" si="0"/>
        <v>191243.88823816122</v>
      </c>
      <c r="N17" s="369"/>
      <c r="O17" s="369">
        <f t="shared" si="0"/>
        <v>197937.42432649684</v>
      </c>
      <c r="P17" s="369"/>
      <c r="Q17" s="369">
        <f t="shared" si="0"/>
        <v>204865.23417792423</v>
      </c>
      <c r="R17" s="369"/>
      <c r="S17" s="369">
        <f t="shared" si="0"/>
        <v>212035.51737415156</v>
      </c>
      <c r="T17" s="369"/>
      <c r="U17" s="369">
        <f t="shared" si="0"/>
        <v>219456.76048224684</v>
      </c>
      <c r="V17" s="369"/>
      <c r="W17" s="369">
        <f t="shared" si="0"/>
        <v>227137.74709912547</v>
      </c>
      <c r="X17" s="369"/>
      <c r="Y17" s="369">
        <f t="shared" si="0"/>
        <v>235087.56824759484</v>
      </c>
      <c r="Z17" s="369"/>
      <c r="AA17" s="369">
        <f t="shared" si="0"/>
        <v>243315.63313626064</v>
      </c>
      <c r="AB17" s="369"/>
      <c r="AC17" s="369">
        <f t="shared" si="0"/>
        <v>251831.68029602975</v>
      </c>
      <c r="AD17" s="369"/>
      <c r="AE17" s="369">
        <f t="shared" si="0"/>
        <v>260645.78910639076</v>
      </c>
      <c r="AF17" s="369"/>
      <c r="AG17" s="369">
        <f t="shared" si="0"/>
        <v>269768.39172511443</v>
      </c>
    </row>
    <row r="18" spans="1:33" s="350" customFormat="1" ht="14.25">
      <c r="A18" s="350" t="s">
        <v>162</v>
      </c>
      <c r="C18" s="380"/>
      <c r="E18" s="369">
        <f>Application!W841</f>
        <v>24299</v>
      </c>
      <c r="F18" s="369"/>
      <c r="G18" s="369">
        <f t="shared" si="0"/>
        <v>25149.464999999997</v>
      </c>
      <c r="H18" s="369"/>
      <c r="I18" s="369">
        <f t="shared" si="0"/>
        <v>26029.696274999995</v>
      </c>
      <c r="J18" s="369"/>
      <c r="K18" s="369">
        <f t="shared" si="0"/>
        <v>26940.735644624994</v>
      </c>
      <c r="L18" s="369"/>
      <c r="M18" s="369">
        <f t="shared" si="0"/>
        <v>27883.661392186867</v>
      </c>
      <c r="N18" s="369"/>
      <c r="O18" s="369">
        <f t="shared" si="0"/>
        <v>28859.589540913406</v>
      </c>
      <c r="P18" s="369"/>
      <c r="Q18" s="369">
        <f t="shared" si="0"/>
        <v>29869.675174845372</v>
      </c>
      <c r="R18" s="369"/>
      <c r="S18" s="369">
        <f t="shared" si="0"/>
        <v>30915.113805964957</v>
      </c>
      <c r="T18" s="369"/>
      <c r="U18" s="369">
        <f t="shared" si="0"/>
        <v>31997.142789173726</v>
      </c>
      <c r="V18" s="369"/>
      <c r="W18" s="369">
        <f t="shared" si="0"/>
        <v>33117.042786794802</v>
      </c>
      <c r="X18" s="369"/>
      <c r="Y18" s="369">
        <f t="shared" si="0"/>
        <v>34276.139284332618</v>
      </c>
      <c r="Z18" s="369"/>
      <c r="AA18" s="369">
        <f t="shared" si="0"/>
        <v>35475.804159284256</v>
      </c>
      <c r="AB18" s="369"/>
      <c r="AC18" s="369">
        <f t="shared" si="0"/>
        <v>36717.457304859199</v>
      </c>
      <c r="AD18" s="369"/>
      <c r="AE18" s="369">
        <f t="shared" si="0"/>
        <v>38002.56831052927</v>
      </c>
      <c r="AF18" s="369"/>
      <c r="AG18" s="369">
        <f t="shared" si="0"/>
        <v>39332.65820139779</v>
      </c>
    </row>
    <row r="19" spans="1:33" s="350" customFormat="1" ht="14.25">
      <c r="A19" s="350" t="s">
        <v>423</v>
      </c>
      <c r="C19" s="380"/>
      <c r="E19" s="369">
        <f>Application!W850</f>
        <v>72267</v>
      </c>
      <c r="F19" s="369"/>
      <c r="G19" s="369">
        <f t="shared" si="0"/>
        <v>74796.345000000001</v>
      </c>
      <c r="H19" s="369"/>
      <c r="I19" s="369">
        <f t="shared" si="0"/>
        <v>77414.217074999993</v>
      </c>
      <c r="J19" s="369"/>
      <c r="K19" s="369">
        <f t="shared" si="0"/>
        <v>80123.714672624992</v>
      </c>
      <c r="L19" s="369"/>
      <c r="M19" s="369">
        <f t="shared" si="0"/>
        <v>82928.044686166861</v>
      </c>
      <c r="N19" s="369"/>
      <c r="O19" s="369">
        <f t="shared" si="0"/>
        <v>85830.526250182695</v>
      </c>
      <c r="P19" s="369"/>
      <c r="Q19" s="369">
        <f t="shared" si="0"/>
        <v>88834.594668939084</v>
      </c>
      <c r="R19" s="369"/>
      <c r="S19" s="369">
        <f t="shared" si="0"/>
        <v>91943.805482351949</v>
      </c>
      <c r="T19" s="369"/>
      <c r="U19" s="369">
        <f t="shared" si="0"/>
        <v>95161.838674234255</v>
      </c>
      <c r="V19" s="369"/>
      <c r="W19" s="369">
        <f t="shared" si="0"/>
        <v>98492.503027832441</v>
      </c>
      <c r="X19" s="369"/>
      <c r="Y19" s="369">
        <f t="shared" si="0"/>
        <v>101939.74063380656</v>
      </c>
      <c r="Z19" s="369"/>
      <c r="AA19" s="369">
        <f t="shared" si="0"/>
        <v>105507.63155598978</v>
      </c>
      <c r="AB19" s="369"/>
      <c r="AC19" s="369">
        <f t="shared" si="0"/>
        <v>109200.39866044941</v>
      </c>
      <c r="AD19" s="369"/>
      <c r="AE19" s="369">
        <f t="shared" si="0"/>
        <v>113022.41261356513</v>
      </c>
      <c r="AF19" s="369"/>
      <c r="AG19" s="369">
        <f t="shared" si="0"/>
        <v>116978.1970550399</v>
      </c>
    </row>
    <row r="20" spans="1:33" s="350" customFormat="1" ht="14.25">
      <c r="A20" s="373" t="s">
        <v>1072</v>
      </c>
      <c r="B20" s="373"/>
      <c r="C20" s="380"/>
      <c r="E20" s="379">
        <f>Application!W857</f>
        <v>57492</v>
      </c>
      <c r="F20" s="369"/>
      <c r="G20" s="379">
        <f t="shared" si="0"/>
        <v>59504.219999999994</v>
      </c>
      <c r="H20" s="369"/>
      <c r="I20" s="379">
        <f t="shared" si="0"/>
        <v>61586.867699999988</v>
      </c>
      <c r="J20" s="369"/>
      <c r="K20" s="379">
        <f t="shared" si="0"/>
        <v>63742.408069499979</v>
      </c>
      <c r="L20" s="369"/>
      <c r="M20" s="379">
        <f t="shared" si="0"/>
        <v>65973.392351932474</v>
      </c>
      <c r="N20" s="369"/>
      <c r="O20" s="379">
        <f t="shared" si="0"/>
        <v>68282.461084250099</v>
      </c>
      <c r="P20" s="369"/>
      <c r="Q20" s="379">
        <f t="shared" si="0"/>
        <v>70672.347222198849</v>
      </c>
      <c r="R20" s="369"/>
      <c r="S20" s="379">
        <f t="shared" si="0"/>
        <v>73145.879374975804</v>
      </c>
      <c r="T20" s="369"/>
      <c r="U20" s="379">
        <f t="shared" si="0"/>
        <v>75705.985153099959</v>
      </c>
      <c r="V20" s="369"/>
      <c r="W20" s="379">
        <f t="shared" si="0"/>
        <v>78355.69463345845</v>
      </c>
      <c r="X20" s="369"/>
      <c r="Y20" s="379">
        <f t="shared" si="0"/>
        <v>81098.14394562949</v>
      </c>
      <c r="Z20" s="369"/>
      <c r="AA20" s="379">
        <f t="shared" si="0"/>
        <v>83936.578983726518</v>
      </c>
      <c r="AB20" s="369"/>
      <c r="AC20" s="379">
        <f t="shared" si="0"/>
        <v>86874.359248156936</v>
      </c>
      <c r="AD20" s="369"/>
      <c r="AE20" s="379">
        <f t="shared" si="0"/>
        <v>89914.961821842415</v>
      </c>
      <c r="AF20" s="369"/>
      <c r="AG20" s="379">
        <f t="shared" si="0"/>
        <v>93061.985485606885</v>
      </c>
    </row>
    <row r="21" spans="1:33" s="370" customFormat="1" ht="15">
      <c r="A21" s="370" t="s">
        <v>930</v>
      </c>
      <c r="C21" s="380"/>
      <c r="E21" s="370">
        <f>SUM(E14:E20)</f>
        <v>538357</v>
      </c>
      <c r="G21" s="370">
        <f>SUM(G14:G20)</f>
        <v>557199.49499999988</v>
      </c>
      <c r="I21" s="370">
        <f>SUM(I14:I20)</f>
        <v>576701.47732499999</v>
      </c>
      <c r="K21" s="370">
        <f>SUM(K14:K20)</f>
        <v>596886.02903137496</v>
      </c>
      <c r="M21" s="370">
        <f>SUM(M14:M20)</f>
        <v>617777.04004747292</v>
      </c>
      <c r="O21" s="370">
        <f>SUM(O14:O20)</f>
        <v>639399.23644913454</v>
      </c>
      <c r="Q21" s="370">
        <f>SUM(Q14:Q20)</f>
        <v>661778.20972485421</v>
      </c>
      <c r="S21" s="370">
        <f>SUM(S14:S20)</f>
        <v>684940.44706522394</v>
      </c>
      <c r="U21" s="370">
        <f>SUM(U14:U20)</f>
        <v>708913.36271250679</v>
      </c>
      <c r="W21" s="370">
        <f>SUM(W14:W20)</f>
        <v>733725.33040744439</v>
      </c>
      <c r="Y21" s="370">
        <f>SUM(Y14:Y20)</f>
        <v>759405.71697170497</v>
      </c>
      <c r="AA21" s="370">
        <f>SUM(AA14:AA20)</f>
        <v>785984.91706571449</v>
      </c>
      <c r="AC21" s="370">
        <f>SUM(AC14:AC20)</f>
        <v>813494.38916301448</v>
      </c>
      <c r="AE21" s="370">
        <f>SUM(AE14:AE20)</f>
        <v>841966.69278371986</v>
      </c>
      <c r="AG21" s="370">
        <f>SUM(AG14:AG20)</f>
        <v>871435.52703114995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76000</v>
      </c>
      <c r="F24" s="369"/>
      <c r="G24" s="369">
        <f>E24*$C$24</f>
        <v>78660</v>
      </c>
      <c r="H24" s="369"/>
      <c r="I24" s="369">
        <f>G24*$C$24</f>
        <v>81413.099999999991</v>
      </c>
      <c r="J24" s="369"/>
      <c r="K24" s="369">
        <f>I24*$C$24</f>
        <v>84262.558499999985</v>
      </c>
      <c r="L24" s="369"/>
      <c r="M24" s="369">
        <f>K24*$C$24</f>
        <v>87211.748047499976</v>
      </c>
      <c r="N24" s="369"/>
      <c r="O24" s="369">
        <f>M24*$C$24</f>
        <v>90264.159229162469</v>
      </c>
      <c r="P24" s="369"/>
      <c r="Q24" s="369">
        <f>O24*$C$24</f>
        <v>93423.404802183155</v>
      </c>
      <c r="R24" s="369"/>
      <c r="S24" s="369">
        <f>Q24*$C$24</f>
        <v>96693.223970259554</v>
      </c>
      <c r="T24" s="369"/>
      <c r="U24" s="369">
        <f>S24*$C$24</f>
        <v>100077.48680921864</v>
      </c>
      <c r="V24" s="369"/>
      <c r="W24" s="369">
        <f>U24*$C$24</f>
        <v>103580.19884754128</v>
      </c>
      <c r="X24" s="369"/>
      <c r="Y24" s="369">
        <f>W24*$C$24</f>
        <v>107205.50580720522</v>
      </c>
      <c r="Z24" s="369"/>
      <c r="AA24" s="369">
        <f>Y24*$C$24</f>
        <v>110957.6985104574</v>
      </c>
      <c r="AB24" s="369"/>
      <c r="AC24" s="369">
        <f>AA24*$C$24</f>
        <v>114841.2179583234</v>
      </c>
      <c r="AD24" s="369"/>
      <c r="AE24" s="369">
        <f>AC24*$C$24</f>
        <v>118860.6605868647</v>
      </c>
      <c r="AF24" s="369"/>
      <c r="AG24" s="369">
        <f>AE24*$C$24</f>
        <v>123020.78370740496</v>
      </c>
    </row>
    <row r="25" spans="1:33" s="350" customFormat="1" ht="14.25">
      <c r="A25" s="350" t="s">
        <v>933</v>
      </c>
      <c r="C25" s="392"/>
      <c r="E25" s="369">
        <f>Application!AC867</f>
        <v>35000</v>
      </c>
      <c r="F25" s="369"/>
      <c r="G25" s="369">
        <f>$E$25</f>
        <v>35000</v>
      </c>
      <c r="H25" s="369"/>
      <c r="I25" s="369">
        <f>$E$25</f>
        <v>35000</v>
      </c>
      <c r="J25" s="369"/>
      <c r="K25" s="369">
        <f>$E$25</f>
        <v>35000</v>
      </c>
      <c r="L25" s="369"/>
      <c r="M25" s="369">
        <f>$E$25</f>
        <v>35000</v>
      </c>
      <c r="N25" s="369"/>
      <c r="O25" s="369">
        <f>$E$25</f>
        <v>35000</v>
      </c>
      <c r="P25" s="369"/>
      <c r="Q25" s="369">
        <f>$E$25</f>
        <v>35000</v>
      </c>
      <c r="R25" s="369"/>
      <c r="S25" s="369">
        <f>$E$25</f>
        <v>35000</v>
      </c>
      <c r="T25" s="369"/>
      <c r="U25" s="369">
        <f>$E$25</f>
        <v>35000</v>
      </c>
      <c r="V25" s="369"/>
      <c r="W25" s="369">
        <f>$E$25</f>
        <v>35000</v>
      </c>
      <c r="X25" s="369"/>
      <c r="Y25" s="369">
        <f>$E$25</f>
        <v>35000</v>
      </c>
      <c r="Z25" s="369"/>
      <c r="AA25" s="369">
        <f>$E$25</f>
        <v>35000</v>
      </c>
      <c r="AB25" s="369"/>
      <c r="AC25" s="369">
        <f>$E$25</f>
        <v>35000</v>
      </c>
      <c r="AD25" s="369"/>
      <c r="AE25" s="369">
        <f>$E$25</f>
        <v>35000</v>
      </c>
      <c r="AF25" s="369"/>
      <c r="AG25" s="369">
        <f>$E$25</f>
        <v>35000</v>
      </c>
    </row>
    <row r="26" spans="1:33" s="350" customFormat="1" ht="14.25">
      <c r="A26" s="350" t="s">
        <v>931</v>
      </c>
      <c r="C26" s="390">
        <v>1.02</v>
      </c>
      <c r="E26" s="369">
        <f>Application!AC868</f>
        <v>9792</v>
      </c>
      <c r="F26" s="369"/>
      <c r="G26" s="369">
        <f>E26*$C$26</f>
        <v>9987.84</v>
      </c>
      <c r="H26" s="369"/>
      <c r="I26" s="369">
        <f>G26*$C$26</f>
        <v>10187.596800000001</v>
      </c>
      <c r="J26" s="369"/>
      <c r="K26" s="369">
        <f>I26*$C$26</f>
        <v>10391.348736000002</v>
      </c>
      <c r="L26" s="369"/>
      <c r="M26" s="369">
        <f>K26*$C$26</f>
        <v>10599.175710720003</v>
      </c>
      <c r="N26" s="369"/>
      <c r="O26" s="369">
        <f>M26*$C$26</f>
        <v>10811.159224934403</v>
      </c>
      <c r="P26" s="369"/>
      <c r="Q26" s="369">
        <f>O26*$C$26</f>
        <v>11027.382409433092</v>
      </c>
      <c r="R26" s="369"/>
      <c r="S26" s="369">
        <f>Q26*$C$26</f>
        <v>11247.930057621754</v>
      </c>
      <c r="T26" s="369"/>
      <c r="U26" s="369">
        <f>S26*$C$26</f>
        <v>11472.888658774189</v>
      </c>
      <c r="V26" s="369"/>
      <c r="W26" s="369">
        <f>U26*$C$26</f>
        <v>11702.346431949672</v>
      </c>
      <c r="X26" s="369"/>
      <c r="Y26" s="369">
        <f>W26*$C$26</f>
        <v>11936.393360588667</v>
      </c>
      <c r="Z26" s="369"/>
      <c r="AA26" s="369">
        <f>Y26*$C$26</f>
        <v>12175.12122780044</v>
      </c>
      <c r="AB26" s="369"/>
      <c r="AC26" s="369">
        <f>AA26*$C$26</f>
        <v>12418.623652356449</v>
      </c>
      <c r="AD26" s="369"/>
      <c r="AE26" s="369">
        <f>AC26*$C$26</f>
        <v>12666.996125403579</v>
      </c>
      <c r="AF26" s="369"/>
      <c r="AG26" s="369">
        <f>AE26*$C$26</f>
        <v>12920.336047911651</v>
      </c>
    </row>
    <row r="27" spans="1:33" s="350" customFormat="1" ht="14.25">
      <c r="A27" s="373" t="str">
        <f>Application!E869</f>
        <v>Other CMFA Bond Issuer Fee:</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663149</v>
      </c>
      <c r="G30" s="370">
        <f>SUM(G21:G28)</f>
        <v>684847.33499999985</v>
      </c>
      <c r="I30" s="370">
        <f>SUM(I21:I28)</f>
        <v>707302.17412500002</v>
      </c>
      <c r="K30" s="370">
        <f>SUM(K21:K28)</f>
        <v>730539.93626737501</v>
      </c>
      <c r="M30" s="370">
        <f>SUM(M21:M28)</f>
        <v>754587.96380569297</v>
      </c>
      <c r="O30" s="370">
        <f>SUM(O21:O28)</f>
        <v>779474.55490323144</v>
      </c>
      <c r="Q30" s="370">
        <f>SUM(Q21:Q28)</f>
        <v>805228.9969364705</v>
      </c>
      <c r="S30" s="370">
        <f>SUM(S21:S28)</f>
        <v>831881.60109310527</v>
      </c>
      <c r="U30" s="370">
        <f>SUM(U21:U28)</f>
        <v>859463.73818049964</v>
      </c>
      <c r="W30" s="370">
        <f>SUM(W21:W28)</f>
        <v>888007.87568693527</v>
      </c>
      <c r="Y30" s="370">
        <f>SUM(Y21:Y28)</f>
        <v>917547.61613949889</v>
      </c>
      <c r="AA30" s="370">
        <f>SUM(AA21:AA28)</f>
        <v>948117.7368039724</v>
      </c>
      <c r="AC30" s="370">
        <f>SUM(AC21:AC28)</f>
        <v>979754.23077369435</v>
      </c>
      <c r="AE30" s="370">
        <f>SUM(AE21:AE28)</f>
        <v>1012494.3494959881</v>
      </c>
      <c r="AG30" s="370">
        <f>SUM(AG21:AG28)</f>
        <v>1046376.6467864666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470911.60000000009</v>
      </c>
      <c r="G32" s="370">
        <f>G10-G30</f>
        <v>477564.78000000014</v>
      </c>
      <c r="I32" s="370">
        <f>I10-I30</f>
        <v>484170.24374999979</v>
      </c>
      <c r="K32" s="370">
        <f>K10-K30</f>
        <v>490719.29205449997</v>
      </c>
      <c r="M32" s="370">
        <f>M10-M30</f>
        <v>497202.74522422859</v>
      </c>
      <c r="O32" s="370">
        <f>O10-O30</f>
        <v>503610.9218524379</v>
      </c>
      <c r="Q32" s="370">
        <f>Q10-Q30</f>
        <v>509933.61673809029</v>
      </c>
      <c r="S32" s="370">
        <f>S10-S30</f>
        <v>516160.07792331954</v>
      </c>
      <c r="U32" s="370">
        <f>U10-U30</f>
        <v>522278.98281133582</v>
      </c>
      <c r="W32" s="370">
        <f>W10-W30</f>
        <v>528278.41332969593</v>
      </c>
      <c r="Y32" s="370">
        <f>Y10-Y30</f>
        <v>534145.83010254789</v>
      </c>
      <c r="AA32" s="370">
        <f>AA10-AA30</f>
        <v>539868.04559412529</v>
      </c>
      <c r="AC32" s="370">
        <f>AC10-AC30</f>
        <v>545431.19618435577</v>
      </c>
      <c r="AE32" s="370">
        <f>AE10-AE30</f>
        <v>550820.71313601313</v>
      </c>
      <c r="AG32" s="370">
        <f>AG10-AG30</f>
        <v>556021.29241133446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TE Permanent Loan</v>
      </c>
      <c r="B35" s="373"/>
      <c r="C35" s="367"/>
      <c r="E35" s="369">
        <f>Application!AB618</f>
        <v>408715</v>
      </c>
      <c r="F35" s="369"/>
      <c r="G35" s="369">
        <f>$E$35</f>
        <v>408715</v>
      </c>
      <c r="H35" s="369"/>
      <c r="I35" s="369">
        <f>$E$35</f>
        <v>408715</v>
      </c>
      <c r="J35" s="369"/>
      <c r="K35" s="369">
        <f>$E$35</f>
        <v>408715</v>
      </c>
      <c r="L35" s="369"/>
      <c r="M35" s="369">
        <f>$E$35</f>
        <v>408715</v>
      </c>
      <c r="N35" s="369"/>
      <c r="O35" s="369">
        <f>$E$35</f>
        <v>408715</v>
      </c>
      <c r="P35" s="369"/>
      <c r="Q35" s="369">
        <f>$E$35</f>
        <v>408715</v>
      </c>
      <c r="R35" s="369"/>
      <c r="S35" s="369">
        <f>$E$35</f>
        <v>408715</v>
      </c>
      <c r="T35" s="369"/>
      <c r="U35" s="369">
        <f>$E$35</f>
        <v>408715</v>
      </c>
      <c r="V35" s="369"/>
      <c r="W35" s="369">
        <f>$E$35</f>
        <v>408715</v>
      </c>
      <c r="X35" s="369"/>
      <c r="Y35" s="369">
        <f>$E$35</f>
        <v>408715</v>
      </c>
      <c r="Z35" s="369"/>
      <c r="AA35" s="369">
        <f>$E$35</f>
        <v>408715</v>
      </c>
      <c r="AB35" s="369"/>
      <c r="AC35" s="369">
        <f>$E$35</f>
        <v>408715</v>
      </c>
      <c r="AD35" s="369"/>
      <c r="AE35" s="369">
        <f>$E$35</f>
        <v>408715</v>
      </c>
      <c r="AF35" s="369"/>
      <c r="AG35" s="369">
        <f>$E$35</f>
        <v>408715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408715</v>
      </c>
      <c r="G38" s="370">
        <f>SUM(G35:G37)</f>
        <v>408715</v>
      </c>
      <c r="I38" s="370">
        <f>SUM(I35:I37)</f>
        <v>408715</v>
      </c>
      <c r="K38" s="370">
        <f>SUM(K35:K37)</f>
        <v>408715</v>
      </c>
      <c r="M38" s="370">
        <f>SUM(M35:M37)</f>
        <v>408715</v>
      </c>
      <c r="O38" s="370">
        <f>SUM(O35:O37)</f>
        <v>408715</v>
      </c>
      <c r="Q38" s="370">
        <f>SUM(Q35:Q37)</f>
        <v>408715</v>
      </c>
      <c r="S38" s="370">
        <f>SUM(S35:S37)</f>
        <v>408715</v>
      </c>
      <c r="U38" s="370">
        <f>SUM(U35:U37)</f>
        <v>408715</v>
      </c>
      <c r="W38" s="370">
        <f>SUM(W35:W37)</f>
        <v>408715</v>
      </c>
      <c r="Y38" s="370">
        <f>SUM(Y35:Y37)</f>
        <v>408715</v>
      </c>
      <c r="AA38" s="370">
        <f>SUM(AA35:AA37)</f>
        <v>408715</v>
      </c>
      <c r="AC38" s="370">
        <f>SUM(AC35:AC37)</f>
        <v>408715</v>
      </c>
      <c r="AE38" s="370">
        <f>SUM(AE35:AE37)</f>
        <v>408715</v>
      </c>
      <c r="AG38" s="370">
        <f>SUM(AG35:AG37)</f>
        <v>408715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62196.600000000093</v>
      </c>
      <c r="G40" s="370">
        <f>G32-G38</f>
        <v>68849.780000000144</v>
      </c>
      <c r="I40" s="370">
        <f>I32-I38</f>
        <v>75455.24374999979</v>
      </c>
      <c r="K40" s="370">
        <f>K32-K38</f>
        <v>82004.292054499965</v>
      </c>
      <c r="M40" s="370">
        <f>M32-M38</f>
        <v>88487.745224228594</v>
      </c>
      <c r="O40" s="370">
        <f>O32-O38</f>
        <v>94895.921852437896</v>
      </c>
      <c r="Q40" s="370">
        <f>Q32-Q38</f>
        <v>101218.61673809029</v>
      </c>
      <c r="S40" s="370">
        <f>S32-S38</f>
        <v>107445.07792331954</v>
      </c>
      <c r="U40" s="370">
        <f>U32-U38</f>
        <v>113563.98281133582</v>
      </c>
      <c r="W40" s="370">
        <f>W32-W38</f>
        <v>119563.41332969593</v>
      </c>
      <c r="Y40" s="370">
        <f>Y32-Y38</f>
        <v>125430.83010254789</v>
      </c>
      <c r="AA40" s="370">
        <f>AA32-AA38</f>
        <v>131153.04559412529</v>
      </c>
      <c r="AC40" s="370">
        <f>AC32-AC38</f>
        <v>136716.19618435577</v>
      </c>
      <c r="AE40" s="370">
        <f>AE32-AE38</f>
        <v>142105.71313601313</v>
      </c>
      <c r="AG40" s="370">
        <f>AG32-AG38</f>
        <v>147306.29241133446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5.2101951165572709E-2</v>
      </c>
      <c r="G42" s="374">
        <f>G40/(G4+G6+G8)</f>
        <v>5.6268590249509004E-2</v>
      </c>
      <c r="I42" s="374">
        <f>I40/(I4+I6+I8)</f>
        <v>6.016293829977705E-2</v>
      </c>
      <c r="K42" s="374">
        <f>K40/(K4+K6+K8)</f>
        <v>6.3789960104393639E-2</v>
      </c>
      <c r="M42" s="374">
        <f>M40/(M4+M6+M8)</f>
        <v>6.7154483059042896E-2</v>
      </c>
      <c r="O42" s="374">
        <f>O40/(O4+O6+O8)</f>
        <v>7.0261200358815196E-2</v>
      </c>
      <c r="Q42" s="374">
        <f>Q40/(Q4+Q6+Q8)</f>
        <v>7.3114674110543218E-2</v>
      </c>
      <c r="S42" s="374">
        <f>S40/(S4+S6+S8)</f>
        <v>7.5719338367660274E-2</v>
      </c>
      <c r="U42" s="374">
        <f>U40/(U4+U6+U8)</f>
        <v>7.8079502089453398E-2</v>
      </c>
      <c r="W42" s="374">
        <f>W40/(W4+W6+W8)</f>
        <v>8.0199352026543089E-2</v>
      </c>
      <c r="Y42" s="374">
        <f>Y40/(Y4+Y6+Y8)</f>
        <v>8.2082955534368784E-2</v>
      </c>
      <c r="AA42" s="374">
        <f>AA40/(AA4+AA6+AA8)</f>
        <v>8.3734263316425028E-2</v>
      </c>
      <c r="AC42" s="374">
        <f>AC40/(AC4+AC6+AC8)</f>
        <v>8.5157112098941071E-2</v>
      </c>
      <c r="AE42" s="374">
        <f>AE40/(AE4+AE6+AE8)</f>
        <v>8.6355227238663859E-2</v>
      </c>
      <c r="AG42" s="374">
        <f>AG40/(AG4+AG6+AG8)</f>
        <v>8.7332225265357971E-2</v>
      </c>
    </row>
    <row r="43" spans="1:35" s="374" customFormat="1" ht="14.25">
      <c r="A43" s="374" t="s">
        <v>939</v>
      </c>
      <c r="C43" s="367"/>
      <c r="E43" s="374">
        <f>E40/E38</f>
        <v>0.15217596613777348</v>
      </c>
      <c r="G43" s="374">
        <f>G40/G38</f>
        <v>0.16845425296355687</v>
      </c>
      <c r="I43" s="374">
        <f>I40/I38</f>
        <v>0.18461579278959614</v>
      </c>
      <c r="K43" s="374">
        <f>K40/K38</f>
        <v>0.20063930135791436</v>
      </c>
      <c r="M43" s="374">
        <f>M40/M38</f>
        <v>0.21650231878993575</v>
      </c>
      <c r="O43" s="374">
        <f>O40/O38</f>
        <v>0.23218115765860783</v>
      </c>
      <c r="Q43" s="374">
        <f>Q40/Q38</f>
        <v>0.24765084897322165</v>
      </c>
      <c r="S43" s="374">
        <f>S40/S38</f>
        <v>0.26288508599713623</v>
      </c>
      <c r="U43" s="374">
        <f>U40/U38</f>
        <v>0.2778561658156315</v>
      </c>
      <c r="W43" s="374">
        <f>W40/W38</f>
        <v>0.29253492856806318</v>
      </c>
      <c r="Y43" s="374">
        <f>Y40/Y38</f>
        <v>0.30689069425528276</v>
      </c>
      <c r="AA43" s="374">
        <f>AA40/AA38</f>
        <v>0.32089119703002161</v>
      </c>
      <c r="AC43" s="374">
        <f>AC40/AC38</f>
        <v>0.33450251687448657</v>
      </c>
      <c r="AE43" s="374">
        <f>AE40/AE38</f>
        <v>0.34768900856590323</v>
      </c>
      <c r="AG43" s="374">
        <f>AG40/AG38</f>
        <v>0.36041322782705421</v>
      </c>
    </row>
    <row r="44" spans="1:35" s="375" customFormat="1" ht="14.25">
      <c r="A44" s="375" t="s">
        <v>937</v>
      </c>
      <c r="C44" s="376"/>
      <c r="E44" s="375">
        <f>E32/E38</f>
        <v>1.1521759661377735</v>
      </c>
      <c r="G44" s="375">
        <f>G32/G38</f>
        <v>1.1684542529635569</v>
      </c>
      <c r="I44" s="375">
        <f>I32/I38</f>
        <v>1.1846157927895962</v>
      </c>
      <c r="K44" s="375">
        <f>K32/K38</f>
        <v>1.2006393013579144</v>
      </c>
      <c r="M44" s="375">
        <f>M32/M38</f>
        <v>1.2165023187899358</v>
      </c>
      <c r="O44" s="375">
        <f>O32/O38</f>
        <v>1.2321811576586079</v>
      </c>
      <c r="Q44" s="375">
        <f>Q32/Q38</f>
        <v>1.2476508489732216</v>
      </c>
      <c r="S44" s="375">
        <f>S32/S38</f>
        <v>1.2628850859971363</v>
      </c>
      <c r="U44" s="375">
        <f>U32/U38</f>
        <v>1.2778561658156316</v>
      </c>
      <c r="W44" s="375">
        <f>W32/W38</f>
        <v>1.2925349285680632</v>
      </c>
      <c r="Y44" s="375">
        <f>Y32/Y38</f>
        <v>1.3068906942552827</v>
      </c>
      <c r="AA44" s="375">
        <f>AA32/AA38</f>
        <v>1.3208911970300217</v>
      </c>
      <c r="AC44" s="375">
        <f>AC32/AC38</f>
        <v>1.3345025168744866</v>
      </c>
      <c r="AE44" s="375">
        <f>AE32/AE38</f>
        <v>1.3476890085659032</v>
      </c>
      <c r="AG44" s="375">
        <f>AG32/AG38</f>
        <v>1.3604132278270542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62196.600000000093</v>
      </c>
      <c r="G54" s="255">
        <f>G40-G52</f>
        <v>68849.780000000144</v>
      </c>
      <c r="I54" s="255">
        <f>I40-I52</f>
        <v>75455.24374999979</v>
      </c>
      <c r="K54" s="255">
        <f>K40-K52</f>
        <v>82004.292054499965</v>
      </c>
      <c r="M54" s="255">
        <f>M40-M52</f>
        <v>88487.745224228594</v>
      </c>
      <c r="O54" s="255">
        <f>O40-O52</f>
        <v>94895.921852437896</v>
      </c>
      <c r="Q54" s="255">
        <f>Q40-Q52</f>
        <v>101218.61673809029</v>
      </c>
      <c r="S54" s="255">
        <f>S40-S52</f>
        <v>107445.07792331954</v>
      </c>
      <c r="U54" s="255">
        <f>U40-U52</f>
        <v>113563.98281133582</v>
      </c>
      <c r="W54" s="255">
        <f>W40-W52</f>
        <v>119563.41332969593</v>
      </c>
      <c r="Y54" s="255">
        <f>Y40-Y52</f>
        <v>125430.83010254789</v>
      </c>
      <c r="AA54" s="255">
        <f>AA40-AA52</f>
        <v>131153.04559412529</v>
      </c>
      <c r="AC54" s="255">
        <f>AC40-AC52</f>
        <v>136716.19618435577</v>
      </c>
      <c r="AE54" s="255">
        <f>AE40-AE52</f>
        <v>142105.71313601313</v>
      </c>
      <c r="AG54" s="255">
        <f>AG40-AG52</f>
        <v>147306.29241133446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Devi, Jyotika</cp:lastModifiedBy>
  <cp:lastPrinted>2019-12-27T22:34:09Z</cp:lastPrinted>
  <dcterms:created xsi:type="dcterms:W3CDTF">2007-12-27T18:26:28Z</dcterms:created>
  <dcterms:modified xsi:type="dcterms:W3CDTF">2020-08-31T23:03:44Z</dcterms:modified>
</cp:coreProperties>
</file>