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American Canyon\"/>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S88" i="4"/>
  <c r="S87" i="4"/>
  <c r="S86" i="4"/>
  <c r="S85" i="4"/>
  <c r="S80" i="4"/>
  <c r="S65" i="4"/>
  <c r="S47"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AO889" i="3" s="1"/>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2" i="4" s="1"/>
  <c r="B12" i="18" s="1"/>
  <c r="C11" i="4"/>
  <c r="C25" i="4"/>
  <c r="C36" i="4"/>
  <c r="B36" i="4" s="1"/>
  <c r="C40" i="4"/>
  <c r="C52" i="4"/>
  <c r="B52" i="4" s="1"/>
  <c r="C61" i="4"/>
  <c r="B61" i="18" s="1"/>
  <c r="C66" i="4"/>
  <c r="C73" i="4"/>
  <c r="C77" i="4"/>
  <c r="C94" i="4"/>
  <c r="B94" i="4" s="1"/>
  <c r="C103" i="4"/>
  <c r="C65" i="25"/>
  <c r="C66" i="25"/>
  <c r="G67" i="25" s="1"/>
  <c r="Y20" i="5"/>
  <c r="Y22" i="5"/>
  <c r="AI20" i="5"/>
  <c r="S25"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F619" i="3"/>
  <c r="BK615" i="3"/>
  <c r="BK619" i="3" s="1"/>
  <c r="BK616" i="3"/>
  <c r="BK617" i="3"/>
  <c r="BK618" i="3"/>
  <c r="BP615" i="3"/>
  <c r="BP616" i="3"/>
  <c r="BP617" i="3"/>
  <c r="BP618" i="3"/>
  <c r="BP619" i="3"/>
  <c r="BZ615" i="3"/>
  <c r="BZ619" i="3" s="1"/>
  <c r="BZ616" i="3"/>
  <c r="BZ617" i="3"/>
  <c r="BZ618" i="3"/>
  <c r="BU615" i="3"/>
  <c r="BU616" i="3"/>
  <c r="BU617" i="3"/>
  <c r="BU618" i="3"/>
  <c r="BU619" i="3"/>
  <c r="AD936" i="3"/>
  <c r="AO884" i="3" s="1"/>
  <c r="AD939" i="3"/>
  <c r="AO885" i="3" s="1"/>
  <c r="AD943" i="3"/>
  <c r="AO886" i="3" s="1"/>
  <c r="AD947" i="3"/>
  <c r="AO887" i="3" s="1"/>
  <c r="AD949" i="3"/>
  <c r="AO888" i="3" s="1"/>
  <c r="AD20" i="27"/>
  <c r="AD22" i="27"/>
  <c r="T20" i="27"/>
  <c r="AI11" i="27"/>
  <c r="AD11" i="27"/>
  <c r="AD23" i="27"/>
  <c r="AD26"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103"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75" i="18"/>
  <c r="E65" i="18"/>
  <c r="E64" i="18"/>
  <c r="E51"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S48" i="4" s="1"/>
  <c r="E48" i="18" s="1"/>
  <c r="R47" i="4"/>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E7" i="15" s="1"/>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B32" i="15"/>
  <c r="C32" i="15"/>
  <c r="E32" i="15" s="1"/>
  <c r="C33" i="15"/>
  <c r="C34" i="15"/>
  <c r="C35" i="15"/>
  <c r="C36" i="15"/>
  <c r="B33" i="15"/>
  <c r="B34" i="15"/>
  <c r="E34" i="15"/>
  <c r="B35" i="15"/>
  <c r="E35" i="15" s="1"/>
  <c r="B36" i="15"/>
  <c r="E36" i="15"/>
  <c r="B39" i="15"/>
  <c r="C39" i="15"/>
  <c r="C41" i="15" s="1"/>
  <c r="D39" i="15"/>
  <c r="D40" i="15"/>
  <c r="B40" i="15"/>
  <c r="C40" i="15"/>
  <c r="B42" i="15"/>
  <c r="C42" i="15"/>
  <c r="D42" i="15"/>
  <c r="B44" i="15"/>
  <c r="B45" i="15"/>
  <c r="B46" i="15"/>
  <c r="B47" i="15"/>
  <c r="B48" i="15"/>
  <c r="B49" i="15"/>
  <c r="B50" i="15"/>
  <c r="E50" i="15" s="1"/>
  <c r="B51" i="15"/>
  <c r="B52" i="15"/>
  <c r="C44" i="15"/>
  <c r="C45" i="15"/>
  <c r="C46" i="15"/>
  <c r="C47" i="15"/>
  <c r="C48" i="15"/>
  <c r="E48" i="15" s="1"/>
  <c r="C49" i="15"/>
  <c r="C50" i="15"/>
  <c r="C51" i="15"/>
  <c r="E51" i="15" s="1"/>
  <c r="C52" i="15"/>
  <c r="D44" i="15"/>
  <c r="D45" i="15"/>
  <c r="D46" i="15"/>
  <c r="E47" i="15"/>
  <c r="D47" i="15"/>
  <c r="D48" i="15"/>
  <c r="D49" i="15"/>
  <c r="D50" i="15"/>
  <c r="D51" i="15"/>
  <c r="D52" i="15"/>
  <c r="B55" i="15"/>
  <c r="B62" i="15" s="1"/>
  <c r="C55" i="15"/>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E69" i="15" s="1"/>
  <c r="C69" i="15"/>
  <c r="D69" i="15"/>
  <c r="B70" i="15"/>
  <c r="C70" i="15"/>
  <c r="D70" i="15"/>
  <c r="B71" i="15"/>
  <c r="C71" i="15"/>
  <c r="D71" i="15"/>
  <c r="B72" i="15"/>
  <c r="C72" i="15"/>
  <c r="E72" i="15" s="1"/>
  <c r="D72" i="15"/>
  <c r="D74" i="15" s="1"/>
  <c r="B73" i="15"/>
  <c r="C73" i="15"/>
  <c r="E73" i="15"/>
  <c r="D73" i="15"/>
  <c r="C76" i="15"/>
  <c r="C78" i="15" s="1"/>
  <c r="D76" i="15"/>
  <c r="B80" i="15"/>
  <c r="C80" i="15"/>
  <c r="D80" i="15"/>
  <c r="B81" i="15"/>
  <c r="C81" i="15"/>
  <c r="E81" i="15"/>
  <c r="D81" i="15"/>
  <c r="B82" i="15"/>
  <c r="C82" i="15"/>
  <c r="E82" i="15" s="1"/>
  <c r="D82" i="15"/>
  <c r="B83" i="15"/>
  <c r="C83" i="15"/>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104" i="15" s="1"/>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G62" i="4" s="1"/>
  <c r="G95" i="4" s="1"/>
  <c r="G104" i="4" s="1"/>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c r="AV601" i="3"/>
  <c r="AX601" i="3"/>
  <c r="AR602" i="3"/>
  <c r="AT602" i="3" s="1"/>
  <c r="AV602" i="3"/>
  <c r="AX602" i="3" s="1"/>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I700" i="3" s="1"/>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S25" i="9"/>
  <c r="M12" i="4"/>
  <c r="B8" i="18"/>
  <c r="D12" i="18"/>
  <c r="E52" i="15"/>
  <c r="E58" i="15"/>
  <c r="H40" i="18"/>
  <c r="H62" i="18"/>
  <c r="E102" i="15"/>
  <c r="B73" i="18"/>
  <c r="B66" i="18"/>
  <c r="R66" i="4"/>
  <c r="K104" i="4"/>
  <c r="P104" i="4"/>
  <c r="L104" i="4"/>
  <c r="H62" i="4"/>
  <c r="H95" i="4" s="1"/>
  <c r="H104" i="4" s="1"/>
  <c r="E90" i="15"/>
  <c r="E15" i="15"/>
  <c r="E8" i="15"/>
  <c r="R103" i="4"/>
  <c r="P12" i="4"/>
  <c r="N12" i="4"/>
  <c r="J12" i="4"/>
  <c r="E65" i="15"/>
  <c r="C62" i="18"/>
  <c r="C95" i="18"/>
  <c r="C104" i="18"/>
  <c r="D62" i="18"/>
  <c r="D95" i="18"/>
  <c r="D104" i="18"/>
  <c r="E99" i="15"/>
  <c r="R11" i="4"/>
  <c r="J104" i="4"/>
  <c r="N104" i="4"/>
  <c r="E25" i="15"/>
  <c r="B11" i="4"/>
  <c r="C12" i="18"/>
  <c r="E91" i="15"/>
  <c r="E46" i="15"/>
  <c r="E40" i="15"/>
  <c r="E25" i="18"/>
  <c r="E100" i="15"/>
  <c r="E71" i="15"/>
  <c r="E70" i="15"/>
  <c r="E10" i="15"/>
  <c r="E66" i="15"/>
  <c r="E27" i="15"/>
  <c r="E14" i="15"/>
  <c r="E11" i="15"/>
  <c r="B104" i="15"/>
  <c r="D62" i="15"/>
  <c r="E16" i="15"/>
  <c r="D12" i="15"/>
  <c r="G104" i="18"/>
  <c r="G106" i="18"/>
  <c r="E88" i="15"/>
  <c r="E39" i="15"/>
  <c r="C104" i="15"/>
  <c r="E104" i="15" s="1"/>
  <c r="AO635" i="6"/>
  <c r="AK661" i="6"/>
  <c r="T710" i="6"/>
  <c r="AF710" i="6"/>
  <c r="AO660" i="6"/>
  <c r="AK689" i="6"/>
  <c r="T711" i="6"/>
  <c r="AF711" i="6"/>
  <c r="AK549" i="6"/>
  <c r="T706" i="6" s="1"/>
  <c r="AF706" i="6" s="1"/>
  <c r="AK281" i="6"/>
  <c r="T704" i="6"/>
  <c r="AO697" i="6"/>
  <c r="H104" i="18"/>
  <c r="H95" i="18"/>
  <c r="B41" i="15"/>
  <c r="E61" i="15"/>
  <c r="C12" i="15"/>
  <c r="E12" i="15"/>
  <c r="E103" i="15"/>
  <c r="B67" i="15"/>
  <c r="Y741" i="3"/>
  <c r="W25" i="9"/>
  <c r="AA25" i="9"/>
  <c r="G35" i="9"/>
  <c r="G38" i="9" s="1"/>
  <c r="Q35" i="9"/>
  <c r="Q38" i="9" s="1"/>
  <c r="Y35" i="9"/>
  <c r="Y38" i="9" s="1"/>
  <c r="K35" i="9"/>
  <c r="K38" i="9" s="1"/>
  <c r="AG35" i="9"/>
  <c r="AG38" i="9" s="1"/>
  <c r="E38" i="9"/>
  <c r="O35" i="9"/>
  <c r="O38" i="9" s="1"/>
  <c r="AA35" i="9"/>
  <c r="AA38" i="9" s="1"/>
  <c r="S35" i="9"/>
  <c r="S38" i="9" s="1"/>
  <c r="U35" i="9"/>
  <c r="U38" i="9" s="1"/>
  <c r="AE35" i="9"/>
  <c r="AE38" i="9" s="1"/>
  <c r="W35" i="9"/>
  <c r="W38" i="9" s="1"/>
  <c r="B25" i="4"/>
  <c r="E22" i="15"/>
  <c r="E23" i="15"/>
  <c r="C26" i="15"/>
  <c r="D26" i="15"/>
  <c r="E19" i="15"/>
  <c r="B26" i="15"/>
  <c r="E26" i="15"/>
  <c r="B77" i="4"/>
  <c r="C9" i="15"/>
  <c r="C13" i="15" s="1"/>
  <c r="R25" i="4"/>
  <c r="E5" i="15"/>
  <c r="D12" i="4"/>
  <c r="B8" i="4"/>
  <c r="B12" i="4" s="1"/>
  <c r="E41" i="15" l="1"/>
  <c r="D9" i="15"/>
  <c r="D13" i="15" s="1"/>
  <c r="G12" i="4"/>
  <c r="E6" i="15"/>
  <c r="R8" i="4"/>
  <c r="R12" i="4" s="1"/>
  <c r="O25" i="9"/>
  <c r="U25" i="9"/>
  <c r="AG25" i="9"/>
  <c r="AE25" i="9"/>
  <c r="Y25" i="9"/>
  <c r="K25" i="9"/>
  <c r="Q25" i="9"/>
  <c r="G25" i="9"/>
  <c r="I25" i="9"/>
  <c r="Q595" i="6"/>
  <c r="W595" i="6" s="1"/>
  <c r="AC595" i="6" s="1"/>
  <c r="U69" i="25"/>
  <c r="E77" i="15"/>
  <c r="B74" i="15"/>
  <c r="B52" i="18"/>
  <c r="E49" i="15"/>
  <c r="S40" i="4"/>
  <c r="E40" i="18" s="1"/>
  <c r="E33" i="15"/>
  <c r="AI699" i="3"/>
  <c r="AG631" i="3"/>
  <c r="L931" i="3"/>
  <c r="E83" i="15"/>
  <c r="E80" i="15"/>
  <c r="S77" i="4"/>
  <c r="E77" i="18" s="1"/>
  <c r="B78" i="15"/>
  <c r="E78" i="15" s="1"/>
  <c r="E55" i="15"/>
  <c r="E42" i="15"/>
  <c r="E31" i="15"/>
  <c r="B36" i="18"/>
  <c r="B9" i="15"/>
  <c r="B13" i="15" s="1"/>
  <c r="E13" i="15" s="1"/>
  <c r="Y761" i="3"/>
  <c r="BZ631" i="3"/>
  <c r="CD632" i="3" s="1"/>
  <c r="BP631" i="3"/>
  <c r="BT632" i="3" s="1"/>
  <c r="BF631" i="3"/>
  <c r="BJ632" i="3" s="1"/>
  <c r="CD633" i="3" s="1"/>
  <c r="AC845" i="3"/>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c r="AS353" i="6"/>
  <c r="C95" i="15"/>
  <c r="D95" i="15"/>
  <c r="R77" i="4"/>
  <c r="D78" i="15"/>
  <c r="E76" i="15"/>
  <c r="R73" i="4"/>
  <c r="C74" i="15"/>
  <c r="B61" i="4"/>
  <c r="C62" i="15"/>
  <c r="E62" i="15" s="1"/>
  <c r="B53" i="15"/>
  <c r="C53" i="15"/>
  <c r="D53" i="15"/>
  <c r="E44" i="15"/>
  <c r="R40" i="4"/>
  <c r="D41" i="15"/>
  <c r="C62" i="4"/>
  <c r="C95" i="4" s="1"/>
  <c r="B37" i="15"/>
  <c r="C37" i="15"/>
  <c r="D37" i="15"/>
  <c r="E30" i="15"/>
  <c r="E29" i="15"/>
  <c r="E62" i="4"/>
  <c r="E95" i="4" s="1"/>
  <c r="E104" i="4" s="1"/>
  <c r="AC844" i="3"/>
  <c r="AC846" i="3" s="1"/>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74" i="15" l="1"/>
  <c r="E9" i="15"/>
  <c r="AD931" i="3"/>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G21" i="9"/>
  <c r="G30" i="9" s="1"/>
  <c r="I21" i="9"/>
  <c r="I30" i="9" s="1"/>
  <c r="K14" i="9"/>
  <c r="Z781" i="3"/>
  <c r="E6" i="9"/>
  <c r="S104" i="4" l="1"/>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CD614" i="3"/>
  <c r="CD635" i="3" s="1"/>
  <c r="J8" i="7" s="1"/>
  <c r="J10" i="7" s="1"/>
  <c r="U368" i="6" s="1"/>
  <c r="Y616" i="6"/>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AU544" i="6" l="1"/>
  <c r="AD952" i="3"/>
  <c r="AD966" i="3"/>
  <c r="AO892" i="3" s="1"/>
  <c r="BW537" i="6"/>
  <c r="BW540" i="6" s="1"/>
  <c r="BU541" i="6" s="1"/>
  <c r="CC542" i="6" s="1"/>
  <c r="E104" i="18"/>
  <c r="BE583" i="6"/>
  <c r="AP593" i="6" s="1"/>
  <c r="CH558" i="6"/>
  <c r="CA538" i="6"/>
  <c r="CA540" i="6" s="1"/>
  <c r="BY541" i="6" s="1"/>
  <c r="BY544" i="6" s="1"/>
  <c r="BE584" i="6"/>
  <c r="AP594" i="6" s="1"/>
  <c r="M4" i="9"/>
  <c r="M5" i="9" s="1"/>
  <c r="I5" i="9"/>
  <c r="AU543" i="6"/>
  <c r="AU542" i="6"/>
  <c r="BE582" i="6"/>
  <c r="AP592" i="6" s="1"/>
  <c r="BT582" i="6" s="1"/>
  <c r="B984" i="3"/>
  <c r="AD969" i="3"/>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E44" i="9"/>
  <c r="E40" i="9"/>
  <c r="G7" i="9"/>
  <c r="G10" i="9" s="1"/>
  <c r="G32" i="9" s="1"/>
  <c r="I6" i="9"/>
  <c r="O14" i="9"/>
  <c r="M21" i="9"/>
  <c r="M30" i="9" s="1"/>
  <c r="BU543" i="6" l="1"/>
  <c r="AD974" i="3"/>
  <c r="T24" i="5" s="1"/>
  <c r="AO893" i="3"/>
  <c r="AO895" i="3"/>
  <c r="B982" i="3" s="1"/>
  <c r="BY583" i="6"/>
  <c r="CD584" i="6" s="1"/>
  <c r="CD586" i="6" s="1"/>
  <c r="O4" i="9"/>
  <c r="Q4" i="9" s="1"/>
  <c r="BY542" i="6"/>
  <c r="CC543" i="6" s="1"/>
  <c r="CC546" i="6" s="1"/>
  <c r="BT586" i="6"/>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E42" i="9"/>
  <c r="E54" i="9"/>
  <c r="E43" i="9"/>
  <c r="Q14" i="9"/>
  <c r="O21" i="9"/>
  <c r="O30" i="9" s="1"/>
  <c r="G40" i="9"/>
  <c r="G44" i="9"/>
  <c r="I7" i="9"/>
  <c r="I10" i="9" s="1"/>
  <c r="I32" i="9" s="1"/>
  <c r="K6" i="9"/>
  <c r="T24" i="27" l="1"/>
  <c r="T24" i="26"/>
  <c r="X978" i="3"/>
  <c r="D979" i="3" s="1"/>
  <c r="BY586" i="6"/>
  <c r="BY546" i="6"/>
  <c r="CG546" i="6" s="1"/>
  <c r="O5" i="9"/>
  <c r="CI585" i="6"/>
  <c r="CI586" i="6" s="1"/>
  <c r="T29" i="26"/>
  <c r="AD38" i="5"/>
  <c r="AD40" i="5" s="1"/>
  <c r="T29" i="27"/>
  <c r="T26" i="5"/>
  <c r="T28" i="5" s="1"/>
  <c r="T29" i="5" s="1"/>
  <c r="Q71" i="25"/>
  <c r="O75" i="25" s="1"/>
  <c r="R75" i="25" s="1"/>
  <c r="Q8" i="9"/>
  <c r="O9" i="9"/>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CN586" i="6" l="1"/>
  <c r="BD567" i="6" s="1"/>
  <c r="AW571" i="6" s="1"/>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T569" i="6" l="1"/>
  <c r="AR42" i="5"/>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<sst xmlns="http://schemas.openxmlformats.org/spreadsheetml/2006/main" count="4655" uniqueCount="2440">
  <si>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</si>
  <si>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</si>
  <si>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</si>
  <si>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</si>
  <si>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</si>
  <si>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</si>
  <si>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</si>
  <si>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</si>
  <si>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</si>
  <si>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</si>
  <si>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</si>
  <si>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</si>
  <si>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</si>
  <si>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</si>
  <si>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</si>
  <si>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</si>
  <si>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</si>
  <si>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</si>
  <si>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</si>
  <si>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</si>
  <si>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</si>
  <si>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</si>
  <si>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</si>
  <si>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</si>
  <si>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</si>
  <si>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</si>
  <si>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</si>
  <si>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</si>
  <si>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</si>
  <si>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</si>
  <si>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</si>
  <si>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</si>
  <si>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</si>
  <si>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</si>
  <si>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</si>
  <si>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</si>
  <si>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</si>
  <si>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</si>
  <si>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</si>
  <si>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</si>
  <si>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</si>
  <si>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</si>
  <si>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</si>
  <si>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</si>
  <si>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</si>
  <si>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</si>
  <si>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</si>
  <si>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</si>
  <si>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</si>
  <si>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</si>
  <si>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</si>
  <si>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</si>
  <si>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</si>
  <si>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</si>
  <si>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</si>
  <si>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</si>
  <si>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</si>
  <si>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</si>
  <si>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</si>
  <si>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</si>
  <si>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</si>
  <si>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</si>
  <si>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</si>
  <si>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</si>
  <si>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</si>
  <si>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</si>
  <si>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</si>
  <si>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</si>
  <si>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</si>
  <si>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</si>
  <si>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</si>
  <si>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</si>
  <si>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</si>
  <si>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</si>
  <si>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</si>
  <si>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</si>
  <si>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</si>
  <si>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</si>
  <si>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</si>
  <si>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</si>
  <si>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</si>
  <si>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</si>
  <si>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</si>
  <si>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</si>
  <si>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</si>
  <si>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</si>
  <si>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</si>
  <si>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</si>
  <si>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</si>
  <si>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</si>
  <si>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</si>
  <si>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</si>
  <si>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</si>
  <si>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</si>
  <si>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</si>
  <si>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</si>
  <si>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</si>
  <si>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</si>
  <si>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</si>
  <si>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</si>
  <si>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</si>
  <si>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</si>
  <si>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</si>
  <si>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</si>
  <si>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</si>
  <si>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</si>
  <si>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</si>
  <si>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</si>
  <si>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</si>
  <si>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</si>
  <si>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</si>
  <si>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</si>
  <si>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</si>
  <si>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</si>
  <si>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</si>
  <si>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</si>
  <si>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</si>
  <si>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</si>
  <si>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</si>
  <si>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</si>
  <si>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</si>
  <si>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</si>
  <si>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</si>
  <si>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</si>
  <si>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</si>
  <si>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</si>
  <si>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</si>
  <si>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</si>
  <si>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</si>
  <si>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</si>
  <si>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</si>
  <si>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</si>
  <si>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</si>
  <si>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</si>
  <si>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</si>
  <si>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</si>
  <si>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</si>
  <si>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</si>
  <si>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</si>
  <si>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</si>
  <si>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</si>
  <si>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</si>
  <si>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</si>
  <si>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</si>
  <si>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</si>
  <si>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</si>
  <si>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</si>
  <si>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</si>
  <si>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</si>
  <si>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</si>
  <si>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</si>
  <si>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</si>
  <si>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</si>
  <si>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</si>
  <si>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</si>
  <si>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</si>
  <si>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</si>
  <si>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</si>
  <si>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</si>
  <si>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</si>
  <si>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</si>
  <si>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</si>
  <si>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</si>
  <si>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</si>
  <si>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</si>
  <si>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</si>
  <si>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</si>
  <si>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</si>
  <si>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</si>
  <si>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</si>
  <si>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</si>
  <si>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</si>
  <si>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</si>
  <si>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</si>
  <si>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</si>
  <si>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</si>
  <si>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</si>
  <si>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</si>
  <si>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</si>
  <si>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</si>
  <si>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</si>
  <si>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</si>
  <si>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</si>
  <si>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</si>
  <si>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</si>
  <si>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</si>
  <si>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</si>
  <si>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</si>
  <si>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</si>
  <si>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</si>
  <si>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</si>
  <si>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</si>
  <si>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</si>
  <si>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</si>
  <si>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</si>
  <si>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</si>
  <si>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</si>
  <si>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</si>
  <si>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</si>
  <si>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</si>
  <si>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</si>
  <si>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</si>
  <si>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</si>
  <si>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</si>
  <si>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</si>
  <si>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</si>
  <si>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</si>
  <si>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</si>
  <si>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</si>
  <si>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</si>
  <si>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</si>
  <si>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</si>
  <si>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</si>
  <si>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</si>
  <si>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</si>
  <si>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</si>
  <si>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</si>
  <si>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</si>
  <si>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</si>
  <si>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</si>
  <si>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</si>
  <si>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</si>
  <si>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</si>
  <si>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</si>
  <si>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</si>
  <si>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</si>
  <si>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</si>
  <si>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</si>
  <si>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</si>
  <si>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</si>
  <si>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</si>
  <si>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</si>
  <si>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</si>
  <si>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</si>
  <si>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</si>
  <si>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</si>
  <si>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</si>
  <si>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</si>
  <si>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</si>
  <si>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</si>
  <si>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</si>
  <si>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</si>
  <si>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</si>
  <si>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</si>
  <si>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</si>
  <si>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</si>
  <si>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</si>
  <si>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</si>
  <si>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</si>
  <si>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</si>
  <si>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</si>
  <si>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</si>
  <si>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</si>
  <si>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</si>
  <si>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</si>
  <si>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</si>
  <si>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</si>
  <si>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</si>
  <si>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</si>
  <si>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</si>
  <si>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</si>
  <si>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</si>
  <si>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</si>
  <si>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</si>
  <si>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</si>
  <si>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</si>
  <si>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</si>
  <si>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</si>
  <si>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</si>
  <si>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</si>
  <si>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</si>
  <si>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</si>
  <si>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</si>
  <si>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</si>
  <si>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</si>
  <si>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</si>
  <si>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</si>
  <si>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</si>
  <si>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</si>
  <si>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</si>
  <si>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</si>
  <si>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</si>
  <si>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</si>
  <si>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</si>
  <si>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</si>
  <si>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</si>
  <si>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</si>
  <si>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</si>
  <si>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</si>
  <si>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</si>
  <si>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</si>
  <si>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</si>
  <si>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</si>
  <si>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</si>
  <si>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</si>
  <si>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</si>
  <si>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</si>
  <si>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</si>
  <si>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</si>
  <si>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</si>
  <si>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</si>
  <si>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</si>
  <si>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</si>
  <si>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</si>
  <si>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</si>
  <si>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</si>
  <si>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</si>
  <si>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</si>
  <si>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</si>
  <si>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</si>
  <si>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</si>
  <si>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</si>
  <si>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</si>
  <si>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</si>
  <si>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</si>
  <si>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</si>
  <si>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</si>
  <si>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</si>
  <si>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</si>
  <si>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</si>
  <si>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</si>
  <si>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</si>
  <si>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</si>
  <si>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</si>
  <si>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</si>
  <si>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</si>
  <si>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</si>
  <si>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</si>
  <si>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</si>
  <si>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</si>
  <si>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</si>
  <si>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</si>
  <si>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</si>
  <si>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</si>
  <si>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</si>
  <si>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</si>
  <si>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</si>
  <si>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</si>
  <si>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</si>
  <si>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</si>
  <si>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</si>
  <si>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</si>
  <si>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</si>
  <si>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</si>
  <si>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</si>
  <si>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</si>
  <si>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</si>
  <si>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</si>
  <si>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</si>
  <si>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</si>
  <si>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</si>
  <si>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</si>
  <si>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</si>
  <si>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</si>
  <si>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</si>
  <si>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</si>
  <si>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</si>
  <si>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</si>
  <si>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</si>
  <si>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</si>
  <si>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</si>
  <si>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</si>
  <si>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</si>
  <si>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</si>
  <si>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</si>
  <si>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</si>
  <si>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</si>
  <si>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</si>
  <si>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</si>
  <si>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</si>
  <si>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</si>
  <si>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</si>
  <si>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</si>
  <si>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</si>
  <si>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</si>
  <si>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</si>
  <si>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</si>
  <si>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</si>
  <si>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</si>
  <si>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</si>
  <si>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</si>
  <si>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</si>
  <si>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</si>
  <si>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</si>
  <si>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</si>
  <si>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</si>
  <si>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</si>
  <si>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</si>
  <si>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</si>
  <si>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</si>
  <si>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</si>
  <si>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</si>
  <si>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</si>
  <si>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</si>
  <si>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</si>
  <si>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</si>
  <si>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</si>
  <si>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</si>
  <si>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</si>
  <si>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</si>
  <si>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</si>
  <si>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</si>
  <si>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</si>
  <si>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</si>
  <si>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</si>
  <si>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</si>
  <si>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</si>
  <si>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</si>
  <si>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</si>
  <si>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</si>
  <si>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</si>
  <si>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</si>
  <si>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</si>
  <si>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</si>
  <si>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</si>
  <si>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</si>
  <si>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</si>
  <si>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</si>
  <si>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</si>
  <si>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</si>
  <si>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</si>
  <si>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</si>
  <si>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</si>
  <si>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</si>
  <si>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</si>
  <si>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</si>
  <si>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</si>
  <si>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</si>
  <si>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</si>
  <si>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</si>
  <si>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</si>
  <si>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</si>
  <si>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</si>
  <si>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</si>
  <si>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</si>
  <si>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</si>
  <si>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</si>
  <si>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</si>
  <si>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</si>
  <si>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</si>
  <si>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</si>
  <si>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</si>
  <si>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</si>
  <si>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</si>
  <si>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</si>
  <si>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</si>
  <si>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</si>
  <si>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</si>
  <si>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</si>
  <si>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</si>
  <si>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</si>
  <si>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</si>
  <si>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</si>
  <si>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</si>
  <si>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</si>
  <si>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</si>
  <si>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</si>
  <si>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</si>
  <si>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</si>
  <si>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</si>
  <si>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</si>
  <si>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</si>
  <si>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</si>
  <si>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</si>
  <si>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</si>
  <si>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</si>
  <si>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</si>
  <si>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</si>
  <si>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</si>
  <si>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</si>
  <si>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</si>
  <si>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</si>
  <si>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</si>
  <si>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</si>
  <si>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</si>
  <si>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</si>
  <si>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</si>
  <si>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</si>
  <si>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</si>
  <si>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</si>
  <si>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</si>
  <si>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</si>
  <si>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</si>
  <si>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</si>
  <si>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</si>
  <si>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</si>
  <si>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</si>
  <si>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</si>
  <si>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</si>
  <si>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</si>
  <si>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</si>
  <si>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</si>
  <si>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</si>
  <si>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</si>
  <si>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</si>
  <si>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</si>
  <si>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</si>
  <si>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</si>
  <si>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</si>
  <si>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</si>
  <si>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</si>
  <si>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</si>
  <si>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</si>
  <si>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</si>
  <si>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</si>
  <si>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</si>
  <si>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</si>
  <si>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</si>
  <si>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</si>
  <si>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</si>
  <si>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</si>
  <si>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</si>
  <si>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</si>
  <si>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</si>
  <si>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</si>
  <si>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</si>
  <si>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</si>
  <si>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</si>
  <si>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</si>
  <si>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</si>
  <si>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</si>
  <si>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</si>
  <si>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</si>
  <si>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</si>
  <si>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</si>
  <si>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</si>
  <si>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</si>
  <si>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</si>
  <si>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</si>
  <si>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</si>
  <si>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</si>
  <si>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</si>
  <si>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</si>
  <si>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</si>
  <si>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</si>
  <si>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</si>
  <si>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</si>
  <si>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</si>
  <si>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</si>
  <si>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</si>
  <si>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</si>
  <si>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</si>
  <si>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</si>
  <si>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</si>
  <si>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</si>
  <si>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</si>
  <si>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</si>
  <si>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</si>
  <si>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</si>
  <si>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</si>
  <si>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</si>
  <si>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</si>
  <si>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</si>
  <si>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</si>
  <si>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</si>
  <si>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</si>
  <si>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</si>
  <si>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</si>
  <si>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</si>
  <si>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</si>
  <si>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</si>
  <si>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</si>
  <si>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</si>
  <si>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</si>
  <si>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</si>
  <si>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</si>
  <si>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</si>
  <si>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</si>
  <si>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</si>
  <si>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</si>
  <si>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</si>
  <si>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</si>
  <si>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</si>
  <si>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</si>
  <si>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</si>
  <si>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</si>
  <si>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</si>
  <si>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</si>
  <si>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</si>
  <si>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</si>
  <si>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</si>
  <si>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</si>
  <si>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</si>
  <si>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</si>
  <si>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</si>
  <si>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</si>
  <si>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</si>
  <si>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</si>
  <si>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</si>
  <si>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</si>
  <si>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</si>
  <si>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</si>
  <si>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</si>
  <si>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</si>
  <si>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</si>
  <si>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</si>
  <si>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</si>
  <si>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</si>
  <si>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</si>
  <si>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</si>
  <si>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</si>
  <si>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</si>
  <si>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</si>
  <si>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</si>
  <si>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</si>
  <si>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</si>
  <si>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</si>
  <si>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</si>
  <si>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</si>
  <si>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</si>
  <si>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</si>
  <si>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</si>
  <si>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</si>
  <si>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</si>
  <si>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</si>
  <si>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</si>
  <si>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</si>
  <si>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</si>
  <si>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</si>
  <si>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</si>
  <si>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</si>
  <si>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</si>
  <si>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</si>
  <si>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</si>
  <si>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</si>
  <si>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</si>
  <si>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</si>
  <si>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</si>
  <si>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</si>
  <si>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</si>
  <si>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</si>
  <si>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</si>
  <si>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</si>
  <si>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</si>
  <si>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</si>
  <si>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</si>
  <si>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</si>
  <si>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</si>
  <si>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</si>
  <si>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</si>
  <si>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</si>
  <si>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</si>
  <si>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</si>
  <si>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</si>
  <si>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</si>
  <si>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</si>
  <si>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</si>
  <si>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</si>
  <si>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</si>
  <si>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</si>
  <si>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</si>
  <si>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</si>
  <si>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</si>
  <si>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</si>
  <si>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</si>
  <si>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</si>
  <si>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</si>
  <si>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</si>
  <si>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</si>
  <si>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</si>
  <si>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</si>
  <si>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</si>
  <si>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</si>
  <si>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</si>
  <si>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</si>
  <si>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</si>
  <si>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</si>
  <si>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</si>
  <si>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</si>
  <si>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</si>
  <si>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</si>
  <si>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</si>
  <si>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</si>
  <si>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</si>
  <si>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</si>
  <si>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</si>
  <si>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</si>
  <si>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</si>
  <si>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</si>
  <si>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</si>
  <si>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</si>
  <si>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</si>
  <si>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</si>
  <si>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</si>
  <si>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</si>
  <si>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</si>
  <si>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</si>
  <si>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</si>
  <si>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</si>
  <si>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</si>
  <si>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</si>
  <si>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</si>
  <si>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</si>
  <si>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</si>
  <si>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</si>
  <si>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</si>
  <si>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</si>
  <si>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</si>
  <si>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</si>
  <si>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</si>
  <si>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</si>
  <si>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</si>
  <si>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</si>
  <si>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</si>
  <si>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</si>
  <si>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</si>
  <si>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</si>
  <si>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</si>
  <si>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</si>
  <si>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</si>
  <si>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</si>
  <si>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</si>
  <si>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</si>
  <si>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</si>
  <si>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</si>
  <si>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</si>
  <si>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</si>
  <si>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</si>
  <si>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</si>
  <si>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</si>
  <si>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</si>
  <si>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</si>
  <si>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</si>
  <si>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</si>
  <si>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</si>
  <si>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</si>
  <si>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</si>
  <si>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</si>
  <si>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</si>
  <si>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</si>
  <si>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</si>
  <si>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</si>
  <si>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</si>
  <si>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</si>
  <si>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</si>
  <si>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</si>
  <si>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</si>
  <si>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</si>
  <si>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</si>
  <si>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</si>
  <si>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</si>
  <si>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</si>
  <si>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</si>
  <si>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</si>
  <si>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</si>
  <si>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</si>
  <si>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</si>
  <si>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</si>
  <si>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</si>
  <si>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</si>
  <si>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</si>
  <si>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</si>
  <si>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</si>
  <si>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</si>
  <si>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</si>
  <si>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</si>
  <si>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</si>
  <si>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</si>
  <si>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</si>
  <si>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</si>
  <si>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</si>
  <si>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</si>
  <si>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</si>
  <si>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</si>
  <si>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</si>
  <si>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</si>
  <si>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</si>
  <si>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</si>
  <si>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</si>
  <si>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</si>
  <si>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</si>
  <si>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</si>
  <si>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</si>
  <si>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</si>
  <si>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</si>
  <si>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</si>
  <si>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</si>
  <si>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</si>
  <si>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</si>
  <si>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</si>
  <si>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</si>
  <si>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</si>
  <si>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</si>
  <si>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</si>
  <si>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</si>
  <si>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</si>
  <si>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</si>
  <si>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</si>
  <si>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</si>
  <si>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</si>
  <si>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</si>
  <si>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</si>
  <si>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</si>
  <si>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</si>
  <si>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</si>
  <si>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</si>
  <si>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</si>
  <si>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</si>
  <si>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</si>
  <si>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</si>
  <si>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</si>
  <si>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</si>
  <si>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</si>
  <si>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</si>
  <si>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</si>
  <si>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</si>
  <si>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</si>
  <si>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</si>
  <si>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</si>
  <si>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</si>
  <si>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</si>
  <si>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</si>
  <si>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</si>
  <si>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</si>
  <si>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</si>
  <si>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</si>
  <si>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</si>
  <si>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</si>
  <si>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</si>
  <si>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</si>
  <si>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</si>
  <si>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</si>
  <si>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</si>
  <si>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</si>
  <si>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</si>
  <si>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</si>
  <si>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</si>
  <si>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</si>
  <si>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</si>
  <si>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</si>
  <si>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</si>
  <si>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</si>
  <si>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</si>
  <si>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</si>
  <si>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</si>
  <si>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</si>
  <si>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</si>
  <si>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</si>
  <si>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</si>
  <si>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</si>
  <si>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</si>
  <si>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</si>
  <si>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</si>
  <si>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</si>
  <si>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</si>
  <si>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</si>
  <si>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</si>
  <si>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</si>
  <si>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</si>
  <si>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</si>
  <si>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</si>
  <si>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</si>
  <si>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</si>
  <si>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</si>
  <si>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</si>
  <si>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</si>
  <si>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</si>
  <si>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</si>
  <si>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</si>
  <si>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</si>
  <si>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</si>
  <si>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</si>
  <si>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</si>
  <si>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</si>
  <si>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</si>
  <si>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</si>
  <si>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</si>
  <si>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</si>
  <si>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</si>
  <si>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</si>
  <si>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</si>
  <si>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</si>
  <si>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</si>
  <si>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</si>
  <si>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</si>
  <si>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</si>
  <si>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</si>
  <si>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</si>
  <si>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</si>
  <si>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</si>
  <si>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</si>
  <si>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</si>
  <si>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</si>
  <si>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</si>
  <si>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</si>
  <si>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</si>
  <si>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</si>
  <si>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</si>
  <si>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</si>
  <si>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</si>
  <si>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</si>
  <si>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</si>
  <si>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</si>
  <si>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</si>
  <si>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</si>
  <si>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</si>
  <si>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</si>
  <si>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</si>
  <si>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</si>
  <si>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</si>
  <si>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</si>
  <si>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</si>
  <si>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</si>
  <si>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</si>
  <si>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</si>
  <si>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</si>
  <si>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</si>
  <si>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</si>
  <si>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</si>
  <si>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</si>
  <si>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</si>
  <si>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</si>
  <si>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</si>
  <si>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</si>
  <si>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</si>
  <si>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</si>
  <si>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</si>
  <si>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</si>
  <si>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</si>
  <si>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</si>
  <si>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</si>
  <si>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</si>
  <si>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</si>
  <si>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</si>
  <si>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</si>
  <si>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</si>
  <si>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</si>
  <si>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</si>
  <si>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</si>
  <si>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</si>
  <si>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</si>
  <si>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</si>
  <si>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</si>
  <si>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</si>
  <si>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</si>
  <si>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</si>
  <si>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</si>
  <si>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</si>
  <si>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</si>
  <si>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</si>
  <si>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</si>
  <si>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</si>
  <si>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</si>
  <si>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</si>
  <si>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</si>
  <si>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</si>
  <si>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</si>
  <si>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</si>
  <si>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</si>
  <si>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</si>
  <si>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</si>
  <si>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</si>
  <si>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</si>
  <si>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</si>
  <si>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</si>
  <si>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</si>
  <si>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</si>
  <si>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</si>
  <si>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</si>
  <si>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</si>
  <si>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</si>
  <si>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</si>
  <si>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</si>
  <si>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</si>
  <si>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</si>
  <si>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</si>
  <si>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</si>
  <si>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</si>
  <si>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</si>
  <si>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</si>
  <si>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</si>
  <si>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</si>
  <si>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</si>
  <si>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</si>
  <si>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</si>
  <si>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</si>
  <si>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</si>
  <si>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</si>
  <si>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</si>
  <si>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</si>
  <si>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</si>
  <si>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</si>
  <si>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</si>
  <si>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</si>
  <si>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</si>
  <si>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</si>
  <si>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</si>
  <si>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</si>
  <si>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</si>
  <si>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</si>
  <si>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</si>
  <si>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</si>
  <si>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</si>
  <si>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</si>
  <si>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</si>
  <si>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</si>
  <si>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</si>
  <si>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</si>
  <si>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</si>
  <si>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</si>
  <si>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</si>
  <si>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</si>
  <si>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</si>
  <si>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</si>
  <si>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</si>
  <si>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</si>
  <si>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</si>
  <si>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</si>
  <si>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</si>
  <si>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</si>
  <si>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</si>
  <si>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</si>
  <si>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</si>
  <si>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</si>
  <si>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</si>
  <si>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</si>
  <si>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</si>
  <si>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</si>
  <si>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</si>
  <si>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</si>
  <si>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</si>
  <si>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</si>
  <si>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</si>
  <si>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</si>
  <si>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</si>
  <si>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</si>
  <si>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</si>
  <si>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</si>
  <si>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</si>
  <si>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</si>
  <si>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</si>
  <si>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</si>
  <si>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</si>
  <si>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</si>
  <si>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</si>
  <si>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</si>
  <si>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</si>
  <si>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</si>
  <si>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</si>
  <si>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</si>
  <si>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</si>
  <si>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</si>
  <si>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</si>
  <si>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</si>
  <si>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</si>
  <si>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</si>
  <si>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</si>
  <si>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</si>
  <si>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</si>
  <si>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</si>
  <si>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</si>
  <si>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</si>
  <si>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</si>
  <si>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</si>
  <si>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</si>
  <si>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</si>
  <si>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</si>
  <si>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</si>
  <si>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</si>
  <si>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</si>
  <si>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</si>
  <si>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</si>
  <si>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</si>
  <si>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</si>
  <si>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</si>
  <si>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</si>
  <si>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</si>
  <si>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</si>
  <si>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</si>
  <si>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</si>
  <si>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</si>
  <si>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</si>
  <si>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</si>
  <si>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</si>
  <si>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</si>
  <si>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</si>
  <si>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</si>
  <si>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</si>
  <si>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</si>
  <si>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</si>
  <si>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</si>
  <si>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</si>
  <si>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</si>
  <si>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</si>
  <si>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</si>
  <si>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</si>
  <si>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</si>
  <si>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</si>
  <si>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</si>
  <si>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</si>
  <si>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</si>
  <si>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</si>
  <si>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</si>
  <si>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</si>
  <si>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</si>
  <si>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</si>
  <si>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</si>
  <si>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</si>
  <si>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</si>
  <si>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</si>
  <si>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</si>
  <si>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</si>
  <si>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</si>
  <si>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</si>
  <si>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</si>
  <si>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</si>
  <si>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</si>
  <si>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</si>
  <si>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</si>
  <si>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</si>
  <si>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</si>
  <si>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</si>
  <si>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</si>
  <si>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</si>
  <si>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</si>
  <si>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</si>
  <si>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</si>
  <si>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</si>
  <si>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</si>
  <si>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</si>
  <si>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</si>
  <si>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</si>
  <si>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</si>
  <si>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</si>
  <si>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</si>
  <si>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</si>
  <si>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</si>
  <si>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</si>
  <si>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</si>
  <si>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</si>
  <si>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</si>
  <si>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</si>
  <si>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</si>
  <si>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</si>
  <si>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</si>
  <si>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</si>
  <si>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</si>
  <si>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</si>
  <si>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</si>
  <si>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</si>
  <si>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</si>
  <si>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</si>
  <si>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</si>
  <si>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</si>
  <si>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</si>
  <si>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</si>
  <si>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</si>
  <si>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</si>
  <si>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</si>
  <si>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</si>
  <si>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</si>
  <si>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</si>
  <si>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</si>
  <si>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</si>
  <si>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</si>
  <si>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</si>
  <si>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</si>
  <si>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</si>
  <si>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</si>
  <si>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</si>
  <si>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</si>
  <si>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</si>
  <si>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</si>
  <si>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</si>
  <si>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</si>
  <si>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</si>
  <si>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</si>
  <si>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</si>
  <si>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</si>
  <si>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</si>
  <si>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</si>
  <si>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</si>
  <si>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</si>
  <si>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</si>
  <si>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</si>
  <si>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</si>
  <si>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</si>
  <si>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</si>
  <si>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</si>
  <si>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</si>
  <si>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</si>
  <si>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</si>
  <si>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</si>
  <si>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</si>
  <si>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</si>
  <si>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</si>
  <si>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</si>
  <si>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</si>
  <si>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</si>
  <si>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</si>
  <si>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</si>
  <si>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</si>
  <si>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</si>
  <si>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</si>
  <si>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</si>
  <si>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</si>
  <si>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</si>
  <si>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</si>
  <si>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</si>
  <si>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</si>
  <si>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</si>
  <si>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</si>
  <si>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</si>
  <si>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</si>
  <si>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</si>
  <si>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</si>
  <si>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</si>
  <si>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</si>
  <si>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</si>
  <si>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</si>
  <si>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</si>
  <si>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</si>
  <si>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</si>
  <si>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</si>
  <si>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</si>
  <si>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</si>
  <si>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</si>
  <si>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</si>
  <si>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</si>
  <si>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</si>
  <si>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</si>
  <si>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</si>
  <si>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</si>
  <si>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</si>
  <si>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</si>
  <si>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</si>
  <si>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</si>
  <si>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</si>
  <si>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</si>
  <si>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</si>
  <si>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</si>
  <si>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</si>
  <si>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</si>
  <si>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</si>
  <si>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</si>
  <si>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</si>
  <si>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</si>
  <si>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</si>
  <si>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</si>
  <si>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</si>
  <si>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</si>
  <si>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</si>
  <si>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</si>
  <si>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</si>
  <si>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</si>
  <si>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</si>
  <si>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</si>
  <si>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</si>
  <si>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</si>
  <si>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</si>
  <si>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</si>
  <si>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</si>
  <si>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</si>
  <si>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</si>
  <si>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</si>
  <si>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</si>
  <si>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</si>
  <si>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</si>
  <si>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</si>
  <si>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</si>
  <si>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</si>
  <si>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</si>
  <si>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</si>
  <si>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</si>
  <si>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</si>
  <si>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</si>
  <si>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</si>
  <si>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</si>
  <si>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</si>
  <si>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</si>
  <si>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</si>
  <si>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</si>
  <si>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</si>
  <si>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</si>
  <si>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</si>
  <si>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</si>
  <si>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</si>
  <si>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</si>
  <si>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</si>
  <si>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</si>
  <si>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</si>
  <si>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</si>
  <si>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</si>
  <si>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</si>
  <si>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</si>
  <si>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</si>
  <si>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</si>
  <si>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</si>
  <si>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</si>
  <si>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</si>
  <si>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</si>
  <si>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</si>
  <si>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</si>
  <si>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</si>
  <si>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</si>
  <si>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</si>
  <si>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</si>
  <si>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</si>
  <si>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</si>
  <si>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</si>
  <si>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</si>
  <si>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</si>
  <si>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</si>
  <si>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</si>
  <si>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</si>
  <si>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</si>
  <si>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</si>
  <si>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</si>
  <si>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</si>
  <si>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</si>
  <si>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</si>
  <si>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</si>
  <si>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</si>
  <si>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</si>
  <si>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</si>
  <si>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</si>
  <si>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</si>
  <si>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</si>
  <si>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</si>
  <si>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</si>
  <si>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</si>
  <si>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</si>
  <si>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</si>
  <si>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</si>
  <si>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</si>
  <si>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</si>
  <si>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</si>
  <si>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</si>
  <si>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</si>
  <si>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</si>
  <si>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</si>
  <si>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</si>
  <si>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</si>
  <si>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</si>
  <si>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</si>
  <si>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</si>
  <si>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</si>
  <si>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</si>
  <si>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</si>
  <si>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</si>
  <si>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</si>
  <si>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</si>
  <si>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</si>
  <si>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</si>
  <si>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</si>
  <si>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</si>
  <si>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</si>
  <si>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</si>
  <si>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</si>
  <si>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</si>
  <si>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</si>
  <si>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</si>
  <si>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</si>
  <si>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</si>
  <si>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</si>
  <si>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</si>
  <si>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</si>
  <si>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</si>
  <si>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</si>
  <si>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</si>
  <si>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</si>
  <si>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</si>
  <si>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</si>
  <si>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</si>
  <si>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</si>
  <si>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</si>
  <si>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</si>
  <si>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</si>
  <si>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</si>
  <si>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</si>
  <si>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</si>
  <si>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</si>
  <si>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</si>
  <si>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</si>
  <si>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</si>
  <si>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</si>
  <si>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</si>
  <si>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</si>
  <si>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</si>
  <si>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</si>
  <si>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</si>
  <si>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</si>
  <si>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</si>
  <si>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</si>
  <si>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</si>
  <si>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</si>
  <si>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</si>
  <si>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</si>
  <si>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</si>
  <si>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</si>
  <si>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</si>
  <si>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</si>
  <si>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</si>
  <si>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</si>
  <si>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</si>
  <si>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</si>
  <si>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</si>
  <si>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</si>
  <si>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</si>
  <si>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</si>
  <si>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</si>
  <si>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</si>
  <si>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</si>
  <si>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</si>
  <si>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</si>
  <si>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</si>
  <si>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</si>
  <si>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</si>
  <si>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</si>
  <si>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</si>
  <si>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</si>
  <si>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</si>
  <si>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</si>
  <si>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</si>
  <si>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</si>
  <si>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</si>
  <si>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</si>
  <si>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</si>
  <si>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</si>
  <si>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</si>
  <si>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</si>
  <si>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</si>
  <si>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</si>
  <si>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</si>
  <si>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</si>
  <si>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</si>
  <si>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</si>
  <si>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</si>
  <si>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</si>
  <si>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</si>
  <si>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</si>
  <si>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</si>
  <si>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</si>
  <si>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</si>
  <si>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</si>
  <si>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</si>
  <si>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</si>
  <si>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</si>
  <si>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</si>
  <si>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</si>
  <si>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</si>
  <si>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</si>
  <si>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</si>
  <si>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</si>
  <si>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</si>
  <si>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</si>
  <si>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</si>
  <si>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</si>
  <si>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</si>
  <si>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</si>
  <si>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</si>
  <si>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</si>
  <si>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</si>
  <si>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</si>
  <si>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</si>
  <si>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</si>
  <si>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</si>
  <si>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</si>
  <si>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</si>
  <si>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</si>
  <si>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</si>
  <si>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</si>
  <si>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</si>
  <si>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</si>
  <si>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</si>
  <si>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</si>
  <si>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</si>
  <si>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</si>
  <si>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</si>
  <si>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</si>
  <si>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</si>
  <si>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</si>
  <si>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</si>
  <si>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</si>
  <si>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</si>
  <si>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</si>
  <si>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</si>
  <si>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</si>
  <si>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</si>
  <si>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</si>
  <si>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</si>
  <si>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</si>
  <si>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</si>
  <si>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</si>
  <si>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</si>
  <si>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</si>
  <si>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</si>
  <si>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</si>
  <si>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</si>
  <si>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</si>
  <si>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</si>
  <si>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</si>
  <si>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</si>
  <si>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</si>
  <si>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</si>
  <si>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</si>
  <si>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</si>
  <si>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</si>
  <si>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</si>
  <si>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</si>
  <si>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</si>
  <si>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</si>
  <si>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</si>
  <si>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</si>
  <si>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</si>
  <si>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</si>
  <si>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</si>
  <si>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</si>
  <si>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</si>
  <si>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</si>
  <si>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</si>
  <si>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</si>
  <si>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</si>
  <si>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</si>
  <si>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</si>
  <si>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</si>
  <si>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</si>
  <si>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</si>
  <si>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</si>
  <si>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</si>
  <si>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</si>
  <si>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</si>
  <si>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</si>
  <si>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</si>
  <si>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</si>
  <si>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</si>
  <si>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</si>
  <si>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</si>
  <si>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</si>
  <si>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</si>
  <si>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</si>
  <si>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</si>
  <si>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</si>
  <si>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</si>
  <si>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</si>
  <si>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</si>
  <si>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</si>
  <si>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</si>
  <si>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</si>
  <si>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</si>
  <si>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</si>
  <si>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</si>
  <si>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</si>
  <si>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</si>
  <si>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</si>
  <si>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</si>
  <si>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</si>
  <si>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</si>
  <si>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</si>
  <si>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</si>
  <si>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</si>
  <si>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</si>
  <si>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</si>
  <si>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</si>
  <si>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</si>
  <si>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</si>
  <si>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</si>
  <si>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</si>
  <si>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</si>
  <si>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</si>
  <si>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</si>
  <si>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</si>
  <si>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</si>
  <si>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</si>
  <si>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</si>
  <si>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</si>
  <si>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</si>
  <si>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</si>
  <si>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</si>
  <si>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</si>
  <si>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</si>
  <si>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</si>
  <si>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</si>
  <si>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</si>
  <si>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</si>
  <si>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</si>
  <si>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</si>
  <si>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</si>
  <si>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</si>
  <si>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</si>
  <si>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</si>
  <si>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</si>
  <si>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</si>
  <si>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</si>
  <si>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</si>
  <si>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</si>
  <si>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</si>
  <si>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</si>
  <si>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</si>
  <si>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</si>
  <si>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</si>
  <si>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</si>
  <si>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</si>
  <si>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</si>
  <si>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</si>
  <si>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</si>
  <si>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</si>
  <si>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</si>
  <si>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</si>
  <si>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</si>
  <si>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</si>
  <si>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</si>
  <si>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</si>
  <si>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</si>
  <si>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</si>
  <si>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</si>
  <si>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</si>
  <si>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</si>
  <si>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</si>
  <si>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</si>
  <si>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</si>
  <si>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</si>
  <si>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</si>
  <si>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</si>
  <si>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</si>
  <si>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</si>
  <si>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</si>
  <si>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</si>
  <si>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</si>
  <si>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</si>
  <si>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</si>
  <si>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</si>
  <si>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</si>
  <si>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</si>
  <si>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</si>
  <si>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</si>
  <si>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</si>
  <si>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</si>
  <si>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</si>
  <si>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</si>
  <si>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</si>
  <si>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</si>
  <si>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</si>
  <si>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</si>
  <si>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</si>
  <si>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</si>
  <si>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</si>
  <si>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</si>
  <si>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</si>
  <si>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</si>
  <si>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</si>
  <si>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</si>
  <si>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</si>
  <si>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</si>
  <si>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</si>
  <si>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</si>
  <si>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</si>
  <si>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</si>
  <si>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</si>
  <si>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</si>
  <si>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</si>
  <si>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</si>
  <si>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</si>
  <si>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</si>
  <si>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</si>
  <si>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</si>
  <si>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</si>
  <si>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</si>
  <si>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</si>
  <si>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</si>
  <si>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</si>
  <si>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</si>
  <si>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</si>
  <si>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</si>
  <si>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</si>
  <si>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</si>
  <si>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</si>
  <si>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</si>
  <si>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</si>
  <si>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</si>
  <si>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</si>
  <si>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</si>
  <si>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</si>
  <si>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</si>
  <si>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</si>
  <si>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</si>
  <si>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</si>
  <si>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</si>
  <si>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</si>
  <si>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</si>
  <si>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</si>
  <si>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</si>
  <si>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</si>
  <si>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</si>
  <si>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</si>
  <si>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</si>
  <si>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</si>
  <si>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</si>
  <si>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</si>
  <si>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</si>
  <si>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</si>
  <si>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</si>
  <si>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</si>
  <si>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</si>
  <si>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</si>
  <si>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</si>
  <si>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</si>
  <si>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</si>
  <si>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</si>
  <si>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</si>
  <si>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</si>
  <si>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</si>
  <si>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</si>
  <si>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</si>
  <si>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</si>
  <si>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</si>
  <si>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</si>
  <si>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</si>
  <si>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</si>
  <si>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</si>
  <si>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</si>
  <si>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</si>
  <si>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</si>
  <si>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</si>
  <si>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</si>
  <si>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</si>
  <si>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</si>
  <si>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</si>
  <si>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</si>
  <si>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</si>
  <si>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</si>
  <si>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</si>
  <si>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</si>
  <si>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</si>
  <si>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</si>
  <si>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</si>
  <si>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</si>
  <si>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</si>
  <si>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</si>
  <si>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</si>
  <si>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</si>
  <si>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</si>
  <si>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</si>
  <si>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</si>
  <si>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</si>
  <si>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</si>
  <si>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</si>
  <si>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</si>
  <si>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</si>
  <si>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</si>
  <si>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</si>
  <si>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</si>
  <si>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</si>
  <si>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</si>
  <si>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</si>
  <si>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</si>
  <si>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</si>
  <si>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</si>
  <si>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</si>
  <si>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</si>
  <si>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</si>
  <si>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</si>
  <si>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</si>
  <si>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</si>
  <si>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</si>
  <si>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</si>
  <si>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</si>
  <si>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</si>
  <si>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</si>
  <si>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</si>
  <si>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</si>
  <si>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</si>
  <si>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</si>
  <si>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</si>
  <si>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</si>
  <si>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</si>
  <si>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</si>
  <si>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</si>
  <si>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</si>
  <si>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</si>
  <si>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</si>
  <si>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</si>
  <si>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</si>
  <si>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</si>
  <si>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</si>
  <si>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</si>
  <si>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</si>
  <si>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</si>
  <si>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</si>
  <si>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</si>
  <si>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</si>
  <si>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</si>
  <si>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</si>
  <si>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</si>
  <si>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</si>
  <si>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</si>
  <si>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</si>
  <si>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</si>
  <si>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</si>
  <si>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</si>
  <si>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</si>
  <si>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</si>
  <si>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</si>
  <si>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</si>
  <si>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</si>
  <si>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</si>
  <si>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</si>
  <si>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</si>
  <si>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</si>
  <si>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</si>
  <si>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</si>
  <si>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</si>
  <si>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</si>
  <si>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</si>
  <si>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</si>
  <si>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</si>
  <si>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</si>
  <si>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</si>
  <si>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</si>
  <si>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</si>
  <si>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</si>
  <si>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</si>
  <si>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</si>
  <si>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</si>
  <si>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</si>
  <si>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</si>
  <si>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</si>
  <si>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</si>
  <si>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</si>
  <si>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</si>
  <si>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</si>
  <si>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</si>
  <si>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</si>
  <si>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</si>
  <si>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</si>
  <si>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</si>
  <si>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</si>
  <si>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</si>
  <si>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</si>
  <si>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</si>
  <si>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</si>
  <si>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</si>
  <si>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</si>
  <si>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</si>
  <si>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</si>
  <si>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</si>
  <si>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</si>
  <si>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</si>
  <si>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</si>
  <si>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</si>
  <si>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</si>
  <si>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</si>
  <si>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</si>
  <si>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</si>
  <si>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</si>
  <si>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</si>
  <si>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</si>
  <si>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</si>
  <si>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</si>
  <si>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</si>
  <si>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</si>
  <si>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</si>
  <si>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</si>
  <si>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</si>
  <si>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</si>
  <si>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</si>
  <si>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</si>
  <si>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</si>
  <si>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</si>
  <si>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</si>
  <si>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</si>
  <si>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</si>
  <si>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</si>
  <si>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</si>
  <si>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</si>
  <si>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</si>
  <si>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</si>
  <si>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</si>
  <si>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</si>
  <si>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</si>
  <si>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</si>
  <si>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</si>
  <si>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</si>
  <si>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</si>
  <si>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</si>
  <si>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</si>
  <si>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</si>
  <si>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</si>
  <si>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</si>
  <si>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</si>
  <si>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</si>
  <si>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</si>
  <si>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</si>
  <si>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</si>
  <si>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</si>
  <si>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</si>
  <si>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</si>
  <si>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</si>
  <si>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</si>
  <si>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</si>
  <si>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</si>
  <si>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</si>
  <si>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</si>
  <si>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</si>
  <si>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</si>
  <si>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</si>
  <si>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</si>
  <si>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</si>
  <si>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</si>
  <si>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</si>
  <si>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</si>
  <si>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</si>
  <si>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</si>
  <si>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</si>
  <si>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</si>
  <si>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</si>
  <si>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</si>
  <si>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</si>
  <si>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</si>
  <si>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</si>
  <si>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</si>
  <si>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</si>
  <si>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</si>
  <si>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</si>
  <si>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</si>
  <si>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</si>
  <si>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</si>
  <si>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</si>
  <si>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</si>
  <si>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</si>
  <si>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</si>
  <si>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</si>
  <si>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</si>
  <si>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</si>
  <si>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</si>
  <si>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</si>
  <si>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</si>
  <si>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</si>
  <si>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</si>
  <si>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</si>
  <si>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</si>
  <si>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</si>
  <si>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</si>
  <si>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</si>
  <si>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</si>
  <si>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</si>
  <si>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</si>
  <si>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</si>
  <si>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</si>
  <si>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</si>
  <si>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</si>
  <si>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</si>
  <si>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</si>
  <si>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</si>
  <si>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</si>
  <si>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</si>
  <si>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</si>
  <si>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</si>
  <si>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</si>
  <si>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</si>
  <si>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</si>
  <si>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</si>
  <si>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</si>
  <si>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</si>
  <si>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</si>
  <si>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</si>
  <si>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</si>
  <si>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</si>
  <si>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</si>
  <si>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</si>
  <si>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</si>
  <si>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</si>
  <si>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</si>
  <si>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</si>
  <si>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</si>
  <si>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</si>
  <si>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</si>
  <si>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</si>
  <si>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</si>
  <si>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</si>
  <si>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</si>
  <si>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</si>
  <si>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</si>
  <si>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</si>
  <si>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</si>
  <si>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</si>
  <si>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</si>
  <si>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</si>
  <si>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</si>
  <si>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</si>
  <si>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</si>
  <si>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</si>
  <si>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</si>
  <si>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</si>
  <si>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</si>
  <si>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</si>
  <si>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</si>
  <si>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</si>
  <si>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</si>
  <si>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</si>
  <si>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</si>
  <si>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</si>
  <si>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</si>
  <si>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</si>
  <si>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</si>
  <si>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</si>
  <si>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</si>
  <si>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</si>
  <si>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</si>
  <si>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</si>
  <si>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</si>
  <si>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</si>
  <si>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</si>
  <si>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</si>
  <si>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</si>
  <si>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</si>
  <si>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</si>
  <si>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</si>
  <si>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</si>
  <si>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</si>
  <si>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</si>
  <si>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</si>
  <si>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</si>
  <si>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</si>
  <si>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</si>
  <si>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</si>
  <si>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</si>
  <si>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</si>
  <si>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</si>
  <si>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</si>
  <si>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</si>
  <si>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</si>
  <si>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</si>
  <si>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</si>
  <si>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</si>
  <si>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</si>
  <si>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</si>
  <si>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</si>
  <si>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</si>
  <si>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</si>
  <si>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</si>
  <si>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</si>
  <si>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</si>
  <si>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</si>
  <si>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</si>
  <si>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</si>
  <si>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</si>
  <si>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</si>
  <si>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</si>
  <si>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</si>
  <si>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</si>
  <si>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</si>
  <si>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</si>
  <si>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</si>
  <si>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</si>
  <si>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</si>
  <si>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</si>
  <si>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</si>
  <si>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</si>
  <si>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</si>
  <si>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</si>
  <si>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</si>
  <si>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</si>
  <si>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</si>
  <si>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</si>
  <si>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</si>
  <si>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</si>
  <si>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</si>
  <si>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</si>
  <si>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</si>
  <si>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</si>
  <si>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</si>
  <si>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</si>
  <si>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</si>
  <si>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</si>
  <si>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</si>
  <si>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</si>
  <si>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</si>
  <si>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</si>
  <si>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</si>
  <si>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</si>
  <si>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</si>
  <si>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</si>
  <si>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</si>
  <si>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</si>
  <si>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</si>
  <si>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</si>
  <si>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</si>
  <si>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</si>
  <si>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</si>
  <si>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</si>
  <si>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</si>
  <si>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</si>
  <si>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</si>
  <si>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</si>
  <si>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</si>
  <si>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</si>
  <si>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</si>
  <si>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</si>
  <si>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</si>
  <si>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</si>
  <si>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</si>
  <si>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</si>
  <si>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</si>
  <si>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</si>
  <si>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</si>
  <si>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</si>
  <si>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</si>
  <si>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</si>
  <si>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</si>
  <si>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</si>
  <si>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</si>
  <si>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</si>
  <si>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</si>
  <si>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</si>
  <si>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</si>
  <si>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</si>
  <si>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</si>
  <si>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</si>
  <si>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</si>
  <si>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</si>
  <si>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</si>
  <si>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</si>
  <si>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</si>
  <si>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</si>
  <si>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</si>
  <si>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</si>
  <si>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</si>
  <si>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</si>
  <si>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</si>
  <si>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</si>
  <si>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</si>
  <si>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</si>
  <si>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</si>
  <si>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</si>
  <si>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</si>
  <si>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</si>
  <si>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</si>
  <si>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</si>
  <si>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</si>
  <si>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</si>
  <si>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</si>
  <si>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</si>
  <si>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</si>
  <si>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</si>
  <si>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</si>
  <si>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</si>
  <si>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</si>
  <si>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</si>
  <si>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</si>
  <si>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</si>
  <si>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</si>
  <si>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</si>
  <si>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</si>
  <si>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</si>
  <si>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</si>
  <si>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</si>
  <si>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</si>
  <si>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</si>
  <si>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</si>
  <si>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</si>
  <si>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</si>
  <si>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</si>
  <si>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</si>
  <si>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</si>
  <si>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</si>
  <si>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</si>
  <si>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</si>
  <si>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</si>
  <si>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</si>
  <si>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</si>
  <si>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</si>
  <si>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</si>
  <si>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</si>
  <si>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</si>
  <si>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</si>
  <si>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</si>
  <si>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</si>
  <si>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</si>
  <si>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</si>
  <si>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</si>
  <si>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</si>
  <si>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</si>
  <si>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</si>
  <si>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</si>
  <si>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</si>
  <si>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</si>
  <si>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</si>
  <si>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</si>
  <si>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</si>
  <si>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</si>
  <si>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</si>
  <si>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</si>
  <si>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</si>
  <si>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</si>
  <si>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</si>
  <si>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</si>
  <si>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</si>
  <si>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</si>
  <si>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</si>
  <si>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</si>
  <si>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</si>
  <si>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</si>
  <si>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</si>
  <si>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</si>
  <si>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</si>
  <si>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</si>
  <si>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</si>
  <si>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</si>
  <si>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</si>
  <si>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</si>
  <si>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</si>
  <si>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</si>
  <si>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</si>
  <si>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</si>
  <si>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</si>
  <si>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</si>
  <si>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</si>
  <si>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</si>
  <si>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</si>
  <si>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</si>
  <si>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</si>
  <si>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</si>
  <si>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</si>
  <si>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</si>
  <si>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</si>
  <si>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</si>
  <si>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</si>
  <si>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</si>
  <si>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</si>
  <si>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</si>
  <si>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</si>
  <si>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</si>
  <si>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</si>
  <si>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</si>
  <si>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</si>
  <si>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</si>
  <si>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</si>
  <si>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</si>
  <si>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</si>
  <si>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</si>
  <si>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</si>
  <si>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</si>
  <si>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</si>
  <si>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</si>
  <si>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</si>
  <si>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</si>
  <si>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</si>
  <si>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</si>
  <si>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</si>
  <si>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</si>
  <si>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</si>
  <si>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</si>
  <si>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</si>
  <si>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</si>
  <si>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</si>
  <si>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</si>
  <si>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</si>
  <si>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</si>
  <si>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</si>
  <si>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</si>
  <si>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</si>
  <si>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</si>
  <si>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</si>
  <si>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</si>
  <si>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</si>
  <si>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</si>
  <si>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</si>
  <si>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</si>
  <si>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</si>
  <si>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</si>
  <si>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</si>
  <si>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</si>
  <si>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</si>
  <si>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</si>
  <si>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</si>
  <si>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</si>
  <si>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</si>
  <si>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</si>
  <si>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</si>
  <si>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</si>
  <si>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</si>
  <si>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</si>
  <si>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</si>
  <si>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</si>
  <si>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</si>
  <si>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</si>
  <si>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</si>
  <si>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</si>
  <si>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</si>
  <si>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</si>
  <si>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</si>
  <si>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</si>
  <si>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</si>
  <si>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</si>
  <si>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</si>
  <si>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</si>
  <si>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</si>
  <si>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</si>
  <si>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</si>
  <si>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</si>
  <si>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</si>
  <si>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</si>
  <si>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</si>
  <si>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</si>
  <si>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</si>
  <si>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</si>
  <si>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</si>
  <si>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</si>
  <si>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</si>
  <si>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</si>
  <si>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</si>
  <si>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</si>
  <si>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</si>
  <si>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</si>
  <si>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</si>
  <si>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</si>
  <si>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</si>
  <si>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</si>
  <si>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</si>
  <si>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</si>
  <si>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</si>
  <si>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</si>
  <si>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</si>
  <si>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</si>
  <si>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</si>
  <si>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</si>
  <si>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</si>
  <si>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</si>
  <si>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</si>
  <si>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</si>
  <si>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</si>
  <si>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</si>
  <si>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</si>
  <si>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</si>
  <si>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</si>
  <si>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</si>
  <si>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</si>
  <si>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</si>
  <si>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</si>
  <si>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</si>
  <si>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</si>
  <si>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</si>
  <si>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</si>
  <si>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</si>
  <si>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</si>
  <si>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</si>
  <si>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</si>
  <si>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</si>
  <si>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</si>
  <si>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</si>
  <si>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</si>
  <si>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</si>
  <si>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</si>
  <si>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</si>
  <si>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</si>
  <si>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</si>
  <si>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</si>
  <si>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</si>
  <si>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</si>
  <si>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</si>
  <si>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</si>
  <si>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</si>
  <si>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</si>
  <si>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</si>
  <si>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</si>
  <si>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</si>
  <si>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</si>
  <si>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</si>
  <si>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</si>
  <si>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</si>
  <si>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</si>
  <si>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</si>
  <si>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</si>
  <si>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</si>
  <si>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</si>
  <si>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</si>
  <si>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</si>
  <si>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</si>
  <si>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</si>
  <si>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</si>
  <si>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</si>
  <si>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</si>
  <si>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</si>
  <si>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</si>
  <si>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</si>
  <si>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</si>
  <si>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</si>
  <si>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</si>
  <si>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</si>
  <si>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</si>
  <si>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</si>
  <si>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Central Valley Coalition for Affordable Housing</t>
  </si>
  <si>
    <t>3351 M Street, Suite 100</t>
  </si>
  <si>
    <t>Christina Alley</t>
  </si>
  <si>
    <t>209.388.0782</t>
  </si>
  <si>
    <t>209.385.3770</t>
  </si>
  <si>
    <t>chris@centralvalleycoalition.com</t>
  </si>
  <si>
    <t>DuctTesters, Inc.</t>
  </si>
  <si>
    <t>336 W. Main Street</t>
  </si>
  <si>
    <t>Ripon, CA 95366</t>
  </si>
  <si>
    <t>Dave Hegarty</t>
  </si>
  <si>
    <t>209.579.5000</t>
  </si>
  <si>
    <t>209.522.5001</t>
  </si>
  <si>
    <t>davehegarty@ducttesters.com</t>
  </si>
  <si>
    <t>Kinetic Valuation Group</t>
  </si>
  <si>
    <t>11060 Oak Street, Suite 6</t>
  </si>
  <si>
    <t>Omaha, NE 68144</t>
  </si>
  <si>
    <t>Jay Wortmann</t>
  </si>
  <si>
    <t>402.202.0771</t>
  </si>
  <si>
    <t>jay@kvgteam.com</t>
  </si>
  <si>
    <t>American Canyon Pacific Associates, a California Limited Partnership</t>
  </si>
  <si>
    <t>Lemos Pointe at Watson Ranch</t>
  </si>
  <si>
    <t>City of American Canyon</t>
  </si>
  <si>
    <t>Jason Holley</t>
  </si>
  <si>
    <t>4381 Broadway Street, Suite 201</t>
  </si>
  <si>
    <t>American Canyon</t>
  </si>
  <si>
    <t>jholley@cityofamericancanyon.org</t>
  </si>
  <si>
    <t>Loop Road and Rio Del Mar</t>
  </si>
  <si>
    <t xml:space="preserve">059-020-031, -039 &amp; -040 </t>
  </si>
  <si>
    <t>Pacific West Architecture</t>
  </si>
  <si>
    <t>douglasg@tpchousing.com</t>
  </si>
  <si>
    <t>Aperto Property Management, Inc.</t>
  </si>
  <si>
    <t>23461 South Pointe Dr., Ste. 180</t>
  </si>
  <si>
    <t>Laguna Hills, CA 92653</t>
  </si>
  <si>
    <t>Ed Quigley</t>
  </si>
  <si>
    <t>949.873.0160</t>
  </si>
  <si>
    <t>877.657.8741</t>
  </si>
  <si>
    <t>equigley@apertopm.com</t>
  </si>
  <si>
    <t>American Canyon I, LLC, a Delaware LLC</t>
  </si>
  <si>
    <t>Terrence M. McGrath</t>
  </si>
  <si>
    <t>Other (Specify below)</t>
  </si>
  <si>
    <t>3 &amp; 4</t>
  </si>
  <si>
    <t>Three and Four Story Garden-Style Residential Buildings.</t>
  </si>
  <si>
    <t>American Canyon Pacific Assoc - Def. Costs</t>
  </si>
  <si>
    <t>Master Developer - Land Donation</t>
  </si>
  <si>
    <t>1001 42nd Street, Suite 200</t>
  </si>
  <si>
    <t>Oakland, CA 94608</t>
  </si>
  <si>
    <t>Terrence McGrath</t>
  </si>
  <si>
    <t>Master Developer Land Donation</t>
  </si>
  <si>
    <t>510.985.0420</t>
  </si>
  <si>
    <t>Air Conditioning</t>
  </si>
  <si>
    <t>Housing Authority of the City of Napa</t>
  </si>
  <si>
    <t>195 hours / year</t>
  </si>
  <si>
    <t>City Manager</t>
  </si>
  <si>
    <t>707.647.4351</t>
  </si>
  <si>
    <t>Douglas Gibson</t>
  </si>
  <si>
    <t>TC-1 High Density Residential; no maximum density</t>
  </si>
  <si>
    <t>4 stories maximum</t>
  </si>
  <si>
    <t>1 space per studio; 1 space per 1-BR; 2 spaces per 2-BR; 2 spaces per 3-BR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</si>
</sst>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4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5"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ht="13.45">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43" sqref="J43"/>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18" t="s">
        <v>2187</v>
      </c>
      <c r="B1" s="2518"/>
      <c r="C1" s="2518"/>
      <c r="D1" s="2518"/>
      <c r="E1" s="2518"/>
      <c r="F1" s="2518"/>
      <c r="G1" s="2518"/>
      <c r="H1" s="2518"/>
      <c r="I1" s="2518"/>
      <c r="J1" s="2518"/>
      <c r="K1" s="2518"/>
      <c r="L1" s="2518"/>
      <c r="M1" s="2518"/>
      <c r="N1" s="2518"/>
      <c r="O1" s="2518"/>
      <c r="P1" s="2518"/>
      <c r="Q1" s="2518"/>
      <c r="R1" s="2518"/>
      <c r="S1" s="2518"/>
    </row>
    <row r="2" spans="1:19" ht="15.05" customHeight="1">
      <c r="A2" s="2518"/>
      <c r="B2" s="2518"/>
      <c r="C2" s="2518"/>
      <c r="D2" s="2518"/>
      <c r="E2" s="2518"/>
      <c r="F2" s="2518"/>
      <c r="G2" s="2518"/>
      <c r="H2" s="2518"/>
      <c r="I2" s="2518"/>
      <c r="J2" s="2518"/>
      <c r="K2" s="2518"/>
      <c r="L2" s="2518"/>
      <c r="M2" s="2518"/>
      <c r="N2" s="2518"/>
      <c r="O2" s="2518"/>
      <c r="P2" s="2518"/>
      <c r="Q2" s="2518"/>
      <c r="R2" s="2518"/>
      <c r="S2" s="2518"/>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519" t="s">
        <v>1876</v>
      </c>
      <c r="C4" s="2519"/>
      <c r="D4" s="2519"/>
      <c r="E4" s="2519"/>
      <c r="F4" s="2519"/>
      <c r="G4" s="2519"/>
      <c r="H4" s="2519"/>
      <c r="I4" s="2519"/>
      <c r="J4" s="2519"/>
      <c r="K4" s="2519"/>
      <c r="L4" s="2519"/>
      <c r="M4" s="2519"/>
      <c r="N4" s="2519"/>
      <c r="O4" s="2519"/>
      <c r="P4" s="2519"/>
      <c r="Q4" s="2519"/>
      <c r="R4" s="2519"/>
      <c r="S4" s="863"/>
    </row>
    <row r="5" spans="1:19" ht="15.05" customHeight="1">
      <c r="A5" s="862"/>
      <c r="B5" s="2519"/>
      <c r="C5" s="2519"/>
      <c r="D5" s="2519"/>
      <c r="E5" s="2519"/>
      <c r="F5" s="2519"/>
      <c r="G5" s="2519"/>
      <c r="H5" s="2519"/>
      <c r="I5" s="2519"/>
      <c r="J5" s="2519"/>
      <c r="K5" s="2519"/>
      <c r="L5" s="2519"/>
      <c r="M5" s="2519"/>
      <c r="N5" s="2519"/>
      <c r="O5" s="2519"/>
      <c r="P5" s="2519"/>
      <c r="Q5" s="2519"/>
      <c r="R5" s="2519"/>
      <c r="S5" s="863"/>
    </row>
    <row r="6" spans="1:19" ht="15.05" customHeight="1">
      <c r="A6" s="862"/>
      <c r="B6" s="2519"/>
      <c r="C6" s="2519"/>
      <c r="D6" s="2519"/>
      <c r="E6" s="2519"/>
      <c r="F6" s="2519"/>
      <c r="G6" s="2519"/>
      <c r="H6" s="2519"/>
      <c r="I6" s="2519"/>
      <c r="J6" s="2519"/>
      <c r="K6" s="2519"/>
      <c r="L6" s="2519"/>
      <c r="M6" s="2519"/>
      <c r="N6" s="2519"/>
      <c r="O6" s="2519"/>
      <c r="P6" s="2519"/>
      <c r="Q6" s="2519"/>
      <c r="R6" s="2519"/>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519" t="s">
        <v>1961</v>
      </c>
      <c r="C8" s="2519"/>
      <c r="D8" s="2519"/>
      <c r="E8" s="2519"/>
      <c r="F8" s="2519"/>
      <c r="G8" s="2519"/>
      <c r="H8" s="2519"/>
      <c r="I8" s="2519"/>
      <c r="J8" s="2519"/>
      <c r="K8" s="2519"/>
      <c r="L8" s="2519"/>
      <c r="M8" s="2519"/>
      <c r="N8" s="2519"/>
      <c r="O8" s="2519"/>
      <c r="P8" s="2519"/>
      <c r="Q8" s="2519"/>
      <c r="R8" s="2519"/>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20" t="s">
        <v>1962</v>
      </c>
      <c r="C10" s="2520"/>
      <c r="D10" s="2520"/>
      <c r="E10" s="2520"/>
      <c r="F10" s="2520"/>
      <c r="G10" s="2520"/>
      <c r="H10" s="2520"/>
      <c r="I10" s="2520"/>
      <c r="J10" s="2520"/>
      <c r="K10" s="2520"/>
      <c r="L10" s="2520"/>
      <c r="M10" s="2520"/>
      <c r="N10" s="2520"/>
      <c r="O10" s="2520"/>
      <c r="P10" s="2520"/>
      <c r="Q10" s="2520"/>
      <c r="R10" s="2520"/>
      <c r="S10" s="863"/>
    </row>
    <row r="11" spans="1:19" ht="15.0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20" t="s">
        <v>2098</v>
      </c>
      <c r="C13" s="2520"/>
      <c r="D13" s="2520"/>
      <c r="E13" s="2520"/>
      <c r="F13" s="2520"/>
      <c r="G13" s="2520"/>
      <c r="H13" s="2520"/>
      <c r="I13" s="2520"/>
      <c r="J13" s="2520"/>
      <c r="K13" s="2520"/>
      <c r="L13" s="2520"/>
      <c r="M13" s="2520"/>
      <c r="N13" s="2520"/>
      <c r="O13" s="2520"/>
      <c r="P13" s="2520"/>
      <c r="Q13" s="2520"/>
      <c r="R13" s="2520"/>
      <c r="S13" s="863"/>
    </row>
    <row r="14" spans="1:19" ht="15.0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0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0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521" t="s">
        <v>2096</v>
      </c>
      <c r="C18" s="2521"/>
      <c r="D18" s="2521"/>
      <c r="E18" s="2521"/>
      <c r="F18" s="2521"/>
      <c r="G18" s="2521"/>
      <c r="H18" s="2521"/>
      <c r="I18" s="2521"/>
      <c r="J18" s="2521"/>
      <c r="K18" s="2521"/>
      <c r="L18" s="2521"/>
      <c r="M18" s="2521"/>
      <c r="N18" s="2521"/>
      <c r="O18" s="2521"/>
      <c r="P18" s="2521"/>
      <c r="Q18" s="2521"/>
      <c r="R18" s="2521"/>
      <c r="S18" s="863"/>
    </row>
    <row r="19" spans="1:19" ht="15.0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0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521" t="s">
        <v>2097</v>
      </c>
      <c r="C22" s="2521"/>
      <c r="D22" s="2521"/>
      <c r="E22" s="2521"/>
      <c r="F22" s="2521"/>
      <c r="G22" s="2521"/>
      <c r="H22" s="2521"/>
      <c r="I22" s="2521"/>
      <c r="J22" s="2521"/>
      <c r="K22" s="2521"/>
      <c r="L22" s="2521"/>
      <c r="M22" s="2521"/>
      <c r="N22" s="2521"/>
      <c r="O22" s="2521"/>
      <c r="P22" s="2521"/>
      <c r="Q22" s="2521"/>
      <c r="R22" s="2521"/>
      <c r="S22" s="863"/>
    </row>
    <row r="23" spans="1:19" ht="15.0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519" t="s">
        <v>1960</v>
      </c>
      <c r="C25" s="2519"/>
      <c r="D25" s="2519"/>
      <c r="E25" s="2519"/>
      <c r="F25" s="2519"/>
      <c r="G25" s="2519"/>
      <c r="H25" s="2519"/>
      <c r="I25" s="2519"/>
      <c r="J25" s="2519"/>
      <c r="K25" s="2519"/>
      <c r="L25" s="2519"/>
      <c r="M25" s="2519"/>
      <c r="N25" s="2519"/>
      <c r="O25" s="2519"/>
      <c r="P25" s="2519"/>
      <c r="Q25" s="2519"/>
      <c r="R25" s="2519"/>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24" t="s">
        <v>2095</v>
      </c>
      <c r="P28" s="864"/>
      <c r="Q28" s="864"/>
      <c r="R28" s="864"/>
      <c r="S28" s="864"/>
    </row>
    <row r="29" spans="1:19" ht="15.05" customHeight="1">
      <c r="A29" s="864"/>
      <c r="B29" s="2526" t="s">
        <v>1855</v>
      </c>
      <c r="C29" s="2526"/>
      <c r="D29" s="2526"/>
      <c r="E29" s="2526"/>
      <c r="F29" s="2526"/>
      <c r="G29" s="2526"/>
      <c r="H29" s="866"/>
      <c r="I29" s="866"/>
      <c r="J29" s="866"/>
      <c r="K29" s="866"/>
      <c r="L29" s="866"/>
      <c r="M29" s="866"/>
      <c r="N29" s="866"/>
      <c r="O29" s="2524"/>
      <c r="P29" s="864"/>
      <c r="Q29" s="864"/>
      <c r="R29" s="864"/>
      <c r="S29" s="864"/>
    </row>
    <row r="30" spans="1:19" ht="15.05" customHeight="1">
      <c r="A30" s="864"/>
      <c r="B30" s="2526"/>
      <c r="C30" s="2526"/>
      <c r="D30" s="2526"/>
      <c r="E30" s="2526"/>
      <c r="F30" s="2526"/>
      <c r="G30" s="2526"/>
      <c r="H30" s="866"/>
      <c r="I30" s="866"/>
      <c r="J30" s="866"/>
      <c r="K30" s="866"/>
      <c r="L30" s="866"/>
      <c r="M30" s="866"/>
      <c r="N30" s="866"/>
      <c r="O30" s="2524"/>
      <c r="P30" s="864"/>
      <c r="Q30" s="864"/>
      <c r="R30" s="864"/>
      <c r="S30" s="864"/>
    </row>
    <row r="31" spans="1:19" ht="15.05" customHeight="1">
      <c r="A31" s="864"/>
      <c r="B31" s="2526"/>
      <c r="C31" s="2526"/>
      <c r="D31" s="2526"/>
      <c r="E31" s="2526"/>
      <c r="F31" s="2526"/>
      <c r="G31" s="2526"/>
      <c r="H31" s="866"/>
      <c r="I31" s="866"/>
      <c r="J31" s="866"/>
      <c r="K31" s="866"/>
      <c r="L31" s="866"/>
      <c r="M31" s="866"/>
      <c r="N31" s="866"/>
      <c r="O31" s="2524"/>
      <c r="P31" s="864"/>
      <c r="Q31" s="864"/>
      <c r="R31" s="864"/>
      <c r="S31" s="864"/>
    </row>
    <row r="32" spans="1:19" ht="15.05" customHeight="1">
      <c r="A32" s="864"/>
      <c r="B32" s="2527"/>
      <c r="C32" s="2527"/>
      <c r="D32" s="2527"/>
      <c r="E32" s="2527"/>
      <c r="F32" s="2527"/>
      <c r="G32" s="2527"/>
      <c r="H32" s="864"/>
      <c r="I32" s="2496" t="s">
        <v>155</v>
      </c>
      <c r="J32" s="2488" t="s">
        <v>1116</v>
      </c>
      <c r="K32" s="2528">
        <v>1</v>
      </c>
      <c r="L32" s="864"/>
      <c r="M32" s="867"/>
      <c r="N32" s="864"/>
      <c r="O32" s="2525"/>
      <c r="P32" s="2488" t="s">
        <v>1115</v>
      </c>
      <c r="Q32" s="864"/>
      <c r="R32" s="864"/>
      <c r="S32" s="864"/>
    </row>
    <row r="33" spans="1:19" ht="15.05" customHeight="1">
      <c r="A33" s="864"/>
      <c r="B33" s="2486" t="s">
        <v>1859</v>
      </c>
      <c r="C33" s="2486"/>
      <c r="D33" s="2486"/>
      <c r="E33" s="2486"/>
      <c r="F33" s="2486"/>
      <c r="G33" s="2486"/>
      <c r="H33" s="864"/>
      <c r="I33" s="2496"/>
      <c r="J33" s="2488"/>
      <c r="K33" s="2528"/>
      <c r="L33" s="864"/>
      <c r="M33" s="868"/>
      <c r="N33" s="864"/>
      <c r="O33" s="2486" t="s">
        <v>1859</v>
      </c>
      <c r="P33" s="2488"/>
      <c r="Q33" s="864"/>
      <c r="R33" s="864"/>
      <c r="S33" s="864"/>
    </row>
    <row r="34" spans="1:19" ht="15.05" customHeight="1">
      <c r="A34" s="864"/>
      <c r="B34" s="2487"/>
      <c r="C34" s="2487"/>
      <c r="D34" s="2487"/>
      <c r="E34" s="2487"/>
      <c r="F34" s="2487"/>
      <c r="G34" s="2487"/>
      <c r="H34" s="864"/>
      <c r="I34" s="1098"/>
      <c r="J34" s="1097"/>
      <c r="K34" s="1099"/>
      <c r="L34" s="864"/>
      <c r="M34" s="868"/>
      <c r="N34" s="864"/>
      <c r="O34" s="2487"/>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7" t="s">
        <v>1847</v>
      </c>
      <c r="C37" s="2507"/>
      <c r="D37" s="2507"/>
      <c r="E37" s="2507"/>
      <c r="F37" s="875"/>
      <c r="G37" s="875"/>
      <c r="H37" s="876"/>
      <c r="I37" s="877"/>
      <c r="J37" s="877"/>
      <c r="P37" s="864"/>
      <c r="Q37" s="878"/>
      <c r="R37" s="878"/>
      <c r="S37" s="864"/>
    </row>
    <row r="38" spans="1:19" ht="15.05" customHeight="1">
      <c r="A38" s="864"/>
      <c r="B38" s="2512" t="s">
        <v>1865</v>
      </c>
      <c r="C38" s="2512"/>
      <c r="D38" s="2512"/>
      <c r="E38" s="2512"/>
      <c r="F38" s="1093"/>
      <c r="G38" s="879">
        <f>D110</f>
        <v>0</v>
      </c>
      <c r="H38" s="880"/>
      <c r="I38" s="881"/>
      <c r="J38" s="880"/>
      <c r="L38" s="1377"/>
      <c r="M38" s="1377"/>
      <c r="N38" s="1377"/>
      <c r="O38" s="1377"/>
      <c r="P38" s="827"/>
      <c r="Q38" s="2485"/>
      <c r="R38" s="2485"/>
      <c r="S38" s="827"/>
    </row>
    <row r="39" spans="1:19" ht="15.05" customHeight="1">
      <c r="A39" s="625"/>
      <c r="B39" s="2513" t="s">
        <v>1446</v>
      </c>
      <c r="C39" s="2513"/>
      <c r="D39" s="2513"/>
      <c r="E39" s="2513"/>
      <c r="F39" s="1093"/>
      <c r="G39" s="1052">
        <v>5580000</v>
      </c>
      <c r="H39" s="880"/>
      <c r="I39" s="881"/>
      <c r="J39" s="880"/>
      <c r="L39" s="880"/>
      <c r="M39" s="878"/>
      <c r="N39" s="878"/>
      <c r="O39" s="878"/>
      <c r="P39" s="827"/>
      <c r="Q39" s="1231"/>
      <c r="R39" s="1231"/>
      <c r="S39" s="827"/>
    </row>
    <row r="40" spans="1:19" ht="15.05" customHeight="1">
      <c r="A40" s="625"/>
      <c r="B40" s="2513" t="s">
        <v>1447</v>
      </c>
      <c r="C40" s="2513"/>
      <c r="D40" s="2513"/>
      <c r="E40" s="2513"/>
      <c r="F40" s="1093"/>
      <c r="G40" s="1052"/>
      <c r="H40" s="880"/>
      <c r="I40" s="881"/>
      <c r="J40" s="880"/>
      <c r="K40" s="2517"/>
      <c r="L40" s="2517"/>
      <c r="M40" s="2517"/>
      <c r="N40" s="2517"/>
      <c r="O40" s="2517"/>
      <c r="P40" s="1122"/>
      <c r="Q40" s="2485"/>
      <c r="R40" s="2485"/>
      <c r="S40" s="864"/>
    </row>
    <row r="41" spans="1:19" ht="15.05" customHeight="1">
      <c r="A41" s="625"/>
      <c r="B41" s="2514" t="s">
        <v>1860</v>
      </c>
      <c r="C41" s="2514"/>
      <c r="D41" s="2514"/>
      <c r="E41" s="2514"/>
      <c r="F41" s="1093"/>
      <c r="G41" s="880"/>
      <c r="H41" s="880"/>
      <c r="I41" s="881"/>
      <c r="J41" s="880"/>
      <c r="K41" s="880"/>
      <c r="L41" s="880"/>
      <c r="M41" s="878"/>
      <c r="N41" s="878"/>
      <c r="O41" s="878"/>
      <c r="P41" s="827"/>
      <c r="Q41" s="882"/>
      <c r="R41" s="882"/>
      <c r="S41" s="864"/>
    </row>
    <row r="42" spans="1:19" ht="15.05" customHeight="1">
      <c r="A42" s="625"/>
      <c r="B42" s="1054"/>
      <c r="C42" s="1054"/>
      <c r="D42" s="1047"/>
      <c r="E42" s="1096"/>
      <c r="F42" s="1093"/>
      <c r="G42" s="880"/>
      <c r="H42" s="880"/>
      <c r="I42" s="881"/>
      <c r="J42" s="880"/>
      <c r="K42" s="2517"/>
      <c r="L42" s="2517"/>
      <c r="M42" s="2517"/>
      <c r="N42" s="2517"/>
      <c r="O42" s="2517"/>
      <c r="P42" s="1122"/>
      <c r="Q42" s="2485"/>
      <c r="R42" s="2485"/>
      <c r="S42" s="864"/>
    </row>
    <row r="43" spans="1:19" ht="15.05" customHeight="1">
      <c r="A43" s="625"/>
      <c r="B43" s="1054"/>
      <c r="C43" s="1054"/>
      <c r="D43" s="859"/>
      <c r="E43" s="1365"/>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2167</v>
      </c>
      <c r="P44" s="1122"/>
      <c r="Q44" s="2485"/>
      <c r="R44" s="2485"/>
      <c r="S44" s="864"/>
    </row>
    <row r="45" spans="1:19" ht="15.05" customHeight="1">
      <c r="A45" s="625"/>
      <c r="B45" s="1054"/>
      <c r="C45" s="1054"/>
      <c r="D45" s="859"/>
      <c r="E45" s="1096"/>
      <c r="F45" s="1093"/>
      <c r="G45" s="880"/>
      <c r="H45" s="880"/>
      <c r="I45" s="881"/>
      <c r="K45" s="1385" t="s">
        <v>2162</v>
      </c>
      <c r="L45" s="1385"/>
      <c r="M45" s="880"/>
      <c r="N45" s="880"/>
      <c r="O45" s="880"/>
      <c r="P45" s="880"/>
      <c r="Q45" s="625"/>
      <c r="R45" s="625"/>
      <c r="S45" s="864"/>
    </row>
    <row r="46" spans="1:19" ht="15.05" customHeight="1">
      <c r="A46" s="625"/>
      <c r="B46" s="1054"/>
      <c r="C46" s="1054"/>
      <c r="D46" s="859"/>
      <c r="E46" s="1096"/>
      <c r="F46" s="1093"/>
      <c r="G46" s="880"/>
      <c r="H46" s="880"/>
      <c r="I46" s="881"/>
      <c r="J46" s="880"/>
      <c r="K46" s="2491" t="s">
        <v>2163</v>
      </c>
      <c r="L46" s="2491"/>
      <c r="M46" s="2491"/>
      <c r="N46" s="2491"/>
      <c r="O46" s="2491"/>
      <c r="P46" s="864"/>
      <c r="Q46" s="2489"/>
      <c r="R46" s="2489"/>
      <c r="S46" s="864"/>
    </row>
    <row r="47" spans="1:19" ht="15.05" customHeight="1">
      <c r="A47" s="625"/>
      <c r="B47" s="1054"/>
      <c r="C47" s="1054"/>
      <c r="D47" s="859"/>
      <c r="E47" s="1096"/>
      <c r="F47" s="1093"/>
      <c r="G47" s="880"/>
      <c r="H47" s="880"/>
      <c r="I47" s="881"/>
      <c r="J47" s="880"/>
      <c r="K47" s="2490" t="s">
        <v>2164</v>
      </c>
      <c r="L47" s="2490"/>
      <c r="M47" s="2490"/>
      <c r="N47" s="2490"/>
      <c r="O47" s="2490"/>
      <c r="P47" s="864"/>
      <c r="Q47" s="2523"/>
      <c r="R47" s="2523"/>
      <c r="S47" s="864"/>
    </row>
    <row r="48" spans="1:19" ht="15.05" customHeight="1">
      <c r="A48" s="625"/>
      <c r="B48" s="1054"/>
      <c r="C48" s="1054"/>
      <c r="D48" s="859"/>
      <c r="E48" s="1096"/>
      <c r="F48" s="1093"/>
      <c r="G48" s="880"/>
      <c r="H48" s="880"/>
      <c r="I48" s="881"/>
      <c r="J48" s="880"/>
      <c r="K48" s="2522" t="s">
        <v>2165</v>
      </c>
      <c r="L48" s="2522"/>
      <c r="M48" s="2522"/>
      <c r="N48" s="2522"/>
      <c r="O48" s="2522"/>
      <c r="P48" s="864"/>
      <c r="Q48" s="2491">
        <f>Q46+Q47</f>
        <v>0</v>
      </c>
      <c r="R48" s="2491"/>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2" t="s">
        <v>1856</v>
      </c>
      <c r="C52" s="2512"/>
      <c r="D52" s="2512"/>
      <c r="E52" s="2512"/>
      <c r="F52" s="1093"/>
      <c r="G52" s="879">
        <f>SUM(E42:E49)-ABS(E50)-ABS(E51)</f>
        <v>0</v>
      </c>
      <c r="H52" s="880"/>
      <c r="I52" s="881"/>
      <c r="J52" s="880"/>
    </row>
    <row r="53" spans="1:29" ht="15.05" customHeight="1">
      <c r="A53" s="625"/>
      <c r="B53" s="864"/>
      <c r="C53" s="885"/>
      <c r="D53" s="885" t="s">
        <v>983</v>
      </c>
      <c r="E53" s="886"/>
      <c r="F53" s="886"/>
      <c r="G53" s="887">
        <f>SUM(G38:G40)+G52</f>
        <v>5580000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05" customHeight="1">
      <c r="A56" s="625"/>
      <c r="B56" s="2515" t="s">
        <v>1425</v>
      </c>
      <c r="C56" s="2515"/>
      <c r="D56" s="1093"/>
      <c r="E56" s="1093"/>
      <c r="F56" s="1093"/>
      <c r="G56" s="1093"/>
      <c r="H56" s="1093"/>
      <c r="I56" s="1093"/>
      <c r="J56" s="1093"/>
      <c r="K56" s="1093"/>
      <c r="L56" s="1093"/>
      <c r="M56" s="1093"/>
      <c r="N56" s="1093"/>
      <c r="O56" s="1093"/>
      <c r="P56" s="1093"/>
      <c r="Q56" s="864"/>
      <c r="R56" s="864"/>
      <c r="S56" s="864"/>
      <c r="U56" s="1311" t="s">
        <v>2088</v>
      </c>
      <c r="AC56" s="1364">
        <v>0.2</v>
      </c>
    </row>
    <row r="57" spans="1:29" ht="15.05" customHeight="1">
      <c r="A57" s="883"/>
      <c r="B57" s="2516" t="s">
        <v>1850</v>
      </c>
      <c r="C57" s="2516"/>
      <c r="D57" s="2516"/>
      <c r="E57" s="2516"/>
      <c r="F57" s="2516"/>
      <c r="G57" s="2516"/>
      <c r="H57" s="2516"/>
      <c r="I57" s="2516"/>
      <c r="J57" s="2516"/>
      <c r="K57" s="2516"/>
      <c r="L57" s="2516"/>
      <c r="M57" s="2516"/>
      <c r="N57" s="2516"/>
      <c r="O57" s="2516"/>
      <c r="P57" s="1093"/>
      <c r="Q57" s="864"/>
      <c r="R57" s="864"/>
      <c r="S57" s="864"/>
      <c r="U57" s="1311" t="s">
        <v>2089</v>
      </c>
      <c r="AC57" s="1364">
        <v>0.1</v>
      </c>
    </row>
    <row r="58" spans="1:29" ht="15.05" customHeight="1">
      <c r="A58" s="864"/>
      <c r="B58" s="2507" t="s">
        <v>1849</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2090</v>
      </c>
      <c r="AC58" s="1364">
        <v>0.1</v>
      </c>
    </row>
    <row r="59" spans="1:29" ht="15.05" customHeight="1">
      <c r="A59" s="864"/>
      <c r="B59" s="2500" t="s">
        <v>2094</v>
      </c>
      <c r="C59" s="2500"/>
      <c r="D59" s="2500"/>
      <c r="E59" s="2500"/>
      <c r="F59" s="2500"/>
      <c r="G59" s="2500"/>
      <c r="H59" s="2500"/>
      <c r="I59" s="2500"/>
      <c r="J59" s="2500"/>
      <c r="K59" s="2500"/>
      <c r="L59" s="2500"/>
      <c r="M59" s="2500"/>
      <c r="N59" s="2500"/>
      <c r="O59" s="2500"/>
      <c r="P59" s="891"/>
      <c r="Q59" s="864"/>
      <c r="R59" s="864"/>
      <c r="S59" s="864"/>
      <c r="U59" s="1311" t="s">
        <v>2091</v>
      </c>
      <c r="AC59" s="1364">
        <v>0.05</v>
      </c>
    </row>
    <row r="60" spans="1:29" ht="15.05" customHeight="1" thickBot="1">
      <c r="A60" s="864"/>
      <c r="B60" s="2500"/>
      <c r="C60" s="2500"/>
      <c r="D60" s="2500"/>
      <c r="E60" s="2500"/>
      <c r="F60" s="2500"/>
      <c r="G60" s="2500"/>
      <c r="H60" s="2500"/>
      <c r="I60" s="2500"/>
      <c r="J60" s="2500"/>
      <c r="K60" s="2500"/>
      <c r="L60" s="2500"/>
      <c r="M60" s="2500"/>
      <c r="N60" s="2500"/>
      <c r="O60" s="2500"/>
      <c r="P60" s="891"/>
      <c r="Q60" s="864"/>
      <c r="R60" s="864"/>
      <c r="S60" s="864"/>
      <c r="U60" s="1312"/>
      <c r="AC60" s="1313"/>
    </row>
    <row r="61" spans="1:29" ht="15.05" customHeight="1">
      <c r="A61" s="864"/>
      <c r="B61" s="2501" t="s">
        <v>1851</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05" customHeight="1">
      <c r="A63" s="864"/>
      <c r="B63" s="878"/>
      <c r="C63" s="878"/>
      <c r="D63" s="878"/>
      <c r="E63" s="1384"/>
      <c r="F63" s="878"/>
      <c r="G63" s="878"/>
      <c r="H63" s="878"/>
      <c r="I63" s="1322"/>
      <c r="K63" s="1321"/>
      <c r="L63" s="1321"/>
      <c r="M63" s="1321"/>
      <c r="N63" s="1321"/>
      <c r="O63" s="1321"/>
      <c r="P63" s="1321"/>
      <c r="Q63" s="1321"/>
      <c r="R63" s="1321"/>
      <c r="S63" s="864"/>
      <c r="U63" s="2529">
        <f>IF(J67="Non-rural project, Census Tract is High Resource (10 percentage points)",AC57,0)</f>
        <v>0</v>
      </c>
    </row>
    <row r="64" spans="1:29" ht="15.05" customHeight="1" thickBot="1">
      <c r="A64" s="864"/>
      <c r="B64" s="2502" t="s">
        <v>1861</v>
      </c>
      <c r="C64" s="2502"/>
      <c r="D64" s="878"/>
      <c r="F64" s="878"/>
      <c r="G64" s="1386" t="s">
        <v>2166</v>
      </c>
      <c r="H64" s="878"/>
      <c r="I64" s="1323"/>
      <c r="J64" s="2506" t="s">
        <v>2093</v>
      </c>
      <c r="K64" s="2506"/>
      <c r="L64" s="2506"/>
      <c r="M64" s="2506"/>
      <c r="N64" s="2506"/>
      <c r="O64" s="2506"/>
      <c r="P64" s="2506"/>
      <c r="Q64" s="2506"/>
      <c r="R64" s="2506"/>
      <c r="S64" s="864"/>
      <c r="U64" s="2530"/>
    </row>
    <row r="65" spans="1:22" ht="15.05" customHeight="1">
      <c r="A65" s="864"/>
      <c r="B65" s="893" t="s">
        <v>1854</v>
      </c>
      <c r="C65" s="1060" t="str">
        <f>IF(Application!M354="Yes","Yes","No")</f>
        <v>Yes</v>
      </c>
      <c r="E65" s="1387"/>
      <c r="F65" s="1387"/>
      <c r="G65" s="1388" t="s">
        <v>2168</v>
      </c>
      <c r="H65" s="878"/>
      <c r="I65" s="1323"/>
      <c r="J65" s="2506"/>
      <c r="K65" s="2506"/>
      <c r="L65" s="2506"/>
      <c r="M65" s="2506"/>
      <c r="N65" s="2506"/>
      <c r="O65" s="2506"/>
      <c r="P65" s="2506"/>
      <c r="Q65" s="2506"/>
      <c r="R65" s="2506"/>
      <c r="S65" s="864"/>
      <c r="U65" s="2529">
        <f>IF(J67="Rural project, Census Tract is Highest Resource (10 percentage points)",AC58,0)</f>
        <v>0</v>
      </c>
    </row>
    <row r="66" spans="1:22" ht="15.05" customHeight="1" thickBot="1">
      <c r="A66" s="864"/>
      <c r="B66" s="894" t="s">
        <v>1947</v>
      </c>
      <c r="C66" s="1061">
        <f>Application!AG423-Application!AG424</f>
        <v>186</v>
      </c>
      <c r="D66" s="1387"/>
      <c r="E66" s="894" t="s">
        <v>2169</v>
      </c>
      <c r="F66" s="1387"/>
      <c r="G66" s="1106"/>
      <c r="H66" s="895"/>
      <c r="I66" s="1324"/>
      <c r="J66" s="2506"/>
      <c r="K66" s="2506"/>
      <c r="L66" s="2506"/>
      <c r="M66" s="2506"/>
      <c r="N66" s="2506"/>
      <c r="O66" s="2506"/>
      <c r="P66" s="2506"/>
      <c r="Q66" s="2506"/>
      <c r="R66" s="2506"/>
      <c r="S66" s="864"/>
      <c r="U66" s="2530"/>
    </row>
    <row r="67" spans="1:22" ht="15.05" customHeight="1">
      <c r="A67" s="864"/>
      <c r="B67" s="894" t="s">
        <v>1848</v>
      </c>
      <c r="C67" s="1062">
        <f>MIN(IF(AND(C65="Yes",G67&gt;=50),(0.75+(G67/200)),1),1.5)</f>
        <v>1.5</v>
      </c>
      <c r="D67" s="895"/>
      <c r="E67" s="894" t="s">
        <v>1948</v>
      </c>
      <c r="G67" s="1061">
        <f>C66+G66</f>
        <v>186</v>
      </c>
      <c r="H67" s="895"/>
      <c r="I67" s="1324"/>
      <c r="J67" s="2505" t="s">
        <v>136</v>
      </c>
      <c r="K67" s="2505"/>
      <c r="L67" s="2505"/>
      <c r="M67" s="2505"/>
      <c r="N67" s="2505"/>
      <c r="O67" s="2505"/>
      <c r="P67" s="2505"/>
      <c r="Q67" s="2505"/>
      <c r="R67" s="2505"/>
      <c r="S67" s="864"/>
      <c r="U67" s="2529">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530"/>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05" customHeight="1" thickBot="1">
      <c r="A70" s="864"/>
      <c r="B70" s="2503" t="s">
        <v>1858</v>
      </c>
      <c r="C70" s="2503"/>
      <c r="D70" s="865"/>
      <c r="E70" s="865"/>
      <c r="F70" s="865"/>
      <c r="G70" s="865"/>
      <c r="H70" s="864"/>
      <c r="I70" s="864"/>
      <c r="J70" s="864"/>
      <c r="K70" s="864"/>
      <c r="L70" s="864"/>
      <c r="M70" s="864"/>
      <c r="N70" s="864"/>
      <c r="O70" s="864"/>
      <c r="P70" s="864"/>
      <c r="Q70" s="864"/>
      <c r="R70" s="864"/>
      <c r="S70" s="864"/>
      <c r="U70" s="2534"/>
      <c r="V70" s="666" t="s">
        <v>2092</v>
      </c>
    </row>
    <row r="71" spans="1:22" ht="15.05" customHeight="1">
      <c r="A71" s="864"/>
      <c r="B71" s="2504" t="s">
        <v>1862</v>
      </c>
      <c r="C71" s="2504"/>
      <c r="D71" s="2504"/>
      <c r="E71" s="865"/>
      <c r="F71" s="865"/>
      <c r="G71" s="879">
        <f>G53*(1-J58)</f>
        <v>5580000</v>
      </c>
      <c r="H71" s="864"/>
      <c r="I71" s="864"/>
      <c r="J71" s="897"/>
      <c r="K71" s="1216" t="s">
        <v>1864</v>
      </c>
      <c r="L71" s="1216"/>
      <c r="M71" s="1216"/>
      <c r="N71" s="1216"/>
      <c r="O71" s="1216"/>
      <c r="P71" s="864"/>
      <c r="Q71" s="2491">
        <f>'Basis &amp; Credits'!T23+'Basis &amp; Credits'!Y23+'Basis &amp; Credits'!AD23+'Basis &amp; Credits'!AI23</f>
        <v>54581990</v>
      </c>
      <c r="R71" s="2491"/>
      <c r="S71" s="864"/>
    </row>
    <row r="72" spans="1:22" ht="15.05" customHeight="1">
      <c r="A72" s="864"/>
      <c r="B72" s="2493" t="s">
        <v>1863</v>
      </c>
      <c r="C72" s="2493"/>
      <c r="D72" s="2493"/>
      <c r="E72" s="865"/>
      <c r="F72" s="865"/>
      <c r="G72" s="879">
        <f>G71*C67</f>
        <v>8370000</v>
      </c>
      <c r="H72" s="864"/>
      <c r="I72" s="864"/>
      <c r="J72" s="897"/>
      <c r="K72" s="1326"/>
      <c r="L72" s="1326"/>
      <c r="M72" s="1326"/>
      <c r="N72" s="1326"/>
      <c r="O72" s="1326"/>
      <c r="P72" s="864"/>
      <c r="Q72" s="2485"/>
      <c r="R72" s="2485"/>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494">
        <f>$G$72</f>
        <v>8370000</v>
      </c>
      <c r="C75" s="2495"/>
      <c r="D75" s="2495"/>
      <c r="E75" s="2495"/>
      <c r="F75" s="2495"/>
      <c r="G75" s="2495"/>
      <c r="H75" s="898"/>
      <c r="I75" s="2496" t="s">
        <v>155</v>
      </c>
      <c r="J75" s="2488" t="s">
        <v>1116</v>
      </c>
      <c r="K75" s="2496">
        <v>1</v>
      </c>
      <c r="L75" s="864"/>
      <c r="M75" s="870"/>
      <c r="N75" s="896"/>
      <c r="O75" s="1108">
        <f>$Q$71</f>
        <v>54581990</v>
      </c>
      <c r="P75" s="2488" t="s">
        <v>1115</v>
      </c>
      <c r="Q75" s="2497" t="s">
        <v>154</v>
      </c>
      <c r="R75" s="2531">
        <f>((B75/B76)+((1-(O75/O76))/3))+U69</f>
        <v>0.17320255764882389</v>
      </c>
    </row>
    <row r="76" spans="1:22" ht="15.05" customHeight="1" thickBot="1">
      <c r="A76" s="864"/>
      <c r="B76" s="2498">
        <f>'Sources and Uses Budget'!$C$104+$Q$46-($E$50+$E$51)*(1-$J$58)</f>
        <v>61349835</v>
      </c>
      <c r="C76" s="2499"/>
      <c r="D76" s="2499"/>
      <c r="E76" s="2499"/>
      <c r="F76" s="2499"/>
      <c r="G76" s="2498"/>
      <c r="H76" s="864"/>
      <c r="I76" s="2496"/>
      <c r="J76" s="2488"/>
      <c r="K76" s="2496"/>
      <c r="L76" s="864"/>
      <c r="M76" s="1089"/>
      <c r="N76" s="864"/>
      <c r="O76" s="1107">
        <f>B76</f>
        <v>61349835</v>
      </c>
      <c r="P76" s="2488"/>
      <c r="Q76" s="2497"/>
      <c r="R76" s="2532"/>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05" customHeight="1">
      <c r="A82" s="864"/>
      <c r="B82" s="1343" t="s">
        <v>2101</v>
      </c>
      <c r="C82" s="1332"/>
      <c r="D82" s="1327"/>
      <c r="E82" s="1332"/>
      <c r="F82" s="1332"/>
      <c r="G82" s="1334"/>
      <c r="H82" s="864"/>
      <c r="I82" s="881"/>
      <c r="J82" s="864"/>
      <c r="L82" s="864"/>
      <c r="M82" s="864"/>
      <c r="N82" s="864"/>
      <c r="O82" s="864"/>
      <c r="P82" s="864"/>
      <c r="Q82" s="864"/>
      <c r="R82" s="864"/>
      <c r="S82" s="864"/>
    </row>
    <row r="83" spans="1:19" ht="15.0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05" customHeight="1">
      <c r="A84" s="864"/>
      <c r="B84" s="1342" t="s">
        <v>2252</v>
      </c>
      <c r="C84" s="1335"/>
      <c r="D84" s="1336"/>
      <c r="E84" s="1328"/>
      <c r="F84" s="1328"/>
      <c r="G84" s="1337"/>
      <c r="H84" s="864"/>
      <c r="I84" s="881"/>
      <c r="J84" s="864"/>
      <c r="K84" s="1314" t="s">
        <v>1871</v>
      </c>
      <c r="L84" s="1212"/>
      <c r="M84" s="1212"/>
      <c r="N84" s="1212"/>
      <c r="O84" s="1212"/>
      <c r="P84" s="1212"/>
      <c r="Q84" s="2489"/>
      <c r="R84" s="2489"/>
      <c r="S84" s="864"/>
    </row>
    <row r="85" spans="1:19" ht="15.05" customHeight="1">
      <c r="A85" s="864"/>
      <c r="B85" s="1342" t="s">
        <v>2100</v>
      </c>
      <c r="C85" s="1338"/>
      <c r="D85" s="1339"/>
      <c r="E85" s="1331"/>
      <c r="F85" s="1331"/>
      <c r="G85" s="1340"/>
      <c r="H85" s="864"/>
      <c r="I85" s="881"/>
      <c r="J85" s="864"/>
      <c r="L85" s="1213"/>
      <c r="M85" s="1213"/>
      <c r="N85" s="1213"/>
      <c r="O85" s="1213"/>
      <c r="P85" s="1213"/>
      <c r="S85" s="864"/>
    </row>
    <row r="86" spans="1:19" ht="15.0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05" customHeight="1">
      <c r="A87" s="864"/>
      <c r="B87" s="1343" t="s">
        <v>2288</v>
      </c>
      <c r="C87" s="1338"/>
      <c r="D87" s="1327"/>
      <c r="E87" s="1332"/>
      <c r="F87" s="1332"/>
      <c r="G87" s="1399"/>
      <c r="H87" s="864"/>
      <c r="I87" s="881"/>
      <c r="J87" s="864"/>
      <c r="S87" s="864"/>
    </row>
    <row r="88" spans="1:19" ht="15.0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0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89"/>
      <c r="R89" s="2489"/>
      <c r="S89" s="864"/>
    </row>
    <row r="90" spans="1:19" ht="15.05" customHeight="1">
      <c r="A90" s="625"/>
      <c r="B90" s="842" t="s">
        <v>688</v>
      </c>
      <c r="C90" s="843"/>
      <c r="D90" s="844"/>
      <c r="E90" s="845"/>
      <c r="F90" s="909"/>
      <c r="G90" s="902">
        <f>MAX(($E90-$D90)*$C90*12,0)</f>
        <v>0</v>
      </c>
      <c r="H90" s="864"/>
      <c r="I90" s="881"/>
      <c r="J90" s="864"/>
      <c r="K90" s="1315" t="s">
        <v>1873</v>
      </c>
      <c r="L90" s="1213"/>
      <c r="M90" s="1213"/>
      <c r="N90" s="1213"/>
      <c r="O90" s="1213"/>
      <c r="P90" s="1213"/>
      <c r="Q90" s="2492"/>
      <c r="R90" s="2492"/>
      <c r="S90" s="864"/>
    </row>
    <row r="91" spans="1:19" ht="15.0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0">
        <f>IFERROR(Q89/Q90,0)</f>
        <v>0</v>
      </c>
      <c r="R91" s="2490"/>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0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1987</v>
      </c>
      <c r="F98" s="1094"/>
      <c r="G98" s="1138">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47" sqref="A47"/>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2398356</v>
      </c>
      <c r="F4" s="638"/>
      <c r="G4" s="638">
        <f>E4*$C$4</f>
        <v>2458314.9</v>
      </c>
      <c r="H4" s="638"/>
      <c r="I4" s="638">
        <f>G4*$C$4</f>
        <v>2519772.7724999995</v>
      </c>
      <c r="J4" s="638"/>
      <c r="K4" s="638">
        <f>I4*$C$4</f>
        <v>2582767.0918124993</v>
      </c>
      <c r="L4" s="638"/>
      <c r="M4" s="638">
        <f>K4*$C$4</f>
        <v>2647336.2691078116</v>
      </c>
      <c r="N4" s="638"/>
      <c r="O4" s="638">
        <f>M4*$C$4</f>
        <v>2713519.6758355065</v>
      </c>
      <c r="P4" s="638"/>
      <c r="Q4" s="638">
        <f>O4*$C$4</f>
        <v>2781357.6677313941</v>
      </c>
      <c r="R4" s="638"/>
      <c r="S4" s="638">
        <f>Q4*$C$4</f>
        <v>2850891.6094246786</v>
      </c>
      <c r="T4" s="638"/>
      <c r="U4" s="638">
        <f>S4*$C$4</f>
        <v>2922163.8996602953</v>
      </c>
      <c r="V4" s="638"/>
      <c r="W4" s="638">
        <f>U4*$C$4</f>
        <v>2995217.9971518023</v>
      </c>
      <c r="X4" s="638"/>
      <c r="Y4" s="638">
        <f>W4*$C$4</f>
        <v>3070098.4470805973</v>
      </c>
      <c r="Z4" s="638"/>
      <c r="AA4" s="638">
        <f>Y4*$C$4</f>
        <v>3146850.908257612</v>
      </c>
      <c r="AB4" s="638"/>
      <c r="AC4" s="638">
        <f>AA4*$C$4</f>
        <v>3225522.1809640522</v>
      </c>
      <c r="AD4" s="638"/>
      <c r="AE4" s="638">
        <f>AC4*$C$4</f>
        <v>3306160.2354881531</v>
      </c>
      <c r="AF4" s="638"/>
      <c r="AG4" s="638">
        <f>AE4*$C$4</f>
        <v>3388814.2413753564</v>
      </c>
      <c r="AH4" s="638"/>
    </row>
    <row r="5" spans="1:34" ht="13.45">
      <c r="A5" s="628"/>
      <c r="B5" s="628" t="s">
        <v>1111</v>
      </c>
      <c r="C5" s="663">
        <f>IF(Application!$D$221="Special Needs",0.1,0.05)</f>
        <v>0.05</v>
      </c>
      <c r="D5" s="628"/>
      <c r="E5" s="640">
        <f>-E4*$C$5</f>
        <v>-119917.8</v>
      </c>
      <c r="F5" s="640"/>
      <c r="G5" s="640">
        <f>-G4*$C$5</f>
        <v>-122915.745</v>
      </c>
      <c r="H5" s="640"/>
      <c r="I5" s="640">
        <f>-I4*$C$5</f>
        <v>-125988.63862499998</v>
      </c>
      <c r="J5" s="640"/>
      <c r="K5" s="640">
        <f>-K4*$C$5</f>
        <v>-129138.35459062498</v>
      </c>
      <c r="L5" s="640"/>
      <c r="M5" s="640">
        <f>-M4*$C$5</f>
        <v>-132366.8134553906</v>
      </c>
      <c r="N5" s="640"/>
      <c r="O5" s="640">
        <f>-O4*$C$5</f>
        <v>-135675.98379177533</v>
      </c>
      <c r="P5" s="640"/>
      <c r="Q5" s="640">
        <f>-Q4*$C$5</f>
        <v>-139067.88338656971</v>
      </c>
      <c r="R5" s="640"/>
      <c r="S5" s="640">
        <f>-S4*$C$5</f>
        <v>-142544.58047123393</v>
      </c>
      <c r="T5" s="640"/>
      <c r="U5" s="640">
        <f>-U4*$C$5</f>
        <v>-146108.19498301478</v>
      </c>
      <c r="V5" s="640"/>
      <c r="W5" s="640">
        <f>-W4*$C$5</f>
        <v>-149760.89985759012</v>
      </c>
      <c r="X5" s="640"/>
      <c r="Y5" s="640">
        <f>-Y4*$C$5</f>
        <v>-153504.92235402987</v>
      </c>
      <c r="Z5" s="640"/>
      <c r="AA5" s="640">
        <f>-AA4*$C$5</f>
        <v>-157342.5454128806</v>
      </c>
      <c r="AB5" s="640"/>
      <c r="AC5" s="640">
        <f>-AC4*$C$5</f>
        <v>-161276.10904820263</v>
      </c>
      <c r="AD5" s="640"/>
      <c r="AE5" s="640">
        <f>-AE4*$C$5</f>
        <v>-165308.01177440767</v>
      </c>
      <c r="AF5" s="640"/>
      <c r="AG5" s="640">
        <f>-AG4*$C$5</f>
        <v>-169440.71206876784</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27900</v>
      </c>
      <c r="F8" s="641"/>
      <c r="G8" s="641">
        <f>E8*$C$8</f>
        <v>28597.499999999996</v>
      </c>
      <c r="H8" s="641"/>
      <c r="I8" s="641">
        <f>G8*$C$8</f>
        <v>29312.437499999993</v>
      </c>
      <c r="J8" s="641"/>
      <c r="K8" s="641">
        <f>I8*$C$8</f>
        <v>30045.248437499991</v>
      </c>
      <c r="L8" s="641"/>
      <c r="M8" s="641">
        <f>K8*$C$8</f>
        <v>30796.379648437487</v>
      </c>
      <c r="N8" s="641"/>
      <c r="O8" s="641">
        <f>M8*$C$8</f>
        <v>31566.289139648423</v>
      </c>
      <c r="P8" s="641"/>
      <c r="Q8" s="641">
        <f>O8*$C$8</f>
        <v>32355.44636813963</v>
      </c>
      <c r="R8" s="641"/>
      <c r="S8" s="641">
        <f>Q8*$C$8</f>
        <v>33164.332527343118</v>
      </c>
      <c r="T8" s="641"/>
      <c r="U8" s="641">
        <f>S8*$C$8</f>
        <v>33993.440840526695</v>
      </c>
      <c r="V8" s="641"/>
      <c r="W8" s="641">
        <f>U8*$C$8</f>
        <v>34843.27686153986</v>
      </c>
      <c r="X8" s="641"/>
      <c r="Y8" s="641">
        <f>W8*$C$8</f>
        <v>35714.358783078351</v>
      </c>
      <c r="Z8" s="641"/>
      <c r="AA8" s="641">
        <f>Y8*$C$8</f>
        <v>36607.217752655306</v>
      </c>
      <c r="AB8" s="641"/>
      <c r="AC8" s="641">
        <f>AA8*$C$8</f>
        <v>37522.398196471688</v>
      </c>
      <c r="AD8" s="641"/>
      <c r="AE8" s="641">
        <f>AC8*$C$8</f>
        <v>38460.458151383478</v>
      </c>
      <c r="AF8" s="641"/>
      <c r="AG8" s="641">
        <f>AE8*$C$8</f>
        <v>39421.969605168058</v>
      </c>
      <c r="AH8" s="628"/>
    </row>
    <row r="9" spans="1:34" ht="13.45">
      <c r="A9" s="628"/>
      <c r="B9" s="628" t="s">
        <v>1111</v>
      </c>
      <c r="C9" s="663">
        <f>IF(Application!$D$221="Special Needs",0.1,0.05)</f>
        <v>0.05</v>
      </c>
      <c r="D9" s="628"/>
      <c r="E9" s="660">
        <f>-E8*$C$9</f>
        <v>-1395</v>
      </c>
      <c r="F9" s="640"/>
      <c r="G9" s="660">
        <f>-G8*$C$9</f>
        <v>-1429.875</v>
      </c>
      <c r="H9" s="640"/>
      <c r="I9" s="660">
        <f>-I8*$C$9</f>
        <v>-1465.6218749999998</v>
      </c>
      <c r="J9" s="640"/>
      <c r="K9" s="660">
        <f>-K8*$C$9</f>
        <v>-1502.2624218749997</v>
      </c>
      <c r="L9" s="640"/>
      <c r="M9" s="660">
        <f>-M8*$C$9</f>
        <v>-1539.8189824218744</v>
      </c>
      <c r="N9" s="640"/>
      <c r="O9" s="660">
        <f>-O8*$C$9</f>
        <v>-1578.3144569824212</v>
      </c>
      <c r="P9" s="640"/>
      <c r="Q9" s="660">
        <f>-Q8*$C$9</f>
        <v>-1617.7723184069816</v>
      </c>
      <c r="R9" s="640"/>
      <c r="S9" s="660">
        <f>-S8*$C$9</f>
        <v>-1658.2166263671561</v>
      </c>
      <c r="T9" s="640"/>
      <c r="U9" s="660">
        <f>-U8*$C$9</f>
        <v>-1699.6720420263348</v>
      </c>
      <c r="V9" s="640"/>
      <c r="W9" s="660">
        <f>-W8*$C$9</f>
        <v>-1742.1638430769931</v>
      </c>
      <c r="X9" s="640"/>
      <c r="Y9" s="660">
        <f>-Y8*$C$9</f>
        <v>-1785.7179391539175</v>
      </c>
      <c r="Z9" s="640"/>
      <c r="AA9" s="660">
        <f>-AA8*$C$9</f>
        <v>-1830.3608876327653</v>
      </c>
      <c r="AB9" s="640"/>
      <c r="AC9" s="660">
        <f>-AC8*$C$9</f>
        <v>-1876.1199098235845</v>
      </c>
      <c r="AD9" s="640"/>
      <c r="AE9" s="660">
        <f>-AE8*$C$9</f>
        <v>-1923.0229075691741</v>
      </c>
      <c r="AF9" s="640"/>
      <c r="AG9" s="660">
        <f>-AG8*$C$9</f>
        <v>-1971.098480258403</v>
      </c>
      <c r="AH9" s="628"/>
    </row>
    <row r="10" spans="1:34" ht="14">
      <c r="A10" s="642" t="s">
        <v>1216</v>
      </c>
      <c r="B10" s="642"/>
      <c r="C10" s="633"/>
      <c r="D10" s="642"/>
      <c r="E10" s="642">
        <f>SUM(E4:E9)</f>
        <v>2304943.2000000002</v>
      </c>
      <c r="F10" s="642"/>
      <c r="G10" s="642">
        <f>SUM(G4:G9)</f>
        <v>2362566.7799999998</v>
      </c>
      <c r="H10" s="642"/>
      <c r="I10" s="642">
        <f>SUM(I4:I9)</f>
        <v>2421630.9494999992</v>
      </c>
      <c r="J10" s="642"/>
      <c r="K10" s="642">
        <f>SUM(K4:K9)</f>
        <v>2482171.7232374996</v>
      </c>
      <c r="L10" s="642"/>
      <c r="M10" s="642">
        <f>SUM(M4:M9)</f>
        <v>2544226.0163184362</v>
      </c>
      <c r="N10" s="642"/>
      <c r="O10" s="642">
        <f>SUM(O4:O9)</f>
        <v>2607831.6667263969</v>
      </c>
      <c r="P10" s="642"/>
      <c r="Q10" s="642">
        <f>SUM(Q4:Q9)</f>
        <v>2673027.4583945572</v>
      </c>
      <c r="R10" s="642"/>
      <c r="S10" s="642">
        <f>SUM(S4:S9)</f>
        <v>2739853.1448544208</v>
      </c>
      <c r="T10" s="642"/>
      <c r="U10" s="642">
        <f>SUM(U4:U9)</f>
        <v>2808349.4734757808</v>
      </c>
      <c r="V10" s="642"/>
      <c r="W10" s="642">
        <f>SUM(W4:W9)</f>
        <v>2878558.2103126752</v>
      </c>
      <c r="X10" s="642"/>
      <c r="Y10" s="642">
        <f>SUM(Y4:Y9)</f>
        <v>2950522.1655704919</v>
      </c>
      <c r="Z10" s="642"/>
      <c r="AA10" s="642">
        <f>SUM(AA4:AA9)</f>
        <v>3024285.2197097545</v>
      </c>
      <c r="AB10" s="642"/>
      <c r="AC10" s="642">
        <f>SUM(AC4:AC9)</f>
        <v>3099892.350202498</v>
      </c>
      <c r="AD10" s="642"/>
      <c r="AE10" s="642">
        <f>SUM(AE4:AE9)</f>
        <v>3177389.6589575596</v>
      </c>
      <c r="AF10" s="642"/>
      <c r="AG10" s="642">
        <f>SUM(AG4:AG9)</f>
        <v>3256824.400431498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27610</v>
      </c>
      <c r="F14" s="638"/>
      <c r="G14" s="638">
        <f t="shared" ref="G14:G20" si="0">E14*$C$13</f>
        <v>28576.35</v>
      </c>
      <c r="H14" s="638"/>
      <c r="I14" s="638">
        <f t="shared" ref="I14:I20" si="1">G14*$C$13</f>
        <v>29576.522249999995</v>
      </c>
      <c r="J14" s="638"/>
      <c r="K14" s="638">
        <f t="shared" ref="K14:K20" si="2">I14*$C$13</f>
        <v>30611.700528749992</v>
      </c>
      <c r="L14" s="638"/>
      <c r="M14" s="638">
        <f t="shared" ref="M14:M20" si="3">K14*$C$13</f>
        <v>31683.110047256239</v>
      </c>
      <c r="N14" s="638"/>
      <c r="O14" s="638">
        <f t="shared" ref="O14:O20" si="4">M14*$C$13</f>
        <v>32792.018898910203</v>
      </c>
      <c r="P14" s="638"/>
      <c r="Q14" s="638">
        <f t="shared" ref="Q14:Q20" si="5">O14*$C$13</f>
        <v>33939.739560372058</v>
      </c>
      <c r="R14" s="638"/>
      <c r="S14" s="638">
        <f t="shared" ref="S14:S20" si="6">Q14*$C$13</f>
        <v>35127.63044498508</v>
      </c>
      <c r="T14" s="638"/>
      <c r="U14" s="638">
        <f t="shared" ref="U14:U20" si="7">S14*$C$13</f>
        <v>36357.097510559557</v>
      </c>
      <c r="V14" s="638"/>
      <c r="W14" s="638">
        <f t="shared" ref="W14:W20" si="8">U14*$C$13</f>
        <v>37629.595923429137</v>
      </c>
      <c r="X14" s="638"/>
      <c r="Y14" s="638">
        <f t="shared" ref="Y14:Y20" si="9">W14*$C$13</f>
        <v>38946.63178074915</v>
      </c>
      <c r="Z14" s="638"/>
      <c r="AA14" s="638">
        <f t="shared" ref="AA14:AA20" si="10">Y14*$C$13</f>
        <v>40309.763893075367</v>
      </c>
      <c r="AB14" s="638"/>
      <c r="AC14" s="638">
        <f t="shared" ref="AC14:AC20" si="11">AA14*$C$13</f>
        <v>41720.605629333004</v>
      </c>
      <c r="AD14" s="638"/>
      <c r="AE14" s="638">
        <f t="shared" ref="AE14:AE20" si="12">AC14*$C$13</f>
        <v>43180.826826359655</v>
      </c>
      <c r="AF14" s="638"/>
      <c r="AG14" s="638">
        <f t="shared" ref="AG14:AG20" si="13">AE14*$C$13</f>
        <v>44692.155765282238</v>
      </c>
      <c r="AH14" s="638"/>
    </row>
    <row r="15" spans="1:34" ht="13.45">
      <c r="A15" s="628" t="s">
        <v>522</v>
      </c>
      <c r="B15" s="628"/>
      <c r="C15" s="652"/>
      <c r="D15" s="628"/>
      <c r="E15" s="641">
        <f>Application!W812</f>
        <v>74900</v>
      </c>
      <c r="F15" s="641"/>
      <c r="G15" s="641">
        <f t="shared" si="0"/>
        <v>77521.5</v>
      </c>
      <c r="H15" s="641"/>
      <c r="I15" s="641">
        <f t="shared" si="1"/>
        <v>80234.752499999988</v>
      </c>
      <c r="J15" s="641"/>
      <c r="K15" s="641">
        <f t="shared" si="2"/>
        <v>83042.968837499982</v>
      </c>
      <c r="L15" s="641"/>
      <c r="M15" s="641">
        <f t="shared" si="3"/>
        <v>85949.472746812477</v>
      </c>
      <c r="N15" s="641"/>
      <c r="O15" s="641">
        <f t="shared" si="4"/>
        <v>88957.704292950904</v>
      </c>
      <c r="P15" s="641"/>
      <c r="Q15" s="641">
        <f t="shared" si="5"/>
        <v>92071.223943204182</v>
      </c>
      <c r="R15" s="641"/>
      <c r="S15" s="641">
        <f t="shared" si="6"/>
        <v>95293.716781216324</v>
      </c>
      <c r="T15" s="641"/>
      <c r="U15" s="641">
        <f t="shared" si="7"/>
        <v>98628.996868558883</v>
      </c>
      <c r="V15" s="641"/>
      <c r="W15" s="641">
        <f t="shared" si="8"/>
        <v>102081.01175895844</v>
      </c>
      <c r="X15" s="641"/>
      <c r="Y15" s="641">
        <f t="shared" si="9"/>
        <v>105653.84717052197</v>
      </c>
      <c r="Z15" s="641"/>
      <c r="AA15" s="641">
        <f t="shared" si="10"/>
        <v>109351.73182149023</v>
      </c>
      <c r="AB15" s="641"/>
      <c r="AC15" s="641">
        <f t="shared" si="11"/>
        <v>113179.04243524239</v>
      </c>
      <c r="AD15" s="641"/>
      <c r="AE15" s="641">
        <f t="shared" si="12"/>
        <v>117140.30892047586</v>
      </c>
      <c r="AF15" s="641"/>
      <c r="AG15" s="641">
        <f t="shared" si="13"/>
        <v>121240.21973269251</v>
      </c>
      <c r="AH15" s="628"/>
    </row>
    <row r="16" spans="1:34" ht="13.45">
      <c r="A16" s="628" t="s">
        <v>808</v>
      </c>
      <c r="B16" s="628"/>
      <c r="C16" s="652"/>
      <c r="D16" s="628"/>
      <c r="E16" s="641">
        <f>Application!W818</f>
        <v>142300</v>
      </c>
      <c r="F16" s="641"/>
      <c r="G16" s="641">
        <f t="shared" si="0"/>
        <v>147280.5</v>
      </c>
      <c r="H16" s="641"/>
      <c r="I16" s="641">
        <f t="shared" si="1"/>
        <v>152435.31749999998</v>
      </c>
      <c r="J16" s="641"/>
      <c r="K16" s="641">
        <f t="shared" si="2"/>
        <v>157770.55361249996</v>
      </c>
      <c r="L16" s="641"/>
      <c r="M16" s="641">
        <f t="shared" si="3"/>
        <v>163292.52298893745</v>
      </c>
      <c r="N16" s="641"/>
      <c r="O16" s="641">
        <f t="shared" si="4"/>
        <v>169007.76129355025</v>
      </c>
      <c r="P16" s="641"/>
      <c r="Q16" s="641">
        <f t="shared" si="5"/>
        <v>174923.0329388245</v>
      </c>
      <c r="R16" s="641"/>
      <c r="S16" s="641">
        <f t="shared" si="6"/>
        <v>181045.33909168333</v>
      </c>
      <c r="T16" s="641"/>
      <c r="U16" s="641">
        <f t="shared" si="7"/>
        <v>187381.92595989222</v>
      </c>
      <c r="V16" s="641"/>
      <c r="W16" s="641">
        <f t="shared" si="8"/>
        <v>193940.29336848843</v>
      </c>
      <c r="X16" s="641"/>
      <c r="Y16" s="641">
        <f t="shared" si="9"/>
        <v>200728.2036363855</v>
      </c>
      <c r="Z16" s="641"/>
      <c r="AA16" s="641">
        <f t="shared" si="10"/>
        <v>207753.69076365899</v>
      </c>
      <c r="AB16" s="641"/>
      <c r="AC16" s="641">
        <f t="shared" si="11"/>
        <v>215025.06994038704</v>
      </c>
      <c r="AD16" s="641"/>
      <c r="AE16" s="641">
        <f t="shared" si="12"/>
        <v>222550.94738830056</v>
      </c>
      <c r="AF16" s="641"/>
      <c r="AG16" s="641">
        <f t="shared" si="13"/>
        <v>230340.23054689105</v>
      </c>
      <c r="AH16" s="628"/>
    </row>
    <row r="17" spans="1:33" ht="13.45">
      <c r="A17" s="628" t="s">
        <v>1220</v>
      </c>
      <c r="B17" s="628"/>
      <c r="C17" s="652"/>
      <c r="D17" s="628"/>
      <c r="E17" s="641">
        <f>Application!W823</f>
        <v>240080</v>
      </c>
      <c r="F17" s="641"/>
      <c r="G17" s="641">
        <f t="shared" si="0"/>
        <v>248482.8</v>
      </c>
      <c r="H17" s="641"/>
      <c r="I17" s="641">
        <f t="shared" si="1"/>
        <v>257179.69799999997</v>
      </c>
      <c r="J17" s="641"/>
      <c r="K17" s="641">
        <f t="shared" si="2"/>
        <v>266180.98742999998</v>
      </c>
      <c r="L17" s="641"/>
      <c r="M17" s="641">
        <f t="shared" si="3"/>
        <v>275497.32199004997</v>
      </c>
      <c r="N17" s="641"/>
      <c r="O17" s="641">
        <f t="shared" si="4"/>
        <v>285139.72825970169</v>
      </c>
      <c r="P17" s="641"/>
      <c r="Q17" s="641">
        <f t="shared" si="5"/>
        <v>295119.61874879122</v>
      </c>
      <c r="R17" s="641"/>
      <c r="S17" s="641">
        <f t="shared" si="6"/>
        <v>305448.80540499889</v>
      </c>
      <c r="T17" s="641"/>
      <c r="U17" s="641">
        <f t="shared" si="7"/>
        <v>316139.51359417383</v>
      </c>
      <c r="V17" s="641"/>
      <c r="W17" s="641">
        <f t="shared" si="8"/>
        <v>327204.39656996989</v>
      </c>
      <c r="X17" s="641"/>
      <c r="Y17" s="641">
        <f t="shared" si="9"/>
        <v>338656.55044991878</v>
      </c>
      <c r="Z17" s="641"/>
      <c r="AA17" s="641">
        <f t="shared" si="10"/>
        <v>350509.52971566591</v>
      </c>
      <c r="AB17" s="641"/>
      <c r="AC17" s="641">
        <f t="shared" si="11"/>
        <v>362777.36325571418</v>
      </c>
      <c r="AD17" s="641"/>
      <c r="AE17" s="641">
        <f t="shared" si="12"/>
        <v>375474.57096966414</v>
      </c>
      <c r="AF17" s="641"/>
      <c r="AG17" s="641">
        <f t="shared" si="13"/>
        <v>388616.18095360236</v>
      </c>
    </row>
    <row r="18" spans="1:33" ht="13.45">
      <c r="A18" s="628" t="s">
        <v>1046</v>
      </c>
      <c r="B18" s="628"/>
      <c r="C18" s="652"/>
      <c r="D18" s="628"/>
      <c r="E18" s="641">
        <f>Application!W824</f>
        <v>57660</v>
      </c>
      <c r="F18" s="641"/>
      <c r="G18" s="641">
        <f t="shared" si="0"/>
        <v>59678.1</v>
      </c>
      <c r="H18" s="641"/>
      <c r="I18" s="641">
        <f t="shared" si="1"/>
        <v>61766.833499999993</v>
      </c>
      <c r="J18" s="641"/>
      <c r="K18" s="641">
        <f t="shared" si="2"/>
        <v>63928.67267249999</v>
      </c>
      <c r="L18" s="641"/>
      <c r="M18" s="641">
        <f t="shared" si="3"/>
        <v>66166.176216037478</v>
      </c>
      <c r="N18" s="641"/>
      <c r="O18" s="641">
        <f t="shared" si="4"/>
        <v>68481.992383598787</v>
      </c>
      <c r="P18" s="641"/>
      <c r="Q18" s="641">
        <f t="shared" si="5"/>
        <v>70878.862117024735</v>
      </c>
      <c r="R18" s="641"/>
      <c r="S18" s="641">
        <f t="shared" si="6"/>
        <v>73359.622291120599</v>
      </c>
      <c r="T18" s="641"/>
      <c r="U18" s="641">
        <f t="shared" si="7"/>
        <v>75927.209071309815</v>
      </c>
      <c r="V18" s="641"/>
      <c r="W18" s="641">
        <f t="shared" si="8"/>
        <v>78584.661388805645</v>
      </c>
      <c r="X18" s="641"/>
      <c r="Y18" s="641">
        <f t="shared" si="9"/>
        <v>81335.124537413838</v>
      </c>
      <c r="Z18" s="641"/>
      <c r="AA18" s="641">
        <f t="shared" si="10"/>
        <v>84181.853896223314</v>
      </c>
      <c r="AB18" s="641"/>
      <c r="AC18" s="641">
        <f t="shared" si="11"/>
        <v>87128.218782591124</v>
      </c>
      <c r="AD18" s="641"/>
      <c r="AE18" s="641">
        <f t="shared" si="12"/>
        <v>90177.706439981805</v>
      </c>
      <c r="AF18" s="641"/>
      <c r="AG18" s="641">
        <f t="shared" si="13"/>
        <v>93333.926165381155</v>
      </c>
    </row>
    <row r="19" spans="1:33" ht="13.45">
      <c r="A19" s="628" t="s">
        <v>60</v>
      </c>
      <c r="B19" s="628"/>
      <c r="C19" s="652"/>
      <c r="D19" s="628"/>
      <c r="E19" s="641">
        <f>Application!W833</f>
        <v>324900</v>
      </c>
      <c r="F19" s="641"/>
      <c r="G19" s="641">
        <f t="shared" si="0"/>
        <v>336271.5</v>
      </c>
      <c r="H19" s="641"/>
      <c r="I19" s="641">
        <f t="shared" si="1"/>
        <v>348041.00249999994</v>
      </c>
      <c r="J19" s="641"/>
      <c r="K19" s="641">
        <f t="shared" si="2"/>
        <v>360222.43758749991</v>
      </c>
      <c r="L19" s="641"/>
      <c r="M19" s="641">
        <f t="shared" si="3"/>
        <v>372830.22290306236</v>
      </c>
      <c r="N19" s="641"/>
      <c r="O19" s="641">
        <f t="shared" si="4"/>
        <v>385879.28070466954</v>
      </c>
      <c r="P19" s="641"/>
      <c r="Q19" s="641">
        <f t="shared" si="5"/>
        <v>399385.05552933295</v>
      </c>
      <c r="R19" s="641"/>
      <c r="S19" s="641">
        <f t="shared" si="6"/>
        <v>413363.5324728596</v>
      </c>
      <c r="T19" s="641"/>
      <c r="U19" s="641">
        <f t="shared" si="7"/>
        <v>427831.25610940967</v>
      </c>
      <c r="V19" s="641"/>
      <c r="W19" s="641">
        <f t="shared" si="8"/>
        <v>442805.35007323895</v>
      </c>
      <c r="X19" s="641"/>
      <c r="Y19" s="641">
        <f t="shared" si="9"/>
        <v>458303.53732580226</v>
      </c>
      <c r="Z19" s="641"/>
      <c r="AA19" s="641">
        <f t="shared" si="10"/>
        <v>474344.16113220528</v>
      </c>
      <c r="AB19" s="641"/>
      <c r="AC19" s="641">
        <f t="shared" si="11"/>
        <v>490946.20677183243</v>
      </c>
      <c r="AD19" s="641"/>
      <c r="AE19" s="641">
        <f t="shared" si="12"/>
        <v>508129.32400884654</v>
      </c>
      <c r="AF19" s="641"/>
      <c r="AG19" s="641">
        <f t="shared" si="13"/>
        <v>525913.85034915607</v>
      </c>
    </row>
    <row r="20" spans="1:33" ht="13.4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868600</v>
      </c>
      <c r="F21" s="642"/>
      <c r="G21" s="642">
        <f>SUM(G14:G20)</f>
        <v>899001</v>
      </c>
      <c r="H21" s="642"/>
      <c r="I21" s="642">
        <f>SUM(I14:I20)</f>
        <v>930466.0349999998</v>
      </c>
      <c r="J21" s="642"/>
      <c r="K21" s="642">
        <f>SUM(K14:K20)</f>
        <v>963032.34622499999</v>
      </c>
      <c r="L21" s="642"/>
      <c r="M21" s="642">
        <f>SUM(M14:M20)</f>
        <v>996738.47834287467</v>
      </c>
      <c r="N21" s="642"/>
      <c r="O21" s="642">
        <f>SUM(O14:O20)</f>
        <v>1031624.3250848753</v>
      </c>
      <c r="P21" s="642"/>
      <c r="Q21" s="642">
        <f>SUM(Q14:Q20)</f>
        <v>1067731.1764628459</v>
      </c>
      <c r="R21" s="642"/>
      <c r="S21" s="642">
        <f>SUM(S14:S20)</f>
        <v>1105101.7676390456</v>
      </c>
      <c r="T21" s="642"/>
      <c r="U21" s="642">
        <f>SUM(U14:U20)</f>
        <v>1143780.3295064117</v>
      </c>
      <c r="V21" s="642"/>
      <c r="W21" s="642">
        <f>SUM(W14:W20)</f>
        <v>1183812.6410391361</v>
      </c>
      <c r="X21" s="642"/>
      <c r="Y21" s="642">
        <f>SUM(Y14:Y20)</f>
        <v>1225246.0834755057</v>
      </c>
      <c r="Z21" s="642"/>
      <c r="AA21" s="642">
        <f>SUM(AA14:AA20)</f>
        <v>1268129.6963971483</v>
      </c>
      <c r="AB21" s="642"/>
      <c r="AC21" s="642">
        <f>SUM(AC14:AC20)</f>
        <v>1312514.2357710483</v>
      </c>
      <c r="AD21" s="642"/>
      <c r="AE21" s="642">
        <f>SUM(AE14:AE20)</f>
        <v>1358452.234023035</v>
      </c>
      <c r="AF21" s="642"/>
      <c r="AG21" s="642">
        <f>SUM(AG14:AG20)</f>
        <v>1405998.0622138414</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18000</v>
      </c>
      <c r="F24" s="641"/>
      <c r="G24" s="641">
        <f>E24*$C$24</f>
        <v>18630</v>
      </c>
      <c r="H24" s="641"/>
      <c r="I24" s="641">
        <f>G24*$C$24</f>
        <v>19282.05</v>
      </c>
      <c r="J24" s="641"/>
      <c r="K24" s="641">
        <f>I24*$C$24</f>
        <v>19956.921749999998</v>
      </c>
      <c r="L24" s="641"/>
      <c r="M24" s="641">
        <f>K24*$C$24</f>
        <v>20655.414011249995</v>
      </c>
      <c r="N24" s="641"/>
      <c r="O24" s="641">
        <f>M24*$C$24</f>
        <v>21378.353501643742</v>
      </c>
      <c r="P24" s="641"/>
      <c r="Q24" s="641">
        <f>O24*$C$24</f>
        <v>22126.59587420127</v>
      </c>
      <c r="R24" s="641"/>
      <c r="S24" s="641">
        <f>Q24*$C$24</f>
        <v>22901.026729798312</v>
      </c>
      <c r="T24" s="641"/>
      <c r="U24" s="641">
        <f>S24*$C$24</f>
        <v>23702.562665341251</v>
      </c>
      <c r="V24" s="641"/>
      <c r="W24" s="641">
        <f>U24*$C$24</f>
        <v>24532.152358628195</v>
      </c>
      <c r="X24" s="641"/>
      <c r="Y24" s="641">
        <f>W24*$C$24</f>
        <v>25390.777691180181</v>
      </c>
      <c r="Z24" s="641"/>
      <c r="AA24" s="641">
        <f>Y24*$C$24</f>
        <v>26279.454910371485</v>
      </c>
      <c r="AB24" s="641"/>
      <c r="AC24" s="641">
        <f>AA24*$C$24</f>
        <v>27199.235832234484</v>
      </c>
      <c r="AD24" s="641"/>
      <c r="AE24" s="641">
        <f>AC24*$C$24</f>
        <v>28151.209086362691</v>
      </c>
      <c r="AF24" s="641"/>
      <c r="AG24" s="641">
        <f>AE24*$C$24</f>
        <v>29136.501404385384</v>
      </c>
    </row>
    <row r="25" spans="1:33" ht="13.45">
      <c r="A25" s="628" t="s">
        <v>1223</v>
      </c>
      <c r="B25" s="628"/>
      <c r="C25" s="664"/>
      <c r="D25" s="628"/>
      <c r="E25" s="641">
        <f>Application!AC850</f>
        <v>46500</v>
      </c>
      <c r="F25" s="641"/>
      <c r="G25" s="641">
        <f>$E$25</f>
        <v>46500</v>
      </c>
      <c r="H25" s="641"/>
      <c r="I25" s="641">
        <f>$E$25</f>
        <v>46500</v>
      </c>
      <c r="J25" s="641"/>
      <c r="K25" s="641">
        <f>$E$25</f>
        <v>46500</v>
      </c>
      <c r="L25" s="641"/>
      <c r="M25" s="641">
        <f>$E$25</f>
        <v>46500</v>
      </c>
      <c r="N25" s="641"/>
      <c r="O25" s="641">
        <f>$E$25</f>
        <v>46500</v>
      </c>
      <c r="P25" s="641"/>
      <c r="Q25" s="641">
        <f>$E$25</f>
        <v>46500</v>
      </c>
      <c r="R25" s="641"/>
      <c r="S25" s="641">
        <f>$E$25</f>
        <v>46500</v>
      </c>
      <c r="T25" s="641"/>
      <c r="U25" s="641">
        <f>$E$25</f>
        <v>46500</v>
      </c>
      <c r="V25" s="641"/>
      <c r="W25" s="641">
        <f>$E$25</f>
        <v>46500</v>
      </c>
      <c r="X25" s="641"/>
      <c r="Y25" s="641">
        <f>$E$25</f>
        <v>46500</v>
      </c>
      <c r="Z25" s="641"/>
      <c r="AA25" s="641">
        <f>$E$25</f>
        <v>46500</v>
      </c>
      <c r="AB25" s="641"/>
      <c r="AC25" s="641">
        <f>$E$25</f>
        <v>46500</v>
      </c>
      <c r="AD25" s="641"/>
      <c r="AE25" s="641">
        <f>$E$25</f>
        <v>46500</v>
      </c>
      <c r="AF25" s="641"/>
      <c r="AG25" s="641">
        <f>$E$25</f>
        <v>46500</v>
      </c>
    </row>
    <row r="26" spans="1:33" ht="13.45">
      <c r="A26" s="628" t="s">
        <v>1224</v>
      </c>
      <c r="B26" s="628"/>
      <c r="C26" s="662">
        <v>1.02</v>
      </c>
      <c r="D26" s="628"/>
      <c r="E26" s="641">
        <f>Application!AC851</f>
        <v>15500</v>
      </c>
      <c r="F26" s="641"/>
      <c r="G26" s="641">
        <f>E26*$C$26</f>
        <v>15810</v>
      </c>
      <c r="H26" s="641"/>
      <c r="I26" s="641">
        <f>G26*$C$26</f>
        <v>16126.2</v>
      </c>
      <c r="J26" s="641"/>
      <c r="K26" s="641">
        <f>I26*$C$26</f>
        <v>16448.724000000002</v>
      </c>
      <c r="L26" s="641"/>
      <c r="M26" s="641">
        <f>K26*$C$26</f>
        <v>16777.698480000003</v>
      </c>
      <c r="N26" s="641"/>
      <c r="O26" s="641">
        <f>M26*$C$26</f>
        <v>17113.252449600004</v>
      </c>
      <c r="P26" s="641"/>
      <c r="Q26" s="641">
        <f>O26*$C$26</f>
        <v>17455.517498592006</v>
      </c>
      <c r="R26" s="641"/>
      <c r="S26" s="641">
        <f>Q26*$C$26</f>
        <v>17804.627848563847</v>
      </c>
      <c r="T26" s="641"/>
      <c r="U26" s="641">
        <f>S26*$C$26</f>
        <v>18160.720405535125</v>
      </c>
      <c r="V26" s="641"/>
      <c r="W26" s="641">
        <f>U26*$C$26</f>
        <v>18523.934813645828</v>
      </c>
      <c r="X26" s="641"/>
      <c r="Y26" s="641">
        <f>W26*$C$26</f>
        <v>18894.413509918744</v>
      </c>
      <c r="Z26" s="641"/>
      <c r="AA26" s="641">
        <f>Y26*$C$26</f>
        <v>19272.301780117119</v>
      </c>
      <c r="AB26" s="641"/>
      <c r="AC26" s="641">
        <f>AA26*$C$26</f>
        <v>19657.74781571946</v>
      </c>
      <c r="AD26" s="641"/>
      <c r="AE26" s="641">
        <f>AC26*$C$26</f>
        <v>20050.902772033849</v>
      </c>
      <c r="AF26" s="641"/>
      <c r="AG26" s="641">
        <f>AE26*$C$26</f>
        <v>20451.920827474525</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948600</v>
      </c>
      <c r="F30" s="642"/>
      <c r="G30" s="642">
        <f>SUM(G21:G28)</f>
        <v>979941</v>
      </c>
      <c r="H30" s="642"/>
      <c r="I30" s="642">
        <f>SUM(I21:I28)</f>
        <v>1012374.2849999998</v>
      </c>
      <c r="J30" s="642"/>
      <c r="K30" s="642">
        <f>SUM(K21:K28)</f>
        <v>1045937.991975</v>
      </c>
      <c r="L30" s="642"/>
      <c r="M30" s="642">
        <f>SUM(M21:M28)</f>
        <v>1080671.5908341247</v>
      </c>
      <c r="N30" s="642"/>
      <c r="O30" s="642">
        <f>SUM(O21:O28)</f>
        <v>1116615.9310361191</v>
      </c>
      <c r="P30" s="642"/>
      <c r="Q30" s="642">
        <f>SUM(Q21:Q28)</f>
        <v>1153813.2898356391</v>
      </c>
      <c r="R30" s="642"/>
      <c r="S30" s="642">
        <f>SUM(S21:S28)</f>
        <v>1192307.422217408</v>
      </c>
      <c r="T30" s="642"/>
      <c r="U30" s="642">
        <f>SUM(U21:U28)</f>
        <v>1232143.6125772879</v>
      </c>
      <c r="V30" s="642"/>
      <c r="W30" s="642">
        <f>SUM(W21:W28)</f>
        <v>1273368.7282114101</v>
      </c>
      <c r="X30" s="642"/>
      <c r="Y30" s="642">
        <f>SUM(Y21:Y28)</f>
        <v>1316031.2746766047</v>
      </c>
      <c r="Z30" s="642"/>
      <c r="AA30" s="642">
        <f>SUM(AA21:AA28)</f>
        <v>1360181.453087637</v>
      </c>
      <c r="AB30" s="642"/>
      <c r="AC30" s="642">
        <f>SUM(AC21:AC28)</f>
        <v>1405871.2194190023</v>
      </c>
      <c r="AD30" s="642"/>
      <c r="AE30" s="642">
        <f>SUM(AE21:AE28)</f>
        <v>1453154.3458814316</v>
      </c>
      <c r="AF30" s="642"/>
      <c r="AG30" s="642">
        <f>SUM(AG21:AG28)</f>
        <v>1502086.4844457011</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1356343.2000000002</v>
      </c>
      <c r="F32" s="642"/>
      <c r="G32" s="642">
        <f>G10-G30</f>
        <v>1382625.7799999998</v>
      </c>
      <c r="H32" s="642"/>
      <c r="I32" s="642">
        <f>I10-I30</f>
        <v>1409256.6644999995</v>
      </c>
      <c r="J32" s="642"/>
      <c r="K32" s="642">
        <f>K10-K30</f>
        <v>1436233.7312624995</v>
      </c>
      <c r="L32" s="642"/>
      <c r="M32" s="642">
        <f>M10-M30</f>
        <v>1463554.4254843115</v>
      </c>
      <c r="N32" s="642"/>
      <c r="O32" s="642">
        <f>O10-O30</f>
        <v>1491215.7356902778</v>
      </c>
      <c r="P32" s="642"/>
      <c r="Q32" s="642">
        <f>Q10-Q30</f>
        <v>1519214.1685589182</v>
      </c>
      <c r="R32" s="642"/>
      <c r="S32" s="642">
        <f>S10-S30</f>
        <v>1547545.7226370128</v>
      </c>
      <c r="T32" s="642"/>
      <c r="U32" s="642">
        <f>U10-U30</f>
        <v>1576205.8608984929</v>
      </c>
      <c r="V32" s="642"/>
      <c r="W32" s="642">
        <f>W10-W30</f>
        <v>1605189.4821012651</v>
      </c>
      <c r="X32" s="642"/>
      <c r="Y32" s="642">
        <f>Y10-Y30</f>
        <v>1634490.8908938873</v>
      </c>
      <c r="Z32" s="642"/>
      <c r="AA32" s="642">
        <f>AA10-AA30</f>
        <v>1664103.7666221175</v>
      </c>
      <c r="AB32" s="642"/>
      <c r="AC32" s="642">
        <f>AC10-AC30</f>
        <v>1694021.1307834957</v>
      </c>
      <c r="AD32" s="642"/>
      <c r="AE32" s="642">
        <f>AE10-AE30</f>
        <v>1724235.313076128</v>
      </c>
      <c r="AF32" s="642"/>
      <c r="AG32" s="642">
        <f>AG10-AG30</f>
        <v>1754737.9159857968</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1132524</v>
      </c>
      <c r="F35" s="641"/>
      <c r="G35" s="641">
        <f>$E$35</f>
        <v>1132524</v>
      </c>
      <c r="H35" s="641"/>
      <c r="I35" s="641">
        <f>$E$35</f>
        <v>1132524</v>
      </c>
      <c r="J35" s="641"/>
      <c r="K35" s="641">
        <f>$E$35</f>
        <v>1132524</v>
      </c>
      <c r="L35" s="641"/>
      <c r="M35" s="641">
        <f>$E$35</f>
        <v>1132524</v>
      </c>
      <c r="N35" s="641"/>
      <c r="O35" s="641">
        <f>$E$35</f>
        <v>1132524</v>
      </c>
      <c r="P35" s="641"/>
      <c r="Q35" s="641">
        <f>$E$35</f>
        <v>1132524</v>
      </c>
      <c r="R35" s="641"/>
      <c r="S35" s="641">
        <f>$E$35</f>
        <v>1132524</v>
      </c>
      <c r="T35" s="641"/>
      <c r="U35" s="641">
        <f>$E$35</f>
        <v>1132524</v>
      </c>
      <c r="V35" s="641"/>
      <c r="W35" s="641">
        <f>$E$35</f>
        <v>1132524</v>
      </c>
      <c r="X35" s="641"/>
      <c r="Y35" s="641">
        <f>$E$35</f>
        <v>1132524</v>
      </c>
      <c r="Z35" s="641"/>
      <c r="AA35" s="641">
        <f>$E$35</f>
        <v>1132524</v>
      </c>
      <c r="AB35" s="641"/>
      <c r="AC35" s="641">
        <f>$E$35</f>
        <v>1132524</v>
      </c>
      <c r="AD35" s="641"/>
      <c r="AE35" s="641">
        <f>$E$35</f>
        <v>1132524</v>
      </c>
      <c r="AF35" s="641"/>
      <c r="AG35" s="641">
        <f>$E$35</f>
        <v>1132524</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1132524</v>
      </c>
      <c r="F38" s="642"/>
      <c r="G38" s="642">
        <f>SUM(G35:G37)</f>
        <v>1132524</v>
      </c>
      <c r="H38" s="642"/>
      <c r="I38" s="642">
        <f>SUM(I35:I37)</f>
        <v>1132524</v>
      </c>
      <c r="J38" s="642"/>
      <c r="K38" s="642">
        <f>SUM(K35:K37)</f>
        <v>1132524</v>
      </c>
      <c r="L38" s="642"/>
      <c r="M38" s="642">
        <f>SUM(M35:M37)</f>
        <v>1132524</v>
      </c>
      <c r="N38" s="642"/>
      <c r="O38" s="642">
        <f>SUM(O35:O37)</f>
        <v>1132524</v>
      </c>
      <c r="P38" s="642"/>
      <c r="Q38" s="642">
        <f>SUM(Q35:Q37)</f>
        <v>1132524</v>
      </c>
      <c r="R38" s="642"/>
      <c r="S38" s="642">
        <f>SUM(S35:S37)</f>
        <v>1132524</v>
      </c>
      <c r="T38" s="642"/>
      <c r="U38" s="642">
        <f>SUM(U35:U37)</f>
        <v>1132524</v>
      </c>
      <c r="V38" s="642"/>
      <c r="W38" s="642">
        <f>SUM(W35:W37)</f>
        <v>1132524</v>
      </c>
      <c r="X38" s="642"/>
      <c r="Y38" s="642">
        <f>SUM(Y35:Y37)</f>
        <v>1132524</v>
      </c>
      <c r="Z38" s="642"/>
      <c r="AA38" s="642">
        <f>SUM(AA35:AA37)</f>
        <v>1132524</v>
      </c>
      <c r="AB38" s="642"/>
      <c r="AC38" s="642">
        <f>SUM(AC35:AC37)</f>
        <v>1132524</v>
      </c>
      <c r="AD38" s="642"/>
      <c r="AE38" s="642">
        <f>SUM(AE35:AE37)</f>
        <v>1132524</v>
      </c>
      <c r="AF38" s="642"/>
      <c r="AG38" s="642">
        <f>SUM(AG35:AG37)</f>
        <v>1132524</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223819.20000000019</v>
      </c>
      <c r="F40" s="642"/>
      <c r="G40" s="642">
        <f>G32-G38</f>
        <v>250101.7799999998</v>
      </c>
      <c r="H40" s="642"/>
      <c r="I40" s="642">
        <f>I32-I38</f>
        <v>276732.66449999949</v>
      </c>
      <c r="J40" s="642"/>
      <c r="K40" s="642">
        <f>K32-K38</f>
        <v>303709.73126249947</v>
      </c>
      <c r="L40" s="642"/>
      <c r="M40" s="642">
        <f>M32-M38</f>
        <v>331030.42548431153</v>
      </c>
      <c r="N40" s="642"/>
      <c r="O40" s="642">
        <f>O32-O38</f>
        <v>358691.73569027777</v>
      </c>
      <c r="P40" s="642"/>
      <c r="Q40" s="642">
        <f>Q32-Q38</f>
        <v>386690.16855891817</v>
      </c>
      <c r="R40" s="642"/>
      <c r="S40" s="642">
        <f>S32-S38</f>
        <v>415021.72263701283</v>
      </c>
      <c r="T40" s="642"/>
      <c r="U40" s="642">
        <f>U32-U38</f>
        <v>443681.86089849286</v>
      </c>
      <c r="V40" s="642"/>
      <c r="W40" s="642">
        <f>W32-W38</f>
        <v>472665.48210126511</v>
      </c>
      <c r="X40" s="642"/>
      <c r="Y40" s="642">
        <f>Y32-Y38</f>
        <v>501966.89089388726</v>
      </c>
      <c r="Z40" s="642"/>
      <c r="AA40" s="642">
        <f>AA32-AA38</f>
        <v>531579.76662211749</v>
      </c>
      <c r="AB40" s="642"/>
      <c r="AC40" s="642">
        <f>AC32-AC38</f>
        <v>561497.13078349573</v>
      </c>
      <c r="AD40" s="642"/>
      <c r="AE40" s="642">
        <f>AE32-AE38</f>
        <v>591711.31307612802</v>
      </c>
      <c r="AF40" s="642"/>
      <c r="AG40" s="642">
        <f>AG32-AG38</f>
        <v>622213.91598579683</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9.2248798148258135E-2</v>
      </c>
      <c r="F42" s="646"/>
      <c r="G42" s="646">
        <f>G40/(G4+G6+G8)</f>
        <v>0.10056718523740514</v>
      </c>
      <c r="H42" s="646"/>
      <c r="I42" s="646">
        <f>I40/(I4+I6+I8)</f>
        <v>0.10856155903081778</v>
      </c>
      <c r="J42" s="646"/>
      <c r="K42" s="646">
        <f>K40/(K4+K6+K8)</f>
        <v>0.11623863167817092</v>
      </c>
      <c r="L42" s="646"/>
      <c r="M42" s="646">
        <f>M40/(M4+M6+M8)</f>
        <v>0.12360494004583579</v>
      </c>
      <c r="N42" s="646"/>
      <c r="O42" s="646">
        <f>O40/(O4+O6+O8)</f>
        <v>0.13066684987897062</v>
      </c>
      <c r="P42" s="646"/>
      <c r="Q42" s="646">
        <f>Q40/(Q4+Q6+Q8)</f>
        <v>0.13743055986099342</v>
      </c>
      <c r="R42" s="646"/>
      <c r="S42" s="646">
        <f>S40/(S4+S6+S8)</f>
        <v>0.14390210557292893</v>
      </c>
      <c r="T42" s="646"/>
      <c r="U42" s="646">
        <f>U40/(U4+U6+U8)</f>
        <v>0.15008736335506614</v>
      </c>
      <c r="V42" s="646"/>
      <c r="W42" s="646">
        <f>W40/(W4+W6+W8)</f>
        <v>0.15599205407328795</v>
      </c>
      <c r="X42" s="646"/>
      <c r="Y42" s="646">
        <f>Y40/(Y4+Y6+Y8)</f>
        <v>0.16162174679239835</v>
      </c>
      <c r="Z42" s="646"/>
      <c r="AA42" s="646">
        <f>AA40/(AA4+AA6+AA8)</f>
        <v>0.16698186235869558</v>
      </c>
      <c r="AB42" s="646"/>
      <c r="AC42" s="646">
        <f>AC40/(AC4+AC6+AC8)</f>
        <v>0.17207767689399781</v>
      </c>
      <c r="AD42" s="646"/>
      <c r="AE42" s="646">
        <f>AE40/(AE4+AE6+AE8)</f>
        <v>0.176914325203269</v>
      </c>
      <c r="AF42" s="646"/>
      <c r="AG42" s="646">
        <f>AG40/(AG4+AG6+AG8)</f>
        <v>0.18149680409794014</v>
      </c>
      <c r="AH42" s="646"/>
      <c r="AI42" s="646"/>
    </row>
    <row r="43" spans="1:35" ht="13.45">
      <c r="A43" s="646" t="s">
        <v>1230</v>
      </c>
      <c r="B43" s="646"/>
      <c r="C43" s="639"/>
      <c r="D43" s="646"/>
      <c r="E43" s="646">
        <f>E40/E38</f>
        <v>0.19762865952509631</v>
      </c>
      <c r="F43" s="646"/>
      <c r="G43" s="646">
        <f>G40/G38</f>
        <v>0.22083574387827526</v>
      </c>
      <c r="H43" s="646"/>
      <c r="I43" s="646">
        <f>I40/I38</f>
        <v>0.2443503753562834</v>
      </c>
      <c r="J43" s="646"/>
      <c r="K43" s="646">
        <f>K40/K38</f>
        <v>0.26817068005843536</v>
      </c>
      <c r="L43" s="646"/>
      <c r="M43" s="646">
        <f>M40/M38</f>
        <v>0.29229440213568236</v>
      </c>
      <c r="N43" s="646"/>
      <c r="O43" s="646">
        <f>O40/O38</f>
        <v>0.3167188825051635</v>
      </c>
      <c r="P43" s="646"/>
      <c r="Q43" s="646">
        <f>Q40/Q38</f>
        <v>0.34144103662166819</v>
      </c>
      <c r="R43" s="646"/>
      <c r="S43" s="646">
        <f>S40/S38</f>
        <v>0.36645733126804625</v>
      </c>
      <c r="T43" s="646"/>
      <c r="U43" s="646">
        <f>U40/U38</f>
        <v>0.39176376032516119</v>
      </c>
      <c r="V43" s="646"/>
      <c r="W43" s="646">
        <f>W40/W38</f>
        <v>0.41735581948043937</v>
      </c>
      <c r="X43" s="646"/>
      <c r="Y43" s="646">
        <f>Y40/Y38</f>
        <v>0.44322847983255742</v>
      </c>
      <c r="Z43" s="646"/>
      <c r="AA43" s="646">
        <f>AA40/AA38</f>
        <v>0.4693761603481405</v>
      </c>
      <c r="AB43" s="646"/>
      <c r="AC43" s="646">
        <f>AC40/AC38</f>
        <v>0.4957926991246947</v>
      </c>
      <c r="AD43" s="646"/>
      <c r="AE43" s="646">
        <f>AE40/AE38</f>
        <v>0.52247132341224378</v>
      </c>
      <c r="AF43" s="646"/>
      <c r="AG43" s="646">
        <f>AG40/AG38</f>
        <v>0.54940461834433252</v>
      </c>
      <c r="AH43" s="646"/>
      <c r="AI43" s="646"/>
    </row>
    <row r="44" spans="1:35" ht="13.45">
      <c r="A44" s="647" t="s">
        <v>1231</v>
      </c>
      <c r="B44" s="647"/>
      <c r="C44" s="648"/>
      <c r="D44" s="647"/>
      <c r="E44" s="647">
        <f>E32/E38</f>
        <v>1.1976286595250962</v>
      </c>
      <c r="F44" s="647"/>
      <c r="G44" s="647">
        <f>G32/G38</f>
        <v>1.2208357438782753</v>
      </c>
      <c r="H44" s="647"/>
      <c r="I44" s="647">
        <f>I32/I38</f>
        <v>1.2443503753562835</v>
      </c>
      <c r="J44" s="647"/>
      <c r="K44" s="647">
        <f>K32/K38</f>
        <v>1.2681706800584354</v>
      </c>
      <c r="L44" s="647"/>
      <c r="M44" s="647">
        <f>M32/M38</f>
        <v>1.2922944021356824</v>
      </c>
      <c r="N44" s="647"/>
      <c r="O44" s="647">
        <f>O32/O38</f>
        <v>1.3167188825051634</v>
      </c>
      <c r="P44" s="647"/>
      <c r="Q44" s="647">
        <f>Q32/Q38</f>
        <v>1.3414410366216682</v>
      </c>
      <c r="R44" s="647"/>
      <c r="S44" s="647">
        <f>S32/S38</f>
        <v>1.3664573312680464</v>
      </c>
      <c r="T44" s="647"/>
      <c r="U44" s="647">
        <f>U32/U38</f>
        <v>1.3917637603251611</v>
      </c>
      <c r="V44" s="647"/>
      <c r="W44" s="647">
        <f>W32/W38</f>
        <v>1.4173558194804394</v>
      </c>
      <c r="X44" s="647"/>
      <c r="Y44" s="647">
        <f>Y32/Y38</f>
        <v>1.4432284798325574</v>
      </c>
      <c r="Z44" s="647"/>
      <c r="AA44" s="647">
        <f>AA32/AA38</f>
        <v>1.4693761603481406</v>
      </c>
      <c r="AB44" s="647"/>
      <c r="AC44" s="647">
        <f>AC32/AC38</f>
        <v>1.4957926991246946</v>
      </c>
      <c r="AD44" s="647"/>
      <c r="AE44" s="647">
        <f>AE32/AE38</f>
        <v>1.5224713234122438</v>
      </c>
      <c r="AF44" s="647"/>
      <c r="AG44" s="647">
        <f>AG32/AG38</f>
        <v>1.5494046183443324</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18600</v>
      </c>
      <c r="F47" s="626"/>
      <c r="G47" s="626">
        <v>18600</v>
      </c>
      <c r="H47" s="626"/>
      <c r="I47" s="626">
        <v>18600</v>
      </c>
      <c r="J47" s="626"/>
      <c r="K47" s="626">
        <v>18600</v>
      </c>
      <c r="L47" s="626"/>
      <c r="M47" s="626">
        <v>18600</v>
      </c>
      <c r="N47" s="626"/>
      <c r="O47" s="626">
        <v>18600</v>
      </c>
      <c r="P47" s="626"/>
      <c r="Q47" s="626">
        <v>18600</v>
      </c>
      <c r="R47" s="626"/>
      <c r="S47" s="626">
        <v>18600</v>
      </c>
      <c r="T47" s="626"/>
      <c r="U47" s="626">
        <v>18600</v>
      </c>
      <c r="V47" s="626"/>
      <c r="W47" s="626">
        <v>18600</v>
      </c>
      <c r="X47" s="626"/>
      <c r="Y47" s="626">
        <v>18600</v>
      </c>
      <c r="Z47" s="626"/>
      <c r="AA47" s="626">
        <v>18600</v>
      </c>
      <c r="AB47" s="626"/>
      <c r="AC47" s="626">
        <v>18600</v>
      </c>
      <c r="AD47" s="626"/>
      <c r="AE47" s="626">
        <v>18600</v>
      </c>
      <c r="AF47" s="626"/>
      <c r="AG47" s="626">
        <v>18600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23600</v>
      </c>
      <c r="F52" s="635"/>
      <c r="G52" s="635">
        <f>SUM(G47:G51)</f>
        <v>23600</v>
      </c>
      <c r="H52" s="635"/>
      <c r="I52" s="635">
        <f>SUM(I47:I51)</f>
        <v>23600</v>
      </c>
      <c r="J52" s="635"/>
      <c r="K52" s="635">
        <f>SUM(K47:K51)</f>
        <v>23600</v>
      </c>
      <c r="L52" s="635"/>
      <c r="M52" s="635">
        <f>SUM(M47:M51)</f>
        <v>23600</v>
      </c>
      <c r="N52" s="635"/>
      <c r="O52" s="635">
        <f>SUM(O47:O51)</f>
        <v>23600</v>
      </c>
      <c r="P52" s="635"/>
      <c r="Q52" s="635">
        <f>SUM(Q47:Q51)</f>
        <v>23600</v>
      </c>
      <c r="R52" s="635"/>
      <c r="S52" s="635">
        <f>SUM(S47:S51)</f>
        <v>23600</v>
      </c>
      <c r="T52" s="635"/>
      <c r="U52" s="635">
        <f>SUM(U47:U51)</f>
        <v>23600</v>
      </c>
      <c r="V52" s="635"/>
      <c r="W52" s="635">
        <f>SUM(W47:W51)</f>
        <v>23600</v>
      </c>
      <c r="X52" s="635"/>
      <c r="Y52" s="635">
        <f>SUM(Y47:Y51)</f>
        <v>23600</v>
      </c>
      <c r="Z52" s="635"/>
      <c r="AA52" s="635">
        <f>SUM(AA47:AA51)</f>
        <v>23600</v>
      </c>
      <c r="AB52" s="635"/>
      <c r="AC52" s="635">
        <f>SUM(AC47:AC51)</f>
        <v>23600</v>
      </c>
      <c r="AD52" s="635"/>
      <c r="AE52" s="635">
        <f>SUM(AE47:AE51)</f>
        <v>23600</v>
      </c>
      <c r="AF52" s="635"/>
      <c r="AG52" s="635">
        <f>SUM(AG47:AG51)</f>
        <v>23600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200219.20000000019</v>
      </c>
      <c r="F54" s="626"/>
      <c r="G54" s="626">
        <f>G40-G52</f>
        <v>226501.7799999998</v>
      </c>
      <c r="H54" s="626"/>
      <c r="I54" s="626">
        <f>I40-I52</f>
        <v>253132.66449999949</v>
      </c>
      <c r="J54" s="626"/>
      <c r="K54" s="626">
        <f>K40-K52</f>
        <v>280109.73126249947</v>
      </c>
      <c r="L54" s="626"/>
      <c r="M54" s="626">
        <f>M40-M52</f>
        <v>307430.42548431153</v>
      </c>
      <c r="N54" s="626"/>
      <c r="O54" s="626">
        <f>O40-O52</f>
        <v>335091.73569027777</v>
      </c>
      <c r="P54" s="626"/>
      <c r="Q54" s="626">
        <f>Q40-Q52</f>
        <v>363090.16855891817</v>
      </c>
      <c r="R54" s="626"/>
      <c r="S54" s="626">
        <f>S40-S52</f>
        <v>391421.72263701283</v>
      </c>
      <c r="T54" s="626"/>
      <c r="U54" s="626">
        <f>U40-U52</f>
        <v>420081.86089849286</v>
      </c>
      <c r="V54" s="626"/>
      <c r="W54" s="626">
        <f>W40-W52</f>
        <v>449065.48210126511</v>
      </c>
      <c r="X54" s="626"/>
      <c r="Y54" s="626">
        <f>Y40-Y52</f>
        <v>478366.89089388726</v>
      </c>
      <c r="Z54" s="626"/>
      <c r="AA54" s="626">
        <f>AA40-AA52</f>
        <v>507979.76662211749</v>
      </c>
      <c r="AB54" s="626"/>
      <c r="AC54" s="626">
        <f>AC40-AC52</f>
        <v>537897.13078349573</v>
      </c>
      <c r="AD54" s="626"/>
      <c r="AE54" s="626">
        <f>AE40-AE52</f>
        <v>568111.31307612802</v>
      </c>
      <c r="AF54" s="626"/>
      <c r="AG54" s="626">
        <f>AG40-AG52</f>
        <v>598613.91598579683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2</v>
      </c>
      <c r="C4" s="989">
        <f>Application!$K691</f>
        <v>525</v>
      </c>
      <c r="D4" s="990"/>
      <c r="E4" s="774"/>
      <c r="F4" s="991">
        <f>$E4*$B4</f>
        <v>0</v>
      </c>
      <c r="G4" s="992"/>
      <c r="H4" s="989">
        <f>IF($E4=0,0,MAX($E4-$C4,0))</f>
        <v>0</v>
      </c>
      <c r="I4" s="991">
        <f>IF($H4=0,0,($H4*$B4))</f>
        <v>0</v>
      </c>
    </row>
    <row r="5" spans="1:9">
      <c r="A5" s="989" t="str">
        <f>Application!$B692</f>
        <v>SRO/Studio</v>
      </c>
      <c r="B5" s="997">
        <f>Application!$G692</f>
        <v>3</v>
      </c>
      <c r="C5" s="989">
        <f>Application!$K692</f>
        <v>715</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10</v>
      </c>
      <c r="C6" s="989">
        <f>Application!$K693</f>
        <v>904</v>
      </c>
      <c r="D6" s="990"/>
      <c r="E6" s="774"/>
      <c r="F6" s="991">
        <f t="shared" si="0"/>
        <v>0</v>
      </c>
      <c r="G6" s="992"/>
      <c r="H6" s="989">
        <f t="shared" si="1"/>
        <v>0</v>
      </c>
      <c r="I6" s="991">
        <f t="shared" si="2"/>
        <v>0</v>
      </c>
    </row>
    <row r="7" spans="1:9">
      <c r="A7" s="989" t="str">
        <f>Application!$B694</f>
        <v>SRO/Studio</v>
      </c>
      <c r="B7" s="997">
        <f>Application!$G694</f>
        <v>9</v>
      </c>
      <c r="C7" s="989">
        <f>Application!$K694</f>
        <v>1094</v>
      </c>
      <c r="D7" s="990"/>
      <c r="E7" s="774"/>
      <c r="F7" s="991">
        <f t="shared" si="0"/>
        <v>0</v>
      </c>
      <c r="G7" s="992"/>
      <c r="H7" s="989">
        <f t="shared" si="1"/>
        <v>0</v>
      </c>
      <c r="I7" s="991">
        <f t="shared" si="2"/>
        <v>0</v>
      </c>
    </row>
    <row r="8" spans="1:9">
      <c r="A8" s="989" t="str">
        <f>Application!$B695</f>
        <v>1 Bedroom</v>
      </c>
      <c r="B8" s="997">
        <f>Application!$G695</f>
        <v>7</v>
      </c>
      <c r="C8" s="989">
        <f>Application!$K695</f>
        <v>557</v>
      </c>
      <c r="D8" s="990"/>
      <c r="E8" s="774"/>
      <c r="F8" s="991">
        <f t="shared" si="0"/>
        <v>0</v>
      </c>
      <c r="G8" s="992"/>
      <c r="H8" s="989">
        <f t="shared" si="1"/>
        <v>0</v>
      </c>
      <c r="I8" s="991">
        <f t="shared" si="2"/>
        <v>0</v>
      </c>
    </row>
    <row r="9" spans="1:9">
      <c r="A9" s="989" t="str">
        <f>Application!$B696</f>
        <v>1 Bedroom</v>
      </c>
      <c r="B9" s="997">
        <f>Application!$G696</f>
        <v>11</v>
      </c>
      <c r="C9" s="989">
        <f>Application!$K696</f>
        <v>761</v>
      </c>
      <c r="D9" s="990"/>
      <c r="E9" s="774"/>
      <c r="F9" s="991">
        <f t="shared" si="0"/>
        <v>0</v>
      </c>
      <c r="G9" s="992"/>
      <c r="H9" s="989">
        <f t="shared" si="1"/>
        <v>0</v>
      </c>
      <c r="I9" s="991">
        <f t="shared" si="2"/>
        <v>0</v>
      </c>
    </row>
    <row r="10" spans="1:9">
      <c r="A10" s="989" t="str">
        <f>Application!$B697</f>
        <v>1 Bedroom</v>
      </c>
      <c r="B10" s="997">
        <f>Application!$G697</f>
        <v>27</v>
      </c>
      <c r="C10" s="989">
        <f>Application!$K697</f>
        <v>964</v>
      </c>
      <c r="D10" s="990"/>
      <c r="E10" s="774"/>
      <c r="F10" s="991">
        <f t="shared" si="0"/>
        <v>0</v>
      </c>
      <c r="G10" s="992"/>
      <c r="H10" s="989">
        <f t="shared" si="1"/>
        <v>0</v>
      </c>
      <c r="I10" s="991">
        <f t="shared" si="2"/>
        <v>0</v>
      </c>
    </row>
    <row r="11" spans="1:9">
      <c r="A11" s="989" t="str">
        <f>Application!$B698</f>
        <v>1 Bedroom</v>
      </c>
      <c r="B11" s="997">
        <f>Application!$G698</f>
        <v>21</v>
      </c>
      <c r="C11" s="989">
        <f>Application!$K698</f>
        <v>1167</v>
      </c>
      <c r="D11" s="990"/>
      <c r="E11" s="774"/>
      <c r="F11" s="991">
        <f t="shared" si="0"/>
        <v>0</v>
      </c>
      <c r="G11" s="992"/>
      <c r="H11" s="989">
        <f t="shared" si="1"/>
        <v>0</v>
      </c>
      <c r="I11" s="991">
        <f t="shared" si="2"/>
        <v>0</v>
      </c>
    </row>
    <row r="12" spans="1:9">
      <c r="A12" s="989" t="str">
        <f>Application!$B699</f>
        <v>2 Bedrooms</v>
      </c>
      <c r="B12" s="997">
        <f>Application!$G699</f>
        <v>5</v>
      </c>
      <c r="C12" s="989">
        <f>Application!$K699</f>
        <v>659</v>
      </c>
      <c r="D12" s="990"/>
      <c r="E12" s="774"/>
      <c r="F12" s="991">
        <f t="shared" si="0"/>
        <v>0</v>
      </c>
      <c r="G12" s="992"/>
      <c r="H12" s="989">
        <f t="shared" si="1"/>
        <v>0</v>
      </c>
      <c r="I12" s="991">
        <f t="shared" si="2"/>
        <v>0</v>
      </c>
    </row>
    <row r="13" spans="1:9">
      <c r="A13" s="989" t="str">
        <f>Application!$B700</f>
        <v>2 Bedrooms</v>
      </c>
      <c r="B13" s="997">
        <f>Application!$G700</f>
        <v>7</v>
      </c>
      <c r="C13" s="989">
        <f>Application!$K700</f>
        <v>903</v>
      </c>
      <c r="D13" s="990"/>
      <c r="E13" s="774"/>
      <c r="F13" s="991">
        <f t="shared" si="0"/>
        <v>0</v>
      </c>
      <c r="G13" s="992"/>
      <c r="H13" s="989">
        <f t="shared" si="1"/>
        <v>0</v>
      </c>
      <c r="I13" s="991">
        <f t="shared" si="2"/>
        <v>0</v>
      </c>
    </row>
    <row r="14" spans="1:9">
      <c r="A14" s="989" t="str">
        <f>Application!$B701</f>
        <v>2 Bedrooms</v>
      </c>
      <c r="B14" s="997">
        <f>Application!$G701</f>
        <v>19</v>
      </c>
      <c r="C14" s="989">
        <f>Application!$K701</f>
        <v>1146</v>
      </c>
      <c r="D14" s="990"/>
      <c r="E14" s="774"/>
      <c r="F14" s="991">
        <f t="shared" si="0"/>
        <v>0</v>
      </c>
      <c r="G14" s="992"/>
      <c r="H14" s="989">
        <f t="shared" si="1"/>
        <v>0</v>
      </c>
      <c r="I14" s="991">
        <f t="shared" si="2"/>
        <v>0</v>
      </c>
    </row>
    <row r="15" spans="1:9">
      <c r="A15" s="989" t="str">
        <f>Application!$B702</f>
        <v>2 Bedrooms</v>
      </c>
      <c r="B15" s="997">
        <f>Application!$G702</f>
        <v>17</v>
      </c>
      <c r="C15" s="989">
        <f>Application!$K702</f>
        <v>1390</v>
      </c>
      <c r="D15" s="990"/>
      <c r="E15" s="774"/>
      <c r="F15" s="991">
        <f t="shared" si="0"/>
        <v>0</v>
      </c>
      <c r="G15" s="992"/>
      <c r="H15" s="989">
        <f t="shared" si="1"/>
        <v>0</v>
      </c>
      <c r="I15" s="991">
        <f t="shared" si="2"/>
        <v>0</v>
      </c>
    </row>
    <row r="16" spans="1:9">
      <c r="A16" s="989" t="str">
        <f>Application!$B703</f>
        <v>3 Bedrooms</v>
      </c>
      <c r="B16" s="997">
        <f>Application!$G703</f>
        <v>5</v>
      </c>
      <c r="C16" s="989">
        <f>Application!$K703</f>
        <v>752</v>
      </c>
      <c r="D16" s="990"/>
      <c r="E16" s="774"/>
      <c r="F16" s="991">
        <f t="shared" si="0"/>
        <v>0</v>
      </c>
      <c r="G16" s="992"/>
      <c r="H16" s="989">
        <f t="shared" si="1"/>
        <v>0</v>
      </c>
      <c r="I16" s="991">
        <f t="shared" si="2"/>
        <v>0</v>
      </c>
    </row>
    <row r="17" spans="1:9">
      <c r="A17" s="989" t="str">
        <f>Application!$B704</f>
        <v>3 Bedrooms</v>
      </c>
      <c r="B17" s="997">
        <f>Application!$G704</f>
        <v>7</v>
      </c>
      <c r="C17" s="989">
        <f>Application!$K704</f>
        <v>1034</v>
      </c>
      <c r="D17" s="990"/>
      <c r="E17" s="774"/>
      <c r="F17" s="991">
        <f t="shared" si="0"/>
        <v>0</v>
      </c>
      <c r="G17" s="992"/>
      <c r="H17" s="989">
        <f t="shared" si="1"/>
        <v>0</v>
      </c>
      <c r="I17" s="991">
        <f t="shared" si="2"/>
        <v>0</v>
      </c>
    </row>
    <row r="18" spans="1:9">
      <c r="A18" s="989" t="str">
        <f>Application!$B705</f>
        <v>3 Bedrooms</v>
      </c>
      <c r="B18" s="997">
        <f>Application!$G705</f>
        <v>19</v>
      </c>
      <c r="C18" s="989">
        <f>Application!$K705</f>
        <v>1316</v>
      </c>
      <c r="D18" s="990"/>
      <c r="E18" s="774"/>
      <c r="F18" s="991">
        <f t="shared" si="0"/>
        <v>0</v>
      </c>
      <c r="G18" s="992"/>
      <c r="H18" s="989">
        <f t="shared" si="1"/>
        <v>0</v>
      </c>
      <c r="I18" s="991">
        <f t="shared" si="2"/>
        <v>0</v>
      </c>
    </row>
    <row r="19" spans="1:9">
      <c r="A19" s="989" t="str">
        <f>Application!$B706</f>
        <v>3 Bedrooms</v>
      </c>
      <c r="B19" s="997">
        <f>Application!$G706</f>
        <v>15</v>
      </c>
      <c r="C19" s="989">
        <f>Application!$K706</f>
        <v>1597</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2398356</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54581990</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0</v>
      </c>
      <c r="AJ21" s="1767"/>
      <c r="AK21" s="1767"/>
      <c r="AL21" s="1767"/>
      <c r="AM21" s="1767"/>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9">
      <c r="A23" s="2"/>
      <c r="B23" s="2180" t="s">
        <v>853</v>
      </c>
      <c r="C23" s="2181"/>
      <c r="D23" s="2181"/>
      <c r="E23" s="2181"/>
      <c r="F23" s="2181"/>
      <c r="G23" s="2181"/>
      <c r="H23" s="2181"/>
      <c r="I23" s="2181"/>
      <c r="J23" s="2181"/>
      <c r="K23" s="2181"/>
      <c r="L23" s="2181"/>
      <c r="M23" s="2181"/>
      <c r="N23" s="2181"/>
      <c r="O23" s="2181"/>
      <c r="P23" s="2181"/>
      <c r="Q23" s="2181"/>
      <c r="R23" s="2181"/>
      <c r="S23" s="2182"/>
      <c r="T23" s="2114">
        <f>T11+T22</f>
        <v>54581990</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65377631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54581990</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54581990</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54581990</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54581990</v>
      </c>
      <c r="Z38" s="2115"/>
      <c r="AA38" s="2115"/>
      <c r="AB38" s="2115"/>
      <c r="AC38" s="2115"/>
      <c r="AD38" s="2115">
        <f>IF(T24&gt;=(T23+Y23+AD23+AI23),AD28+AI28,0)</f>
        <v>0</v>
      </c>
      <c r="AE38" s="2115"/>
      <c r="AF38" s="2115"/>
      <c r="AG38" s="2115"/>
      <c r="AH38" s="2115"/>
    </row>
    <row r="39" spans="1:40" ht="12.9">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4912379</v>
      </c>
      <c r="Z40" s="2115"/>
      <c r="AA40" s="2115"/>
      <c r="AB40" s="2115"/>
      <c r="AC40" s="2115"/>
      <c r="AD40" s="2114">
        <f>ROUND(AD38*AD39,0)</f>
        <v>0</v>
      </c>
      <c r="AE40" s="2115"/>
      <c r="AF40" s="2115"/>
      <c r="AG40" s="2115"/>
      <c r="AH40" s="2115"/>
    </row>
    <row r="41" spans="1:40"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2500000</v>
      </c>
      <c r="Z41" s="2117"/>
      <c r="AA41" s="2117"/>
      <c r="AB41" s="2117"/>
      <c r="AC41" s="2117"/>
      <c r="AD41" s="2117"/>
      <c r="AE41" s="2117"/>
      <c r="AF41" s="2117"/>
      <c r="AG41" s="2117"/>
      <c r="AH41" s="2118"/>
    </row>
    <row r="42" spans="1:40" ht="12.8"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0">
        <f>'Sources and Uses Budget'!B104-'Sources and Uses Budget'!$B$15</f>
        <v>61349835</v>
      </c>
      <c r="AC46" s="2111"/>
      <c r="AD46" s="2111"/>
      <c r="AE46" s="2111"/>
      <c r="AF46" s="2112"/>
    </row>
    <row r="47" spans="1:40" ht="12.8" customHeight="1">
      <c r="D47" s="6" t="s">
        <v>928</v>
      </c>
      <c r="AB47" s="2110">
        <f>Application!AG629-MIN('Sources and Uses Budget'!B15,Application!AG390)</f>
        <v>24280000</v>
      </c>
      <c r="AC47" s="2111"/>
      <c r="AD47" s="2111"/>
      <c r="AE47" s="2111"/>
      <c r="AF47" s="2112"/>
    </row>
    <row r="48" spans="1:40" ht="12.9">
      <c r="D48" s="6" t="s">
        <v>428</v>
      </c>
      <c r="AB48" s="2110">
        <f>AB46-AB47</f>
        <v>37069835</v>
      </c>
      <c r="AC48" s="2111"/>
      <c r="AD48" s="2111"/>
      <c r="AE48" s="2111"/>
      <c r="AF48" s="2112"/>
    </row>
    <row r="49" spans="1:40" ht="12.9">
      <c r="D49" s="6" t="s">
        <v>967</v>
      </c>
      <c r="X49" s="2"/>
      <c r="Y49" s="2"/>
      <c r="Z49" s="2"/>
      <c r="AA49" s="427"/>
      <c r="AB49" s="2129"/>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0</v>
      </c>
      <c r="AC53" s="2111"/>
      <c r="AD53" s="2111"/>
      <c r="AE53" s="2111"/>
      <c r="AF53" s="2112"/>
    </row>
    <row r="54" spans="1:40" ht="12.8" customHeight="1">
      <c r="D54" s="6" t="s">
        <v>628</v>
      </c>
      <c r="AB54" s="2110">
        <f>(AB53/10)</f>
        <v>0</v>
      </c>
      <c r="AC54" s="2111"/>
      <c r="AD54" s="2111"/>
      <c r="AE54" s="2111"/>
      <c r="AF54" s="2112"/>
    </row>
    <row r="55" spans="1:40" ht="12.9">
      <c r="D55" s="6" t="s">
        <v>384</v>
      </c>
      <c r="AB55" s="2137">
        <f>(IF((Y41&lt;AB54),Y41,AB54))</f>
        <v>0</v>
      </c>
      <c r="AC55" s="2138"/>
      <c r="AD55" s="2138"/>
      <c r="AE55" s="2138"/>
      <c r="AF55" s="2139"/>
    </row>
    <row r="56" spans="1:40" ht="12.9">
      <c r="D56" s="6" t="s">
        <v>118</v>
      </c>
      <c r="AB56" s="2110">
        <f>ROUND((10*AB55*AB49),0)</f>
        <v>0</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37069835</v>
      </c>
      <c r="AC58" s="2108"/>
      <c r="AD58" s="2108"/>
      <c r="AE58" s="2108"/>
      <c r="AF58" s="2108"/>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37069835</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54581990</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9">
      <c r="A23" s="2"/>
      <c r="B23" s="2180" t="s">
        <v>853</v>
      </c>
      <c r="C23" s="2181"/>
      <c r="D23" s="2181"/>
      <c r="E23" s="2181"/>
      <c r="F23" s="2181"/>
      <c r="G23" s="2181"/>
      <c r="H23" s="2181"/>
      <c r="I23" s="2181"/>
      <c r="J23" s="2181"/>
      <c r="K23" s="2181"/>
      <c r="L23" s="2181"/>
      <c r="M23" s="2181"/>
      <c r="N23" s="2181"/>
      <c r="O23" s="2181"/>
      <c r="P23" s="2181"/>
      <c r="Q23" s="2181"/>
      <c r="R23" s="2181"/>
      <c r="S23" s="2182"/>
      <c r="T23" s="2114">
        <f>T11+T22</f>
        <v>54581990</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65377631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54581990</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54581990</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54581990</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54581990</v>
      </c>
      <c r="Z38" s="2115"/>
      <c r="AA38" s="2115"/>
      <c r="AB38" s="2115"/>
      <c r="AC38" s="2115"/>
      <c r="AD38" s="2115">
        <f>IF(T24&gt;=(T23+Y23+AD23+AI23),AD28+AI28,0)</f>
        <v>0</v>
      </c>
      <c r="AE38" s="2115"/>
      <c r="AF38" s="2115"/>
      <c r="AG38" s="2115"/>
      <c r="AH38" s="2115"/>
    </row>
    <row r="39" spans="1:40" ht="12.9">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4912379</v>
      </c>
      <c r="Z40" s="2115"/>
      <c r="AA40" s="2115"/>
      <c r="AB40" s="2115"/>
      <c r="AC40" s="2115"/>
      <c r="AD40" s="2114">
        <f>ROUND(AD38*AD39,0)</f>
        <v>0</v>
      </c>
      <c r="AE40" s="2115"/>
      <c r="AF40" s="2115"/>
      <c r="AG40" s="2115"/>
      <c r="AH40" s="2115"/>
    </row>
    <row r="41" spans="1:40"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2500000</v>
      </c>
      <c r="Z41" s="2117"/>
      <c r="AA41" s="2117"/>
      <c r="AB41" s="2117"/>
      <c r="AC41" s="2117"/>
      <c r="AD41" s="2117"/>
      <c r="AE41" s="2117"/>
      <c r="AF41" s="2117"/>
      <c r="AG41" s="2117"/>
      <c r="AH41" s="2118"/>
    </row>
    <row r="42" spans="1:40" ht="12.8"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0">
        <f>'Sources and Uses Budget'!B104-'Sources and Uses Budget'!$B$15</f>
        <v>61349835</v>
      </c>
      <c r="AC46" s="2111"/>
      <c r="AD46" s="2111"/>
      <c r="AE46" s="2111"/>
      <c r="AF46" s="2112"/>
    </row>
    <row r="47" spans="1:40" ht="12.8" customHeight="1">
      <c r="D47" s="6" t="s">
        <v>928</v>
      </c>
      <c r="AB47" s="2110">
        <f>Application!AG629-MIN('Sources and Uses Budget'!B15,Application!AG390)</f>
        <v>24280000</v>
      </c>
      <c r="AC47" s="2111"/>
      <c r="AD47" s="2111"/>
      <c r="AE47" s="2111"/>
      <c r="AF47" s="2112"/>
    </row>
    <row r="48" spans="1:40" ht="12.9">
      <c r="D48" s="6" t="s">
        <v>428</v>
      </c>
      <c r="AB48" s="2110">
        <f>AB46-AB47</f>
        <v>37069835</v>
      </c>
      <c r="AC48" s="2111"/>
      <c r="AD48" s="2111"/>
      <c r="AE48" s="2111"/>
      <c r="AF48" s="2112"/>
    </row>
    <row r="49" spans="1:40" ht="12.9">
      <c r="D49" s="6" t="s">
        <v>967</v>
      </c>
      <c r="X49" s="2"/>
      <c r="Y49" s="2"/>
      <c r="Z49" s="2"/>
      <c r="AA49" s="427"/>
      <c r="AB49" s="2129"/>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0</v>
      </c>
      <c r="AC53" s="2111"/>
      <c r="AD53" s="2111"/>
      <c r="AE53" s="2111"/>
      <c r="AF53" s="2112"/>
    </row>
    <row r="54" spans="1:40" ht="12.8" customHeight="1">
      <c r="D54" s="6" t="s">
        <v>628</v>
      </c>
      <c r="AB54" s="2110">
        <f>(AB53/10)</f>
        <v>0</v>
      </c>
      <c r="AC54" s="2111"/>
      <c r="AD54" s="2111"/>
      <c r="AE54" s="2111"/>
      <c r="AF54" s="2112"/>
    </row>
    <row r="55" spans="1:40" ht="12.9">
      <c r="D55" s="6" t="s">
        <v>384</v>
      </c>
      <c r="AB55" s="2137">
        <f>(IF((Y41&lt;AB54),Y41,AB54))</f>
        <v>0</v>
      </c>
      <c r="AC55" s="2138"/>
      <c r="AD55" s="2138"/>
      <c r="AE55" s="2138"/>
      <c r="AF55" s="2139"/>
    </row>
    <row r="56" spans="1:40" ht="12.9">
      <c r="D56" s="6" t="s">
        <v>118</v>
      </c>
      <c r="AB56" s="2110">
        <f>ROUND((10*AB55*AB49),0)</f>
        <v>0</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37069835</v>
      </c>
      <c r="AC58" s="2108"/>
      <c r="AD58" s="2108"/>
      <c r="AE58" s="2108"/>
      <c r="AF58" s="2108"/>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37069835</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5580000</v>
      </c>
      <c r="C5" s="544">
        <f>'Sources and Uses Budget'!C4</f>
        <v>5580000</v>
      </c>
      <c r="D5" s="544">
        <f>'Sources and Uses Budget'!C4</f>
        <v>5580000</v>
      </c>
      <c r="E5" s="547">
        <f>C5-B5</f>
        <v>0</v>
      </c>
      <c r="F5" s="545"/>
      <c r="G5" s="545"/>
    </row>
    <row r="6" spans="1:7" s="952" customFormat="1" ht="12.9">
      <c r="A6" s="546" t="s">
        <v>1073</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5585000</v>
      </c>
      <c r="C9" s="547">
        <f>SUM(C5:C8)</f>
        <v>5585000</v>
      </c>
      <c r="D9" s="547">
        <f>SUM(D5:D8)</f>
        <v>5585000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5585000</v>
      </c>
      <c r="C13" s="547">
        <f>SUM(C9+C12)</f>
        <v>5585000</v>
      </c>
      <c r="D13" s="547">
        <f>SUM(D9+D12)</f>
        <v>5585000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1"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4650000</v>
      </c>
      <c r="C29" s="544">
        <f>'Sources and Uses Budget'!C28</f>
        <v>4650000</v>
      </c>
      <c r="D29" s="544">
        <f>'Sources and Uses Budget'!C28</f>
        <v>4650000</v>
      </c>
      <c r="E29" s="547">
        <f t="shared" si="0"/>
        <v>0</v>
      </c>
      <c r="F29" s="545"/>
      <c r="G29" s="545"/>
    </row>
    <row r="30" spans="1:7" s="952" customFormat="1" ht="12.9">
      <c r="A30" s="546" t="s">
        <v>1026</v>
      </c>
      <c r="B30" s="544">
        <f>'Sources and Uses Budget'!C29</f>
        <v>33853850</v>
      </c>
      <c r="C30" s="544">
        <f>'Sources and Uses Budget'!C29</f>
        <v>33853850</v>
      </c>
      <c r="D30" s="544">
        <f>'Sources and Uses Budget'!C29</f>
        <v>33853850</v>
      </c>
      <c r="E30" s="547">
        <f t="shared" si="0"/>
        <v>0</v>
      </c>
      <c r="F30" s="545"/>
      <c r="G30" s="545"/>
    </row>
    <row r="31" spans="1:7" s="952" customFormat="1" ht="12.9">
      <c r="A31" s="546" t="s">
        <v>1027</v>
      </c>
      <c r="B31" s="544">
        <f>'Sources and Uses Budget'!C30</f>
        <v>2310231</v>
      </c>
      <c r="C31" s="544">
        <f>'Sources and Uses Budget'!C30</f>
        <v>2310231</v>
      </c>
      <c r="D31" s="544">
        <f>'Sources and Uses Budget'!C30</f>
        <v>2310231</v>
      </c>
      <c r="E31" s="547">
        <f t="shared" si="0"/>
        <v>0</v>
      </c>
      <c r="F31" s="545"/>
      <c r="G31" s="545"/>
    </row>
    <row r="32" spans="1:7" s="952" customFormat="1" ht="12.9">
      <c r="A32" s="546" t="s">
        <v>1028</v>
      </c>
      <c r="B32" s="544">
        <f>'Sources and Uses Budget'!C31</f>
        <v>770077</v>
      </c>
      <c r="C32" s="544">
        <f>'Sources and Uses Budget'!C31</f>
        <v>770077</v>
      </c>
      <c r="D32" s="544">
        <f>'Sources and Uses Budget'!C31</f>
        <v>770077</v>
      </c>
      <c r="E32" s="547">
        <f t="shared" si="0"/>
        <v>0</v>
      </c>
      <c r="F32" s="545"/>
      <c r="G32" s="545"/>
    </row>
    <row r="33" spans="1:7" s="952" customFormat="1" ht="12.9">
      <c r="A33" s="546" t="s">
        <v>1029</v>
      </c>
      <c r="B33" s="544">
        <f>'Sources and Uses Budget'!C32</f>
        <v>2310231</v>
      </c>
      <c r="C33" s="544">
        <f>'Sources and Uses Budget'!C32</f>
        <v>2310231</v>
      </c>
      <c r="D33" s="544">
        <f>'Sources and Uses Budget'!C32</f>
        <v>2310231</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350000</v>
      </c>
      <c r="C35" s="544">
        <f>'Sources and Uses Budget'!C34</f>
        <v>350000</v>
      </c>
      <c r="D35" s="544">
        <f>'Sources and Uses Budget'!C34</f>
        <v>350000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44244389</v>
      </c>
      <c r="C37" s="547">
        <f>SUM(C29:C36)</f>
        <v>44244389</v>
      </c>
      <c r="D37" s="547">
        <f>SUM(D29:D36)</f>
        <v>44244389</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675000</v>
      </c>
      <c r="C39" s="544">
        <f>'Sources and Uses Budget'!C38</f>
        <v>675000</v>
      </c>
      <c r="D39" s="544">
        <f>'Sources and Uses Budget'!C38</f>
        <v>675000</v>
      </c>
      <c r="E39" s="547">
        <f t="shared" si="0"/>
        <v>0</v>
      </c>
      <c r="F39" s="545"/>
      <c r="G39" s="545"/>
    </row>
    <row r="40" spans="1:7" s="952" customFormat="1" ht="12.9">
      <c r="A40" s="546" t="s">
        <v>1037</v>
      </c>
      <c r="B40" s="544">
        <f>'Sources and Uses Budget'!C39</f>
        <v>75000</v>
      </c>
      <c r="C40" s="544">
        <f>'Sources and Uses Budget'!C39</f>
        <v>75000</v>
      </c>
      <c r="D40" s="544">
        <f>'Sources and Uses Budget'!C39</f>
        <v>75000</v>
      </c>
      <c r="E40" s="547">
        <f t="shared" si="0"/>
        <v>0</v>
      </c>
      <c r="F40" s="545"/>
      <c r="G40" s="545"/>
    </row>
    <row r="41" spans="1:7" s="952" customFormat="1" ht="12.9">
      <c r="A41" s="548" t="s">
        <v>1038</v>
      </c>
      <c r="B41" s="547">
        <f>SUM(B39:B40)</f>
        <v>750000</v>
      </c>
      <c r="C41" s="547">
        <f>SUM(C39:C40)</f>
        <v>750000</v>
      </c>
      <c r="D41" s="547">
        <f>SUM(D39:D40)</f>
        <v>750000</v>
      </c>
      <c r="E41" s="547">
        <f t="shared" si="0"/>
        <v>0</v>
      </c>
      <c r="F41" s="545"/>
      <c r="G41" s="545"/>
    </row>
    <row r="42" spans="1:7" s="952" customFormat="1" ht="12.9">
      <c r="A42" s="548" t="s">
        <v>1039</v>
      </c>
      <c r="B42" s="544">
        <f>'Sources and Uses Budget'!C41</f>
        <v>245000</v>
      </c>
      <c r="C42" s="544">
        <f>'Sources and Uses Budget'!C41</f>
        <v>245000</v>
      </c>
      <c r="D42" s="544">
        <f>'Sources and Uses Budget'!C41</f>
        <v>245000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1500000</v>
      </c>
      <c r="C44" s="544">
        <f>'Sources and Uses Budget'!C43</f>
        <v>1500000</v>
      </c>
      <c r="D44" s="544">
        <f>'Sources and Uses Budget'!C43</f>
        <v>1500000</v>
      </c>
      <c r="E44" s="547">
        <f t="shared" si="0"/>
        <v>0</v>
      </c>
      <c r="F44" s="545"/>
      <c r="G44" s="545"/>
    </row>
    <row r="45" spans="1:7" s="952" customFormat="1" ht="12.9">
      <c r="A45" s="546" t="s">
        <v>1042</v>
      </c>
      <c r="B45" s="544">
        <f>'Sources and Uses Budget'!C44</f>
        <v>500000</v>
      </c>
      <c r="C45" s="544">
        <f>'Sources and Uses Budget'!C44</f>
        <v>500000</v>
      </c>
      <c r="D45" s="544">
        <f>'Sources and Uses Budget'!C44</f>
        <v>500000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341400</v>
      </c>
      <c r="C50" s="544">
        <f>'Sources and Uses Budget'!C49</f>
        <v>341400</v>
      </c>
      <c r="D50" s="544">
        <f>'Sources and Uses Budget'!C49</f>
        <v>341400</v>
      </c>
      <c r="E50" s="547">
        <f t="shared" si="0"/>
        <v>0</v>
      </c>
      <c r="F50" s="545"/>
      <c r="G50" s="545"/>
    </row>
    <row r="51" spans="1:7" s="952" customFormat="1" ht="12.9">
      <c r="A51" s="549" t="s">
        <v>600</v>
      </c>
      <c r="B51" s="544">
        <f>'Sources and Uses Budget'!C50</f>
        <v>100000</v>
      </c>
      <c r="C51" s="544">
        <f>'Sources and Uses Budget'!C50</f>
        <v>100000</v>
      </c>
      <c r="D51" s="544">
        <f>'Sources and Uses Budget'!C50</f>
        <v>100000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2501400</v>
      </c>
      <c r="C53" s="550">
        <f>SUM(C44:C52)</f>
        <v>2501400</v>
      </c>
      <c r="D53" s="550">
        <f>SUM(D44:D52)</f>
        <v>2501400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187000</v>
      </c>
      <c r="C55" s="544">
        <f>'Sources and Uses Budget'!C54</f>
        <v>187000</v>
      </c>
      <c r="D55" s="544">
        <f>'Sources and Uses Budget'!C54</f>
        <v>187000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212000</v>
      </c>
      <c r="C62" s="547">
        <f>SUM(C55:C61)</f>
        <v>212000</v>
      </c>
      <c r="D62" s="547">
        <f>SUM(D55:D61)</f>
        <v>212000</v>
      </c>
      <c r="E62" s="547">
        <f t="shared" si="0"/>
        <v>0</v>
      </c>
      <c r="F62" s="545"/>
      <c r="G62" s="545"/>
    </row>
    <row r="63" spans="1:7" s="952" customFormat="1" ht="13.45">
      <c r="A63" s="551" t="s">
        <v>555</v>
      </c>
      <c r="B63" s="547">
        <f>SUM(B9+B12+B14+B15+B16+B26+B27+B37+B41+B42+B53+B62)</f>
        <v>53537789</v>
      </c>
      <c r="C63" s="547">
        <f>SUM(C9+C12+C14+C15+C16+C26+C27+C37+C41+C42+C53+C62)</f>
        <v>53537789</v>
      </c>
      <c r="D63" s="547">
        <f>SUM(D9+D12+D14+D15+D16+D26+D27+D37+D41+D42+D53+D62)</f>
        <v>53537789</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520281</v>
      </c>
      <c r="C72" s="544">
        <f>'Sources and Uses Budget'!C71</f>
        <v>520281</v>
      </c>
      <c r="D72" s="544">
        <f>'Sources and Uses Budget'!C71</f>
        <v>520281</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640281</v>
      </c>
      <c r="C74" s="547">
        <f>SUM(C69:C73)</f>
        <v>640281</v>
      </c>
      <c r="D74" s="547">
        <f>SUM(D69:D73)</f>
        <v>640281</v>
      </c>
      <c r="E74" s="547">
        <f t="shared" ref="E74:E105" si="1">C74-B74</f>
        <v>0</v>
      </c>
      <c r="F74" s="545"/>
      <c r="G74" s="545"/>
    </row>
    <row r="75" spans="1:7" s="952" customFormat="1" ht="13.45">
      <c r="A75" s="542" t="s">
        <v>2025</v>
      </c>
      <c r="B75" s="542"/>
      <c r="C75" s="542"/>
      <c r="D75" s="542"/>
      <c r="E75" s="542"/>
      <c r="F75" s="542"/>
      <c r="G75" s="542"/>
    </row>
    <row r="76" spans="1:7" s="952" customFormat="1" ht="12.9">
      <c r="A76" s="1171" t="s">
        <v>2023</v>
      </c>
      <c r="B76" s="544">
        <f>'Sources and Uses Budget'!C75</f>
        <v>2200000</v>
      </c>
      <c r="C76" s="544">
        <f>'Sources and Uses Budget'!C75</f>
        <v>2200000</v>
      </c>
      <c r="D76" s="544">
        <f>'Sources and Uses Budget'!C75</f>
        <v>2200000</v>
      </c>
      <c r="E76" s="547">
        <f t="shared" si="1"/>
        <v>0</v>
      </c>
      <c r="F76" s="545"/>
      <c r="G76" s="545"/>
    </row>
    <row r="77" spans="1:7" s="952" customFormat="1" ht="12.9">
      <c r="A77" s="1171" t="s">
        <v>605</v>
      </c>
      <c r="B77" s="544">
        <f>'Sources and Uses Budget'!C76</f>
        <v>500000</v>
      </c>
      <c r="C77" s="544">
        <f>'Sources and Uses Budget'!C76</f>
        <v>500000</v>
      </c>
      <c r="D77" s="544">
        <f>'Sources and Uses Budget'!C76</f>
        <v>500000</v>
      </c>
      <c r="E77" s="547">
        <f t="shared" ref="E77" si="2">C77-B77</f>
        <v>0</v>
      </c>
      <c r="F77" s="545"/>
      <c r="G77" s="545"/>
    </row>
    <row r="78" spans="1:7" s="952" customFormat="1" ht="12.9">
      <c r="A78" s="548" t="s">
        <v>2024</v>
      </c>
      <c r="B78" s="1173">
        <f>SUM(B76:B77)</f>
        <v>2700000</v>
      </c>
      <c r="C78" s="1173">
        <f>SUM(C76:C77)</f>
        <v>2700000</v>
      </c>
      <c r="D78" s="1173">
        <f>SUM(D76:D77)</f>
        <v>2700000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249875</v>
      </c>
      <c r="C80" s="544">
        <f>'Sources and Uses Budget'!C79</f>
        <v>249875</v>
      </c>
      <c r="D80" s="544">
        <f>'Sources and Uses Budget'!C79</f>
        <v>249875</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1376201</v>
      </c>
      <c r="C82" s="544">
        <f>'Sources and Uses Budget'!C81</f>
        <v>1376201</v>
      </c>
      <c r="D82" s="544">
        <f>'Sources and Uses Budget'!C81</f>
        <v>1376201</v>
      </c>
      <c r="E82" s="547">
        <f t="shared" si="1"/>
        <v>0</v>
      </c>
      <c r="F82" s="545"/>
      <c r="G82" s="545"/>
    </row>
    <row r="83" spans="1:7" s="952" customFormat="1" ht="12.9">
      <c r="A83" s="546" t="s">
        <v>583</v>
      </c>
      <c r="B83" s="544">
        <f>'Sources and Uses Budget'!C82</f>
        <v>430000</v>
      </c>
      <c r="C83" s="544">
        <f>'Sources and Uses Budget'!C82</f>
        <v>430000</v>
      </c>
      <c r="D83" s="544">
        <f>'Sources and Uses Budget'!C82</f>
        <v>430000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80689</v>
      </c>
      <c r="C85" s="544">
        <f>'Sources and Uses Budget'!C84</f>
        <v>80689</v>
      </c>
      <c r="D85" s="544">
        <f>'Sources and Uses Budget'!C84</f>
        <v>80689</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2221765</v>
      </c>
      <c r="C95" s="547">
        <f>SUM(C80:C94)</f>
        <v>2221765</v>
      </c>
      <c r="D95" s="547">
        <f>SUM(D80:D94)</f>
        <v>2221765</v>
      </c>
      <c r="E95" s="547">
        <f t="shared" si="1"/>
        <v>0</v>
      </c>
      <c r="F95" s="545"/>
      <c r="G95" s="545"/>
    </row>
    <row r="96" spans="1:7" s="952" customFormat="1" ht="12.9">
      <c r="A96" s="548" t="s">
        <v>589</v>
      </c>
      <c r="B96" s="547">
        <f>SUM(B63+B67+B74+B78+B95)</f>
        <v>59149835</v>
      </c>
      <c r="C96" s="547">
        <f>SUM(C63+C67+C74+C78+C95)</f>
        <v>59149835</v>
      </c>
      <c r="D96" s="547">
        <f>SUM(D63+D67+D74+D78+D95)</f>
        <v>59149835</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2200000</v>
      </c>
      <c r="C104" s="547">
        <f>SUM(C98:C103)</f>
        <v>2200000</v>
      </c>
      <c r="D104" s="547">
        <f>SUM(D98:D103)</f>
        <v>2200000</v>
      </c>
      <c r="E104" s="547">
        <f t="shared" si="1"/>
        <v>0</v>
      </c>
      <c r="F104" s="545"/>
      <c r="G104" s="545"/>
    </row>
    <row r="105" spans="1:7" s="951" customFormat="1" ht="12.9">
      <c r="A105" s="548" t="s">
        <v>596</v>
      </c>
      <c r="B105" s="550">
        <f>SUM(B96+B104)</f>
        <v>61349835</v>
      </c>
      <c r="C105" s="550">
        <f>SUM(C96+C104)</f>
        <v>61349835</v>
      </c>
      <c r="D105" s="550">
        <f>SUM(D96+D104)</f>
        <v>61349835</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1169</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2194</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546" sqref="B546"/>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16" t="s">
        <v>2198</v>
      </c>
      <c r="B2" s="1516"/>
      <c r="C2" s="1517"/>
      <c r="D2" s="1517"/>
      <c r="E2" s="1517"/>
      <c r="F2" s="1517"/>
      <c r="G2" s="1517"/>
      <c r="I2" s="2" t="s">
        <v>86</v>
      </c>
    </row>
    <row r="3" spans="1:9" ht="12.9">
      <c r="A3" s="310"/>
      <c r="B3" s="310"/>
      <c r="C3" s="13"/>
      <c r="D3" s="13"/>
      <c r="E3" s="13"/>
      <c r="F3" s="13"/>
      <c r="G3" s="743"/>
      <c r="I3" s="343" t="s">
        <v>1576</v>
      </c>
    </row>
    <row r="4" spans="1:9" ht="12.9">
      <c r="A4" s="1518" t="s">
        <v>1178</v>
      </c>
      <c r="B4" s="1518"/>
      <c r="C4" s="1519"/>
      <c r="D4" s="1519"/>
      <c r="E4" s="1519"/>
      <c r="F4" s="1519"/>
      <c r="G4" s="1519"/>
      <c r="I4" s="343" t="s">
        <v>1559</v>
      </c>
    </row>
    <row r="5" spans="1:9" ht="12.9">
      <c r="A5" s="1518" t="s">
        <v>1179</v>
      </c>
      <c r="B5" s="1518"/>
      <c r="C5" s="1519"/>
      <c r="D5" s="1519"/>
      <c r="E5" s="1519"/>
      <c r="F5" s="1519"/>
      <c r="G5" s="1519"/>
      <c r="I5" s="2" t="s">
        <v>136</v>
      </c>
    </row>
    <row r="6" spans="1:9" ht="13.7" customHeight="1">
      <c r="A6" s="14"/>
      <c r="B6" s="14"/>
      <c r="C6" s="14"/>
      <c r="D6" s="294"/>
      <c r="E6" s="294"/>
      <c r="F6" s="294"/>
    </row>
    <row r="7" spans="1:9" ht="12.9">
      <c r="A7" s="1520" t="s">
        <v>1616</v>
      </c>
      <c r="B7" s="1520"/>
      <c r="C7" s="1521"/>
      <c r="D7" s="1521"/>
      <c r="E7" s="1521"/>
      <c r="F7" s="1521"/>
      <c r="G7" s="1521"/>
    </row>
    <row r="8" spans="1:9" ht="12.9">
      <c r="A8" s="1520" t="s">
        <v>1617</v>
      </c>
      <c r="B8" s="1520"/>
      <c r="C8" s="1521"/>
      <c r="D8" s="1521"/>
      <c r="E8" s="1521"/>
      <c r="F8" s="1521"/>
      <c r="G8" s="1521"/>
    </row>
    <row r="9" spans="1:9" ht="12.9">
      <c r="A9" s="313"/>
      <c r="B9" s="313"/>
      <c r="C9" s="310"/>
      <c r="D9" s="310"/>
      <c r="E9" s="310"/>
      <c r="F9" s="310"/>
      <c r="G9" s="424"/>
    </row>
    <row r="10" spans="1:9" ht="12.9">
      <c r="A10" s="1522" t="s">
        <v>1776</v>
      </c>
      <c r="B10" s="1522"/>
      <c r="C10" s="1522"/>
      <c r="D10" s="1522"/>
      <c r="E10" s="1522"/>
      <c r="F10" s="1522"/>
      <c r="G10" s="1522"/>
    </row>
    <row r="11" spans="1:9" ht="12.9">
      <c r="A11" s="432"/>
      <c r="B11" s="432"/>
      <c r="C11" s="14"/>
      <c r="D11" s="294"/>
      <c r="E11" s="294"/>
      <c r="F11" s="294"/>
    </row>
    <row r="12" spans="1:9" ht="13.7" customHeight="1">
      <c r="A12" s="152"/>
      <c r="B12" s="152"/>
      <c r="C12" s="310"/>
      <c r="D12" s="1523" t="s">
        <v>1775</v>
      </c>
      <c r="E12" s="1523"/>
      <c r="F12" s="1523"/>
      <c r="G12" s="1001"/>
    </row>
    <row r="13" spans="1:9" ht="12.9">
      <c r="A13" s="152"/>
      <c r="B13" s="152"/>
      <c r="C13" s="310"/>
      <c r="D13" s="1523"/>
      <c r="E13" s="1523"/>
      <c r="F13" s="1523"/>
      <c r="G13" s="1001"/>
    </row>
    <row r="14" spans="1:9" ht="12.9">
      <c r="A14" s="433"/>
      <c r="B14" s="433"/>
      <c r="C14" s="311"/>
      <c r="D14" s="1482" t="s">
        <v>1603</v>
      </c>
      <c r="E14" s="1482"/>
      <c r="F14" s="1482"/>
      <c r="G14" s="502"/>
    </row>
    <row r="15" spans="1:9" ht="12.9">
      <c r="A15" s="433"/>
      <c r="B15" s="433"/>
      <c r="C15" s="311"/>
      <c r="D15" s="294"/>
      <c r="E15" s="294"/>
      <c r="F15" s="294"/>
    </row>
    <row r="16" spans="1:9" ht="14.55" customHeight="1">
      <c r="A16" s="431"/>
      <c r="B16" s="1000" t="s">
        <v>1559</v>
      </c>
      <c r="C16" s="311"/>
      <c r="D16" s="1485" t="s">
        <v>1558</v>
      </c>
      <c r="E16" s="1485"/>
      <c r="F16" s="1485"/>
      <c r="G16" s="594"/>
    </row>
    <row r="17" spans="1:7" ht="14.55" customHeight="1">
      <c r="A17" s="431"/>
      <c r="B17" s="14"/>
      <c r="C17" s="311"/>
      <c r="D17" s="1485"/>
      <c r="E17" s="1485"/>
      <c r="F17" s="1485"/>
      <c r="G17" s="594"/>
    </row>
    <row r="18" spans="1:7" ht="12.9">
      <c r="A18" s="433"/>
      <c r="B18" s="14"/>
      <c r="C18" s="311"/>
      <c r="D18" s="1485"/>
      <c r="E18" s="1485"/>
      <c r="F18" s="1485"/>
      <c r="G18" s="594"/>
    </row>
    <row r="19" spans="1:7" ht="12.9">
      <c r="A19" s="433"/>
      <c r="B19" s="433"/>
      <c r="C19" s="311"/>
      <c r="D19" s="294"/>
      <c r="E19" s="294"/>
      <c r="F19" s="294"/>
    </row>
    <row r="20" spans="1:7" ht="14">
      <c r="A20" s="431"/>
      <c r="B20" s="1000" t="s">
        <v>1559</v>
      </c>
      <c r="C20" s="14"/>
      <c r="D20" s="1477" t="s">
        <v>1593</v>
      </c>
      <c r="E20" s="1477"/>
      <c r="F20" s="1477"/>
    </row>
    <row r="21" spans="1:7" ht="14">
      <c r="A21" s="431"/>
      <c r="B21" s="431"/>
      <c r="C21" s="14"/>
      <c r="D21" s="299"/>
      <c r="E21" s="294"/>
      <c r="F21" s="294"/>
    </row>
    <row r="22" spans="1:7" ht="14">
      <c r="A22" s="431"/>
      <c r="B22" s="1000" t="s">
        <v>136</v>
      </c>
      <c r="C22" s="14"/>
      <c r="D22" s="1485" t="s">
        <v>1594</v>
      </c>
      <c r="E22" s="1485"/>
      <c r="F22" s="1485"/>
    </row>
    <row r="23" spans="1:7" ht="14">
      <c r="A23" s="431"/>
      <c r="B23" s="431"/>
      <c r="C23" s="14"/>
      <c r="D23" s="1485"/>
      <c r="E23" s="1485"/>
      <c r="F23" s="1485"/>
    </row>
    <row r="24" spans="1:7" ht="14">
      <c r="A24" s="431"/>
      <c r="B24" s="431"/>
      <c r="C24" s="14"/>
      <c r="D24" s="299"/>
      <c r="E24" s="294"/>
      <c r="F24" s="294"/>
    </row>
    <row r="25" spans="1:7" ht="14">
      <c r="A25" s="596"/>
      <c r="B25" s="1000" t="s">
        <v>1559</v>
      </c>
      <c r="D25" s="1510" t="s">
        <v>1596</v>
      </c>
      <c r="E25" s="1511"/>
      <c r="F25" s="1511"/>
    </row>
    <row r="26" spans="1:7" ht="14">
      <c r="A26" s="596"/>
      <c r="B26" s="596"/>
      <c r="D26" s="1511"/>
      <c r="E26" s="1511"/>
      <c r="F26" s="1511"/>
    </row>
    <row r="27" spans="1:7" ht="14">
      <c r="A27" s="596"/>
      <c r="B27" s="596"/>
      <c r="D27" s="1511"/>
      <c r="E27" s="1511"/>
      <c r="F27" s="1511"/>
    </row>
    <row r="28" spans="1:7" ht="14">
      <c r="A28" s="596"/>
      <c r="B28" s="596"/>
      <c r="D28" s="1511"/>
      <c r="E28" s="1511"/>
      <c r="F28" s="1511"/>
    </row>
    <row r="29" spans="1:7" ht="14">
      <c r="A29" s="596"/>
      <c r="B29" s="596"/>
      <c r="D29" s="1511"/>
      <c r="E29" s="1511"/>
      <c r="F29" s="1511"/>
    </row>
    <row r="30" spans="1:7" ht="15.05" customHeight="1">
      <c r="A30" s="596"/>
      <c r="B30" s="596"/>
      <c r="D30" s="1511"/>
      <c r="E30" s="1511"/>
      <c r="F30" s="1511"/>
    </row>
    <row r="31" spans="1:7" ht="14">
      <c r="A31" s="596"/>
      <c r="B31" s="596"/>
      <c r="D31" s="960"/>
      <c r="F31" s="1005"/>
    </row>
    <row r="32" spans="1:7" ht="14.55" customHeight="1">
      <c r="A32" s="596"/>
      <c r="B32" s="1000" t="s">
        <v>136</v>
      </c>
      <c r="D32" s="1513" t="s">
        <v>1595</v>
      </c>
      <c r="E32" s="1513"/>
      <c r="F32" s="1513"/>
    </row>
    <row r="33" spans="1:6" ht="14">
      <c r="A33" s="596"/>
      <c r="B33" s="596"/>
      <c r="D33" s="1513"/>
      <c r="E33" s="1513"/>
      <c r="F33" s="1513"/>
    </row>
    <row r="34" spans="1:6" ht="14">
      <c r="A34" s="431"/>
      <c r="B34" s="431"/>
      <c r="C34" s="14"/>
      <c r="D34" s="1004"/>
      <c r="E34" s="1004"/>
      <c r="F34" s="1004"/>
    </row>
    <row r="35" spans="1:6" ht="14">
      <c r="A35" s="431"/>
      <c r="B35" s="1000" t="s">
        <v>1559</v>
      </c>
      <c r="C35" s="14"/>
      <c r="D35" s="1512" t="s">
        <v>2035</v>
      </c>
      <c r="E35" s="1513"/>
      <c r="F35" s="1513"/>
    </row>
    <row r="36" spans="1:6" ht="14">
      <c r="A36" s="431"/>
      <c r="B36" s="431"/>
      <c r="C36" s="14"/>
      <c r="D36" s="1513"/>
      <c r="E36" s="1513"/>
      <c r="F36" s="1513"/>
    </row>
    <row r="37" spans="1:6" ht="14">
      <c r="A37" s="431"/>
      <c r="B37" s="431"/>
      <c r="C37" s="14"/>
      <c r="D37" s="1513"/>
      <c r="E37" s="1513"/>
      <c r="F37" s="1513"/>
    </row>
    <row r="38" spans="1:6" ht="14">
      <c r="A38" s="431"/>
      <c r="B38" s="431"/>
      <c r="C38" s="14"/>
      <c r="D38" s="1513"/>
      <c r="E38" s="1513"/>
      <c r="F38" s="1513"/>
    </row>
    <row r="39" spans="1:6" ht="14">
      <c r="A39" s="431"/>
      <c r="B39" s="431"/>
      <c r="C39" s="14"/>
      <c r="D39" s="1513"/>
      <c r="E39" s="1513"/>
      <c r="F39" s="1513"/>
    </row>
    <row r="40" spans="1:6" ht="14">
      <c r="A40" s="431"/>
      <c r="B40" s="431"/>
      <c r="C40" s="14"/>
      <c r="D40" s="1513"/>
      <c r="E40" s="1513"/>
      <c r="F40" s="1513"/>
    </row>
    <row r="41" spans="1:6" ht="14">
      <c r="A41" s="431"/>
      <c r="B41" s="431"/>
      <c r="C41" s="14"/>
      <c r="D41" s="1513"/>
      <c r="E41" s="1513"/>
      <c r="F41" s="1513"/>
    </row>
    <row r="42" spans="1:6" ht="14">
      <c r="A42" s="431"/>
      <c r="B42" s="431"/>
      <c r="C42" s="14"/>
      <c r="D42" s="1513"/>
      <c r="E42" s="1513"/>
      <c r="F42" s="1513"/>
    </row>
    <row r="43" spans="1:6" ht="14">
      <c r="A43" s="431"/>
      <c r="B43" s="431"/>
      <c r="C43" s="14"/>
      <c r="D43" s="1007"/>
      <c r="E43" s="1007"/>
      <c r="F43" s="1007"/>
    </row>
    <row r="44" spans="1:6" ht="14.55" customHeight="1">
      <c r="A44" s="431"/>
      <c r="B44" s="1000" t="s">
        <v>136</v>
      </c>
      <c r="C44" s="14"/>
      <c r="D44" s="1513" t="s">
        <v>1639</v>
      </c>
      <c r="E44" s="1513"/>
      <c r="F44" s="1513"/>
    </row>
    <row r="45" spans="1:6" ht="14">
      <c r="A45" s="431"/>
      <c r="B45" s="431"/>
      <c r="C45" s="14"/>
      <c r="D45" s="1513"/>
      <c r="E45" s="1513"/>
      <c r="F45" s="1513"/>
    </row>
    <row r="46" spans="1:6" ht="14">
      <c r="A46" s="431"/>
      <c r="B46" s="431"/>
      <c r="C46" s="14"/>
      <c r="D46" s="1513"/>
      <c r="E46" s="1513"/>
      <c r="F46" s="1513"/>
    </row>
    <row r="47" spans="1:6" ht="14">
      <c r="A47" s="431"/>
      <c r="B47" s="431"/>
      <c r="C47" s="14"/>
      <c r="D47" s="1513"/>
      <c r="E47" s="1513"/>
      <c r="F47" s="1513"/>
    </row>
    <row r="48" spans="1:6" ht="14">
      <c r="A48" s="431"/>
      <c r="B48" s="431"/>
      <c r="C48" s="14"/>
      <c r="D48" s="1513"/>
      <c r="E48" s="1513"/>
      <c r="F48" s="1513"/>
    </row>
    <row r="49" spans="1:6" ht="14">
      <c r="A49" s="431"/>
      <c r="B49" s="431"/>
      <c r="C49" s="14"/>
      <c r="D49" s="421"/>
    </row>
    <row r="50" spans="1:6" ht="14">
      <c r="A50" s="431"/>
      <c r="B50" s="1000" t="s">
        <v>1559</v>
      </c>
      <c r="C50" s="14"/>
      <c r="D50" s="1512" t="s">
        <v>2215</v>
      </c>
      <c r="E50" s="1513"/>
      <c r="F50" s="1513"/>
    </row>
    <row r="51" spans="1:6" ht="14">
      <c r="A51" s="431"/>
      <c r="B51" s="431"/>
      <c r="C51" s="14"/>
      <c r="D51" s="1513"/>
      <c r="E51" s="1513"/>
      <c r="F51" s="1513"/>
    </row>
    <row r="52" spans="1:6" ht="14">
      <c r="A52" s="431"/>
      <c r="B52" s="431"/>
      <c r="C52" s="14"/>
      <c r="D52" s="1513"/>
      <c r="E52" s="1513"/>
      <c r="F52" s="1513"/>
    </row>
    <row r="53" spans="1:6" ht="14">
      <c r="A53" s="431"/>
      <c r="B53" s="431"/>
      <c r="C53" s="14"/>
      <c r="D53" s="1513"/>
      <c r="E53" s="1513"/>
      <c r="F53" s="1513"/>
    </row>
    <row r="54" spans="1:6" ht="14">
      <c r="A54" s="431"/>
      <c r="B54" s="431"/>
      <c r="C54" s="14"/>
      <c r="D54" s="1513"/>
      <c r="E54" s="1513"/>
      <c r="F54" s="1513"/>
    </row>
    <row r="55" spans="1:6" ht="15.05" customHeight="1">
      <c r="A55" s="431"/>
      <c r="B55" s="431"/>
      <c r="C55" s="14"/>
      <c r="D55" s="1513"/>
      <c r="E55" s="1513"/>
      <c r="F55" s="1513"/>
    </row>
    <row r="56" spans="1:6" ht="14">
      <c r="A56" s="431"/>
      <c r="B56" s="431"/>
      <c r="C56" s="14"/>
      <c r="D56" s="2"/>
    </row>
    <row r="57" spans="1:6" ht="14">
      <c r="A57" s="431"/>
      <c r="B57" s="1000" t="s">
        <v>136</v>
      </c>
      <c r="C57" s="14"/>
      <c r="D57" s="1512" t="s">
        <v>2284</v>
      </c>
      <c r="E57" s="1513"/>
      <c r="F57" s="1513"/>
    </row>
    <row r="58" spans="1:6" ht="14">
      <c r="A58" s="431"/>
      <c r="B58" s="431"/>
      <c r="C58" s="14"/>
      <c r="D58" s="1513"/>
      <c r="E58" s="1513"/>
      <c r="F58" s="1513"/>
    </row>
    <row r="59" spans="1:6" ht="14">
      <c r="A59" s="431"/>
      <c r="B59" s="431"/>
      <c r="C59" s="14"/>
      <c r="D59" s="1513"/>
      <c r="E59" s="1513"/>
      <c r="F59" s="1513"/>
    </row>
    <row r="60" spans="1:6" ht="14">
      <c r="A60" s="431"/>
      <c r="B60" s="431"/>
      <c r="C60" s="14"/>
      <c r="D60" s="1513"/>
      <c r="E60" s="1513"/>
      <c r="F60" s="1513"/>
    </row>
    <row r="61" spans="1:6" ht="17.2" customHeight="1">
      <c r="A61" s="431"/>
      <c r="B61" s="431"/>
      <c r="C61" s="14"/>
      <c r="D61" s="1513"/>
      <c r="E61" s="1513"/>
      <c r="F61" s="1513"/>
    </row>
    <row r="62" spans="1:6" ht="14">
      <c r="A62" s="431"/>
      <c r="B62" s="1000" t="s">
        <v>136</v>
      </c>
      <c r="C62" s="14"/>
      <c r="D62" s="1486" t="s">
        <v>1644</v>
      </c>
      <c r="E62" s="1486"/>
      <c r="F62" s="1486"/>
    </row>
    <row r="63" spans="1:6" ht="14">
      <c r="A63" s="431"/>
      <c r="B63" s="431"/>
      <c r="C63" s="14"/>
      <c r="D63" s="1486"/>
      <c r="E63" s="1486"/>
      <c r="F63" s="1486"/>
    </row>
    <row r="64" spans="1:6" ht="21.65" customHeight="1">
      <c r="A64" s="431"/>
      <c r="B64" s="431"/>
      <c r="C64" s="14"/>
      <c r="D64" s="1486"/>
      <c r="E64" s="1486"/>
      <c r="F64" s="1486"/>
    </row>
    <row r="65" spans="1:6" ht="19.75" customHeight="1">
      <c r="A65" s="431"/>
      <c r="B65" s="431"/>
      <c r="C65" s="14"/>
      <c r="D65" s="1486"/>
      <c r="E65" s="1486"/>
      <c r="F65" s="1486"/>
    </row>
    <row r="66" spans="1:6" ht="14">
      <c r="A66" s="431"/>
      <c r="B66" s="431"/>
      <c r="C66" s="14"/>
      <c r="D66" s="147"/>
    </row>
    <row r="67" spans="1:6" ht="14">
      <c r="A67" s="596"/>
      <c r="B67" s="1000" t="s">
        <v>1559</v>
      </c>
      <c r="D67" s="1513" t="s">
        <v>1645</v>
      </c>
      <c r="E67" s="1513"/>
      <c r="F67" s="1513"/>
    </row>
    <row r="68" spans="1:6" ht="14">
      <c r="A68" s="596"/>
      <c r="B68" s="596"/>
      <c r="D68" s="1513"/>
      <c r="E68" s="1513"/>
      <c r="F68" s="1513"/>
    </row>
    <row r="69" spans="1:6" ht="14">
      <c r="A69" s="431"/>
      <c r="B69" s="431"/>
      <c r="C69" s="14"/>
      <c r="D69" s="147"/>
    </row>
    <row r="70" spans="1:6" ht="14">
      <c r="A70" s="431"/>
      <c r="B70" s="1000" t="s">
        <v>136</v>
      </c>
      <c r="C70" s="14"/>
      <c r="D70" s="1513" t="s">
        <v>1774</v>
      </c>
      <c r="E70" s="1513"/>
      <c r="F70" s="1513"/>
    </row>
    <row r="71" spans="1:6" ht="12.9">
      <c r="A71" s="152"/>
      <c r="B71" s="152"/>
      <c r="C71" s="14"/>
      <c r="D71" s="1513"/>
      <c r="E71" s="1513"/>
      <c r="F71" s="1513"/>
    </row>
    <row r="72" spans="1:6" ht="12.9">
      <c r="A72" s="152"/>
      <c r="B72" s="152"/>
      <c r="C72" s="14"/>
      <c r="D72" s="1513"/>
      <c r="E72" s="1513"/>
      <c r="F72" s="1513"/>
    </row>
    <row r="73" spans="1:6" ht="12.9">
      <c r="A73" s="152"/>
      <c r="B73" s="152"/>
      <c r="C73" s="14"/>
      <c r="D73" s="294"/>
      <c r="E73" s="294"/>
      <c r="F73" s="294"/>
    </row>
    <row r="74" spans="1:6" ht="14">
      <c r="A74" s="431" t="s">
        <v>256</v>
      </c>
      <c r="B74" s="1000" t="s">
        <v>136</v>
      </c>
      <c r="C74" s="14"/>
      <c r="D74" s="1513" t="s">
        <v>1646</v>
      </c>
      <c r="E74" s="1513"/>
      <c r="F74" s="1513"/>
    </row>
    <row r="75" spans="1:6" ht="12.9">
      <c r="A75" s="152"/>
      <c r="B75" s="152"/>
      <c r="C75" s="14"/>
      <c r="D75" s="1513"/>
      <c r="E75" s="1513"/>
      <c r="F75" s="1513"/>
    </row>
    <row r="76" spans="1:6" ht="12.9">
      <c r="A76" s="152"/>
      <c r="B76" s="152"/>
      <c r="C76" s="14"/>
      <c r="D76" s="294"/>
      <c r="E76" s="294"/>
      <c r="F76" s="294"/>
    </row>
    <row r="77" spans="1:6" ht="14">
      <c r="A77" s="431" t="s">
        <v>256</v>
      </c>
      <c r="B77" s="1000" t="s">
        <v>1559</v>
      </c>
      <c r="C77" s="14"/>
      <c r="D77" s="1513" t="s">
        <v>1647</v>
      </c>
      <c r="E77" s="1513"/>
      <c r="F77" s="1513"/>
    </row>
    <row r="78" spans="1:6" ht="12.9">
      <c r="A78" s="152"/>
      <c r="B78" s="152"/>
      <c r="C78" s="14"/>
      <c r="D78" s="1513"/>
      <c r="E78" s="1513"/>
      <c r="F78" s="1513"/>
    </row>
    <row r="79" spans="1:6" ht="12.9">
      <c r="A79" s="152"/>
      <c r="B79" s="152"/>
      <c r="C79" s="14"/>
      <c r="D79" s="1513"/>
      <c r="E79" s="1513"/>
      <c r="F79" s="1513"/>
    </row>
    <row r="80" spans="1:6" ht="12.9">
      <c r="A80" s="152"/>
      <c r="B80" s="152"/>
      <c r="C80" s="14"/>
      <c r="D80" s="421"/>
      <c r="E80" s="294"/>
      <c r="F80" s="294"/>
    </row>
    <row r="81" spans="1:7" ht="14">
      <c r="A81" s="431" t="s">
        <v>256</v>
      </c>
      <c r="B81" s="1000" t="s">
        <v>136</v>
      </c>
      <c r="C81" s="14"/>
      <c r="D81" s="1485" t="s">
        <v>1648</v>
      </c>
      <c r="E81" s="1485"/>
      <c r="F81" s="1485"/>
    </row>
    <row r="82" spans="1:7" ht="12.9">
      <c r="A82" s="152"/>
      <c r="B82" s="152"/>
      <c r="C82" s="14"/>
      <c r="D82" s="1485"/>
      <c r="E82" s="1485"/>
      <c r="F82" s="1485"/>
    </row>
    <row r="83" spans="1:7" ht="12.9">
      <c r="A83" s="152"/>
      <c r="B83" s="152"/>
      <c r="C83" s="14"/>
      <c r="D83" s="294"/>
      <c r="E83" s="294"/>
      <c r="F83" s="294"/>
    </row>
    <row r="84" spans="1:7" ht="12.9">
      <c r="A84" s="1497" t="s">
        <v>1564</v>
      </c>
      <c r="B84" s="1497"/>
      <c r="C84" s="1497"/>
      <c r="D84" s="1497"/>
      <c r="E84" s="1497"/>
      <c r="F84" s="1497"/>
      <c r="G84" s="1497"/>
    </row>
    <row r="85" spans="1:7" ht="12.9">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9">
      <c r="A88" s="155"/>
      <c r="B88" s="155"/>
      <c r="C88" s="14"/>
      <c r="D88" s="294"/>
      <c r="E88" s="2"/>
      <c r="F88" s="2"/>
      <c r="G88" s="2"/>
    </row>
    <row r="89" spans="1:7" ht="14.25" customHeight="1">
      <c r="A89" s="431"/>
      <c r="B89" s="1000" t="s">
        <v>1559</v>
      </c>
      <c r="C89" s="14"/>
      <c r="D89" s="1499" t="s">
        <v>2182</v>
      </c>
      <c r="E89" s="1499"/>
      <c r="F89" s="1499"/>
      <c r="G89" s="2"/>
    </row>
    <row r="90" spans="1:7" ht="14.55" customHeight="1">
      <c r="A90" s="431"/>
      <c r="B90" s="14"/>
      <c r="C90" s="14"/>
      <c r="D90" s="1499"/>
      <c r="E90" s="1499"/>
      <c r="F90" s="1499"/>
      <c r="G90" s="2"/>
    </row>
    <row r="91" spans="1:7" ht="14">
      <c r="A91" s="431"/>
      <c r="B91" s="431"/>
      <c r="C91" s="14"/>
      <c r="D91" s="1499"/>
      <c r="E91" s="1499"/>
      <c r="F91" s="1499"/>
      <c r="G91" s="2"/>
    </row>
    <row r="92" spans="1:7" ht="14">
      <c r="A92" s="431"/>
      <c r="B92" s="431"/>
      <c r="C92" s="14"/>
      <c r="D92" s="1499"/>
      <c r="E92" s="1499"/>
      <c r="F92" s="1499"/>
      <c r="G92" s="2"/>
    </row>
    <row r="93" spans="1:7" ht="14">
      <c r="A93" s="431"/>
      <c r="B93" s="431"/>
      <c r="C93" s="14"/>
      <c r="D93" s="1499"/>
      <c r="E93" s="1499"/>
      <c r="F93" s="1499"/>
      <c r="G93" s="2"/>
    </row>
    <row r="94" spans="1:7" ht="14">
      <c r="A94" s="431"/>
      <c r="B94" s="431"/>
      <c r="C94" s="14"/>
      <c r="D94" s="1499"/>
      <c r="E94" s="1499"/>
      <c r="F94" s="1499"/>
      <c r="G94" s="2"/>
    </row>
    <row r="95" spans="1:7" ht="14">
      <c r="A95" s="431"/>
      <c r="B95" s="431"/>
      <c r="C95" s="14"/>
      <c r="D95" s="1499"/>
      <c r="E95" s="1499"/>
      <c r="F95" s="1499"/>
      <c r="G95" s="2"/>
    </row>
    <row r="96" spans="1:7" ht="14">
      <c r="A96" s="431"/>
      <c r="B96" s="431"/>
      <c r="C96" s="14"/>
      <c r="D96" s="1499"/>
      <c r="E96" s="1499"/>
      <c r="F96" s="1499"/>
      <c r="G96" s="2"/>
    </row>
    <row r="97" spans="1:7" ht="14">
      <c r="A97" s="431"/>
      <c r="B97" s="431"/>
      <c r="C97" s="14"/>
      <c r="D97" s="1499"/>
      <c r="E97" s="1499"/>
      <c r="F97" s="1499"/>
      <c r="G97" s="2"/>
    </row>
    <row r="98" spans="1:7" ht="14.55" customHeight="1">
      <c r="A98" s="431"/>
      <c r="B98" s="1033" t="s">
        <v>136</v>
      </c>
      <c r="C98" s="14"/>
      <c r="D98" s="1489" t="s">
        <v>2183</v>
      </c>
      <c r="E98" s="1489"/>
      <c r="F98" s="1489"/>
      <c r="G98" s="2"/>
    </row>
    <row r="99" spans="1:7" ht="14">
      <c r="A99" s="431"/>
      <c r="B99" s="431"/>
      <c r="C99" s="14"/>
      <c r="D99" s="1489"/>
      <c r="E99" s="1489"/>
      <c r="F99" s="1489"/>
      <c r="G99" s="2"/>
    </row>
    <row r="100" spans="1:7" ht="14">
      <c r="A100" s="431"/>
      <c r="B100" s="431"/>
      <c r="C100" s="14"/>
      <c r="D100" s="1489"/>
      <c r="E100" s="1489"/>
      <c r="F100" s="1489"/>
      <c r="G100" s="2"/>
    </row>
    <row r="101" spans="1:7" ht="14">
      <c r="A101" s="431"/>
      <c r="B101" s="431"/>
      <c r="C101" s="14"/>
      <c r="D101" s="1489"/>
      <c r="E101" s="1489"/>
      <c r="F101" s="1489"/>
      <c r="G101" s="2"/>
    </row>
    <row r="102" spans="1:7" ht="14">
      <c r="A102" s="431"/>
      <c r="B102" s="431"/>
      <c r="C102" s="14"/>
      <c r="D102" s="1489"/>
      <c r="E102" s="1489"/>
      <c r="F102" s="1489"/>
      <c r="G102" s="2"/>
    </row>
    <row r="103" spans="1:7" ht="14">
      <c r="A103" s="431"/>
      <c r="B103" s="431"/>
      <c r="C103" s="14"/>
      <c r="D103" s="1489"/>
      <c r="E103" s="1489"/>
      <c r="F103" s="1489"/>
      <c r="G103" s="2"/>
    </row>
    <row r="104" spans="1:7" ht="14">
      <c r="A104" s="431"/>
      <c r="B104" s="431"/>
      <c r="C104" s="14"/>
      <c r="D104" s="1489"/>
      <c r="E104" s="1489"/>
      <c r="F104" s="1489"/>
      <c r="G104" s="2"/>
    </row>
    <row r="105" spans="1:7" ht="14">
      <c r="A105" s="431"/>
      <c r="B105" s="431"/>
      <c r="C105" s="14"/>
      <c r="D105" s="1489"/>
      <c r="E105" s="1489"/>
      <c r="F105" s="1489"/>
      <c r="G105" s="2"/>
    </row>
    <row r="106" spans="1:7" ht="14">
      <c r="A106" s="431"/>
      <c r="B106" s="431"/>
      <c r="C106" s="14"/>
      <c r="D106" s="1489"/>
      <c r="E106" s="1489"/>
      <c r="F106" s="1489"/>
      <c r="G106" s="2"/>
    </row>
    <row r="107" spans="1:7" ht="14">
      <c r="A107" s="431"/>
      <c r="B107" s="431"/>
      <c r="C107" s="14"/>
      <c r="D107" s="1489"/>
      <c r="E107" s="1489"/>
      <c r="F107" s="1489"/>
      <c r="G107" s="2"/>
    </row>
    <row r="108" spans="1:7" ht="14">
      <c r="A108" s="431"/>
      <c r="B108" s="431"/>
      <c r="C108" s="14"/>
      <c r="D108" s="1489"/>
      <c r="E108" s="1489"/>
      <c r="F108" s="1489"/>
      <c r="G108" s="2"/>
    </row>
    <row r="109" spans="1:7" ht="14">
      <c r="A109" s="431"/>
      <c r="B109" s="431"/>
      <c r="C109" s="14"/>
      <c r="D109" s="1489"/>
      <c r="E109" s="1489"/>
      <c r="F109" s="1489"/>
      <c r="G109" s="2"/>
    </row>
    <row r="110" spans="1:7" ht="14">
      <c r="A110" s="431"/>
      <c r="B110" s="431"/>
      <c r="C110" s="14"/>
      <c r="D110" s="1489"/>
      <c r="E110" s="1489"/>
      <c r="F110" s="1489"/>
      <c r="G110" s="2"/>
    </row>
    <row r="111" spans="1:7" ht="14">
      <c r="A111" s="431"/>
      <c r="B111" s="1033" t="s">
        <v>136</v>
      </c>
      <c r="C111" s="14"/>
      <c r="D111" s="1485" t="s">
        <v>1778</v>
      </c>
      <c r="E111" s="1485"/>
      <c r="F111" s="1485"/>
      <c r="G111" s="2"/>
    </row>
    <row r="112" spans="1:7" ht="14">
      <c r="A112" s="431"/>
      <c r="B112" s="431"/>
      <c r="C112" s="14"/>
      <c r="D112" s="1485"/>
      <c r="E112" s="1485"/>
      <c r="F112" s="1485"/>
      <c r="G112" s="2"/>
    </row>
    <row r="113" spans="1:7" ht="14">
      <c r="A113" s="431"/>
      <c r="B113" s="431"/>
      <c r="C113" s="14"/>
      <c r="D113" s="1485"/>
      <c r="E113" s="1485"/>
      <c r="F113" s="1485"/>
      <c r="G113" s="2"/>
    </row>
    <row r="114" spans="1:7" ht="14">
      <c r="A114" s="431"/>
      <c r="B114" s="431"/>
      <c r="C114" s="14"/>
      <c r="D114" s="1485"/>
      <c r="E114" s="1485"/>
      <c r="F114" s="1485"/>
      <c r="G114" s="2"/>
    </row>
    <row r="115" spans="1:7" ht="14">
      <c r="A115" s="431"/>
      <c r="B115" s="431"/>
      <c r="C115" s="14"/>
      <c r="D115" s="1485"/>
      <c r="E115" s="1485"/>
      <c r="F115" s="1485"/>
      <c r="G115" s="2"/>
    </row>
    <row r="116" spans="1:7" ht="14">
      <c r="A116" s="431"/>
      <c r="B116" s="431"/>
      <c r="C116" s="14"/>
      <c r="D116" s="1485"/>
      <c r="E116" s="1485"/>
      <c r="F116" s="1485"/>
      <c r="G116" s="2"/>
    </row>
    <row r="117" spans="1:7" ht="14">
      <c r="A117" s="431"/>
      <c r="B117" s="431"/>
      <c r="C117" s="14"/>
      <c r="D117" s="1485"/>
      <c r="E117" s="1485"/>
      <c r="F117" s="1485"/>
      <c r="G117" s="2"/>
    </row>
    <row r="118" spans="1:7" ht="14">
      <c r="A118" s="431"/>
      <c r="B118" s="431"/>
      <c r="C118" s="14"/>
      <c r="D118" s="1485"/>
      <c r="E118" s="1485"/>
      <c r="F118" s="1485"/>
      <c r="G118" s="2"/>
    </row>
    <row r="119" spans="1:7" ht="12.8" customHeight="1">
      <c r="A119" s="431"/>
      <c r="B119" s="1000" t="s">
        <v>1559</v>
      </c>
      <c r="C119" s="14"/>
      <c r="D119" s="1485" t="s">
        <v>1779</v>
      </c>
      <c r="E119" s="1485"/>
      <c r="F119" s="1485"/>
    </row>
    <row r="120" spans="1:7" ht="12.9">
      <c r="A120" s="152"/>
      <c r="B120" s="152"/>
      <c r="C120" s="14"/>
      <c r="D120" s="1485"/>
      <c r="E120" s="1485"/>
      <c r="F120" s="1485"/>
    </row>
    <row r="121" spans="1:7" ht="12.9">
      <c r="A121" s="152"/>
      <c r="B121" s="152"/>
      <c r="C121" s="14"/>
      <c r="D121" s="1485"/>
      <c r="E121" s="1485"/>
      <c r="F121" s="1485"/>
    </row>
    <row r="122" spans="1:7" ht="12.9">
      <c r="A122" s="152"/>
      <c r="B122" s="152"/>
      <c r="C122" s="14"/>
      <c r="D122" s="1485"/>
      <c r="E122" s="1485"/>
      <c r="F122" s="1485"/>
    </row>
    <row r="123" spans="1:7" ht="26.9" customHeight="1">
      <c r="A123" s="152"/>
      <c r="B123" s="152"/>
      <c r="C123" s="14"/>
      <c r="D123" s="1485"/>
      <c r="E123" s="1485"/>
      <c r="F123" s="1485"/>
    </row>
    <row r="124" spans="1:7" ht="12.9">
      <c r="A124" s="152"/>
      <c r="B124" s="152"/>
      <c r="C124" s="14"/>
      <c r="D124" s="294"/>
      <c r="E124" s="294"/>
      <c r="F124" s="294"/>
    </row>
    <row r="125" spans="1:7" ht="14">
      <c r="A125" s="431"/>
      <c r="B125" s="1000" t="s">
        <v>1559</v>
      </c>
      <c r="C125" s="14"/>
      <c r="D125" s="1513" t="s">
        <v>1780</v>
      </c>
      <c r="E125" s="1513"/>
      <c r="F125" s="1513"/>
    </row>
    <row r="126" spans="1:7" s="536" customFormat="1" ht="13.85" customHeight="1">
      <c r="A126" s="526"/>
      <c r="B126" s="526"/>
      <c r="C126" s="527"/>
      <c r="D126" s="1513"/>
      <c r="E126" s="1513"/>
      <c r="F126" s="1513"/>
      <c r="G126" s="602"/>
    </row>
    <row r="127" spans="1:7" ht="13.85" customHeight="1">
      <c r="A127" s="152"/>
      <c r="B127" s="152"/>
      <c r="C127" s="14"/>
      <c r="D127" s="1513"/>
      <c r="E127" s="1513"/>
      <c r="F127" s="1513"/>
    </row>
    <row r="128" spans="1:7" ht="13.85" customHeight="1">
      <c r="A128" s="152"/>
      <c r="B128" s="152"/>
      <c r="C128" s="14"/>
      <c r="D128" s="1513"/>
      <c r="E128" s="1513"/>
      <c r="F128" s="1513"/>
    </row>
    <row r="129" spans="1:7" ht="13.85" customHeight="1">
      <c r="A129" s="152"/>
      <c r="B129" s="152"/>
      <c r="C129" s="14"/>
      <c r="D129" s="1513"/>
      <c r="E129" s="1513"/>
      <c r="F129" s="1513"/>
    </row>
    <row r="130" spans="1:7" ht="13.85" customHeight="1">
      <c r="A130" s="152"/>
      <c r="B130" s="152"/>
      <c r="C130" s="14"/>
      <c r="D130" s="1513"/>
      <c r="E130" s="1513"/>
      <c r="F130" s="1513"/>
    </row>
    <row r="131" spans="1:7" ht="13.85" customHeight="1">
      <c r="A131" s="1034"/>
      <c r="B131" s="1034"/>
      <c r="C131" s="14"/>
      <c r="D131" s="1513"/>
      <c r="E131" s="1513"/>
      <c r="F131" s="1513"/>
      <c r="G131" s="2"/>
    </row>
    <row r="132" spans="1:7" ht="13.85" customHeight="1">
      <c r="A132" s="1034"/>
      <c r="B132" s="1034"/>
      <c r="C132" s="14"/>
      <c r="D132" s="1513"/>
      <c r="E132" s="1513"/>
      <c r="F132" s="1513"/>
      <c r="G132" s="2"/>
    </row>
    <row r="133" spans="1:7" ht="13.85" customHeight="1">
      <c r="A133" s="1034"/>
      <c r="B133" s="1034"/>
      <c r="C133" s="14"/>
      <c r="D133" s="1513"/>
      <c r="E133" s="1513"/>
      <c r="F133" s="1513"/>
      <c r="G133" s="2"/>
    </row>
    <row r="134" spans="1:7" ht="13.85" customHeight="1">
      <c r="A134" s="1034"/>
      <c r="B134" s="1034"/>
      <c r="C134" s="14"/>
      <c r="D134" s="1513"/>
      <c r="E134" s="1513"/>
      <c r="F134" s="1513"/>
      <c r="G134" s="2"/>
    </row>
    <row r="135" spans="1:7" ht="17.2" customHeight="1">
      <c r="A135" s="1034"/>
      <c r="B135" s="1034"/>
      <c r="C135" s="14"/>
      <c r="D135" s="1513"/>
      <c r="E135" s="1513"/>
      <c r="F135" s="1513"/>
      <c r="G135" s="2"/>
    </row>
    <row r="136" spans="1:7" ht="25.55" hidden="1" customHeight="1">
      <c r="A136" s="1034"/>
      <c r="B136" s="1034"/>
      <c r="C136" s="14"/>
      <c r="D136" s="1513"/>
      <c r="E136" s="1513"/>
      <c r="F136" s="1513"/>
      <c r="G136" s="2"/>
    </row>
    <row r="137" spans="1:7" ht="13.85" customHeight="1">
      <c r="A137" s="1034"/>
      <c r="B137" s="1034"/>
      <c r="C137" s="14"/>
      <c r="D137" s="294"/>
      <c r="E137" s="294"/>
      <c r="F137" s="294"/>
      <c r="G137" s="2"/>
    </row>
    <row r="138" spans="1:7" ht="13.85" customHeight="1">
      <c r="A138" s="152"/>
      <c r="B138" s="1000" t="s">
        <v>136</v>
      </c>
      <c r="C138" s="14"/>
      <c r="D138" s="1499" t="s">
        <v>2008</v>
      </c>
      <c r="E138" s="1485"/>
      <c r="F138" s="1485"/>
      <c r="G138" s="2"/>
    </row>
    <row r="139" spans="1:7" ht="13.85" customHeight="1">
      <c r="A139" s="152"/>
      <c r="B139" s="152"/>
      <c r="C139" s="14"/>
      <c r="D139" s="1485"/>
      <c r="E139" s="1485"/>
      <c r="F139" s="1485"/>
      <c r="G139" s="2"/>
    </row>
    <row r="140" spans="1:7" ht="13.85" customHeight="1">
      <c r="A140" s="152"/>
      <c r="B140" s="152"/>
      <c r="C140" s="14"/>
      <c r="D140" s="1485"/>
      <c r="E140" s="1485"/>
      <c r="F140" s="1485"/>
      <c r="G140" s="2"/>
    </row>
    <row r="141" spans="1:7" ht="13.85" customHeight="1">
      <c r="A141" s="162"/>
      <c r="B141" s="162"/>
      <c r="D141" s="1485"/>
      <c r="E141" s="1485"/>
      <c r="F141" s="1485"/>
      <c r="G141" s="2"/>
    </row>
    <row r="142" spans="1:7" ht="13.85" customHeight="1">
      <c r="A142" s="152"/>
      <c r="B142" s="152"/>
      <c r="C142" s="14"/>
      <c r="D142" s="1485"/>
      <c r="E142" s="1485"/>
      <c r="F142" s="1485"/>
      <c r="G142" s="2"/>
    </row>
    <row r="143" spans="1:7" ht="13.85" customHeight="1">
      <c r="A143" s="33"/>
      <c r="B143" s="33"/>
      <c r="C143" s="14"/>
      <c r="D143" s="1485"/>
      <c r="E143" s="1485"/>
      <c r="F143" s="1485"/>
      <c r="G143" s="2"/>
    </row>
    <row r="144" spans="1:7" ht="13.85" customHeight="1">
      <c r="A144" s="33"/>
      <c r="B144" s="33"/>
      <c r="C144" s="14"/>
      <c r="D144" s="1485"/>
      <c r="E144" s="1485"/>
      <c r="F144" s="1485"/>
      <c r="G144" s="2"/>
    </row>
    <row r="145" spans="1:7" ht="13.85" customHeight="1">
      <c r="A145" s="1035"/>
      <c r="B145" s="1035"/>
      <c r="C145" s="14"/>
      <c r="D145" s="1485"/>
      <c r="E145" s="1485"/>
      <c r="F145" s="1485"/>
      <c r="G145" s="2"/>
    </row>
    <row r="146" spans="1:7" ht="13.85" customHeight="1">
      <c r="A146" s="1035"/>
      <c r="B146" s="1035"/>
      <c r="C146" s="14"/>
      <c r="D146" s="1485"/>
      <c r="E146" s="1485"/>
      <c r="F146" s="1485"/>
      <c r="G146" s="2"/>
    </row>
    <row r="147" spans="1:7" ht="13.85" customHeight="1">
      <c r="A147" s="1035"/>
      <c r="B147" s="1035"/>
      <c r="C147" s="14"/>
      <c r="D147" s="1485"/>
      <c r="E147" s="1485"/>
      <c r="F147" s="1485"/>
      <c r="G147" s="2"/>
    </row>
    <row r="148" spans="1:7" ht="13.85" customHeight="1">
      <c r="A148" s="1136"/>
      <c r="B148" s="1136"/>
      <c r="C148" s="14"/>
      <c r="D148" s="1485"/>
      <c r="E148" s="1485"/>
      <c r="F148" s="1485"/>
      <c r="G148" s="2"/>
    </row>
    <row r="149" spans="1:7" ht="13.85" customHeight="1">
      <c r="A149" s="1136"/>
      <c r="B149" s="1136"/>
      <c r="C149" s="14"/>
      <c r="D149" s="1485"/>
      <c r="E149" s="1485"/>
      <c r="F149" s="1485"/>
      <c r="G149" s="2"/>
    </row>
    <row r="150" spans="1:7" ht="13.85" customHeight="1">
      <c r="A150" s="1035"/>
      <c r="B150" s="1035"/>
      <c r="C150" s="14"/>
      <c r="D150" s="1485"/>
      <c r="E150" s="1485"/>
      <c r="F150" s="1485"/>
      <c r="G150" s="2"/>
    </row>
    <row r="151" spans="1:7" ht="13.85" customHeight="1">
      <c r="A151" s="1035"/>
      <c r="B151" s="1035"/>
      <c r="C151" s="14"/>
      <c r="D151" s="1485"/>
      <c r="E151" s="1485"/>
      <c r="F151" s="1485"/>
      <c r="G151" s="2"/>
    </row>
    <row r="152" spans="1:7" ht="13.85" customHeight="1">
      <c r="A152" s="1035"/>
      <c r="B152" s="1035"/>
      <c r="C152" s="14"/>
      <c r="D152" s="1485"/>
      <c r="E152" s="1485"/>
      <c r="F152" s="1485"/>
      <c r="G152" s="2"/>
    </row>
    <row r="153" spans="1:7" ht="13.85" customHeight="1">
      <c r="A153" s="1035"/>
      <c r="B153" s="1035"/>
      <c r="C153" s="14"/>
      <c r="D153" s="1485"/>
      <c r="E153" s="1485"/>
      <c r="F153" s="1485"/>
      <c r="G153" s="2"/>
    </row>
    <row r="154" spans="1:7" ht="13.85" customHeight="1">
      <c r="A154" s="1035"/>
      <c r="B154" s="1035"/>
      <c r="C154" s="14"/>
      <c r="D154" s="1485"/>
      <c r="E154" s="1485"/>
      <c r="F154" s="1485"/>
      <c r="G154" s="2"/>
    </row>
    <row r="155" spans="1:7" ht="13.85" customHeight="1">
      <c r="A155" s="1035"/>
      <c r="B155" s="1035"/>
      <c r="C155" s="14"/>
      <c r="D155" s="1485"/>
      <c r="E155" s="1485"/>
      <c r="F155" s="1485"/>
      <c r="G155" s="2"/>
    </row>
    <row r="156" spans="1:7" ht="13.85" customHeight="1">
      <c r="A156" s="1150"/>
      <c r="B156" s="1150"/>
      <c r="C156" s="14"/>
      <c r="D156" s="1551" t="s">
        <v>2009</v>
      </c>
      <c r="E156" s="1551"/>
      <c r="F156" s="1551"/>
      <c r="G156" s="2"/>
    </row>
    <row r="157" spans="1:7" ht="13.85" customHeight="1">
      <c r="A157" s="1035"/>
      <c r="B157" s="1035"/>
      <c r="C157" s="14"/>
      <c r="D157" s="1031"/>
      <c r="E157" s="294"/>
      <c r="F157" s="294"/>
      <c r="G157" s="2"/>
    </row>
    <row r="158" spans="1:7" ht="13.85" customHeight="1">
      <c r="A158" s="431"/>
      <c r="B158" s="1000" t="s">
        <v>136</v>
      </c>
      <c r="C158" s="14"/>
      <c r="D158" s="1553" t="s">
        <v>2044</v>
      </c>
      <c r="E158" s="1554"/>
      <c r="F158" s="1554"/>
      <c r="G158" s="2"/>
    </row>
    <row r="159" spans="1:7" ht="13.85" customHeight="1">
      <c r="A159" s="431"/>
      <c r="B159" s="1180"/>
      <c r="C159" s="14"/>
      <c r="D159" s="1554"/>
      <c r="E159" s="1554"/>
      <c r="F159" s="1554"/>
      <c r="G159" s="2"/>
    </row>
    <row r="160" spans="1:7" ht="13.85" customHeight="1">
      <c r="A160" s="33"/>
      <c r="B160" s="33"/>
      <c r="C160" s="14"/>
      <c r="D160" s="1554"/>
      <c r="E160" s="1554"/>
      <c r="F160" s="1554"/>
      <c r="G160" s="2"/>
    </row>
    <row r="161" spans="1:7" ht="13.85" customHeight="1">
      <c r="A161" s="33"/>
      <c r="B161" s="33"/>
      <c r="C161" s="14"/>
      <c r="D161" s="299"/>
      <c r="E161" s="294"/>
      <c r="F161" s="294"/>
      <c r="G161" s="2"/>
    </row>
    <row r="162" spans="1:7" ht="13.85" customHeight="1">
      <c r="A162" s="431"/>
      <c r="B162" s="1000" t="s">
        <v>1559</v>
      </c>
      <c r="C162" s="14"/>
      <c r="D162" s="1555" t="s">
        <v>1781</v>
      </c>
      <c r="E162" s="1555"/>
      <c r="F162" s="1555"/>
      <c r="G162" s="2"/>
    </row>
    <row r="163" spans="1:7" ht="13.85" customHeight="1">
      <c r="A163" s="33"/>
      <c r="B163" s="33"/>
      <c r="C163" s="14"/>
      <c r="D163" s="1555"/>
      <c r="E163" s="1555"/>
      <c r="F163" s="1555"/>
    </row>
    <row r="164" spans="1:7" ht="13.85" customHeight="1">
      <c r="A164" s="33"/>
      <c r="B164" s="33"/>
      <c r="C164" s="14"/>
      <c r="D164" s="1555"/>
      <c r="E164" s="1555"/>
      <c r="F164" s="1555"/>
    </row>
    <row r="165" spans="1:7" ht="13.85" customHeight="1">
      <c r="A165" s="33"/>
      <c r="B165" s="33"/>
      <c r="C165" s="14"/>
      <c r="D165" s="1555"/>
      <c r="E165" s="1555"/>
      <c r="F165" s="1555"/>
    </row>
    <row r="166" spans="1:7" ht="13.85" customHeight="1">
      <c r="A166" s="33"/>
      <c r="B166" s="33"/>
      <c r="C166" s="14"/>
      <c r="D166" s="299"/>
      <c r="E166" s="294"/>
      <c r="F166" s="294"/>
    </row>
    <row r="167" spans="1:7" ht="13.85" customHeight="1">
      <c r="A167" s="620"/>
      <c r="B167" s="1000" t="s">
        <v>136</v>
      </c>
      <c r="C167" s="619"/>
      <c r="D167" s="1547" t="s">
        <v>1782</v>
      </c>
      <c r="E167" s="1547"/>
      <c r="F167" s="1547"/>
      <c r="G167" s="748"/>
    </row>
    <row r="168" spans="1:7" ht="13.85" customHeight="1">
      <c r="A168" s="620"/>
      <c r="B168" s="620"/>
      <c r="C168" s="619"/>
      <c r="D168" s="1547"/>
      <c r="E168" s="1547"/>
      <c r="F168" s="1547"/>
      <c r="G168" s="748"/>
    </row>
    <row r="169" spans="1:7" ht="13.85" customHeight="1">
      <c r="A169" s="620"/>
      <c r="B169" s="620"/>
      <c r="C169" s="619"/>
      <c r="D169" s="1547"/>
      <c r="E169" s="1547"/>
      <c r="F169" s="1547"/>
      <c r="G169" s="748"/>
    </row>
    <row r="170" spans="1:7" ht="12.9">
      <c r="A170" s="620"/>
      <c r="B170" s="620"/>
      <c r="C170" s="619"/>
      <c r="D170" s="622"/>
      <c r="E170" s="608"/>
      <c r="F170" s="608"/>
      <c r="G170" s="748"/>
    </row>
    <row r="171" spans="1:7" ht="12.9">
      <c r="A171" s="1497" t="s">
        <v>1567</v>
      </c>
      <c r="B171" s="1497"/>
      <c r="C171" s="1497"/>
      <c r="D171" s="1497"/>
      <c r="E171" s="1497"/>
      <c r="F171" s="1497"/>
      <c r="G171" s="1497"/>
    </row>
    <row r="172" spans="1:7" ht="12.9">
      <c r="A172" s="152"/>
      <c r="B172" s="152"/>
      <c r="C172" s="14"/>
      <c r="D172" s="299"/>
      <c r="E172" s="294"/>
      <c r="F172" s="294"/>
    </row>
    <row r="173" spans="1:7" ht="12.9">
      <c r="A173" s="152"/>
      <c r="B173" s="152"/>
      <c r="C173" s="976"/>
      <c r="D173" s="1543" t="s">
        <v>1566</v>
      </c>
      <c r="E173" s="1543"/>
      <c r="F173" s="1543"/>
    </row>
    <row r="174" spans="1:7" ht="12.9">
      <c r="A174" s="432"/>
      <c r="B174" s="432"/>
      <c r="C174" s="310"/>
      <c r="D174" s="1548" t="s">
        <v>1604</v>
      </c>
      <c r="E174" s="1548"/>
      <c r="F174" s="1548"/>
    </row>
    <row r="175" spans="1:7" ht="12.9">
      <c r="A175" s="433"/>
      <c r="B175" s="433"/>
      <c r="C175" s="311"/>
      <c r="D175" s="294"/>
      <c r="E175" s="294"/>
      <c r="F175" s="294"/>
    </row>
    <row r="176" spans="1:7" ht="14">
      <c r="A176" s="431"/>
      <c r="B176" s="1448" t="s">
        <v>136</v>
      </c>
      <c r="C176" s="314"/>
      <c r="D176" s="1549" t="s">
        <v>2011</v>
      </c>
      <c r="E176" s="1534"/>
      <c r="F176" s="1534"/>
      <c r="G176" s="300"/>
    </row>
    <row r="177" spans="1:7" ht="14">
      <c r="A177" s="431"/>
      <c r="B177" s="435"/>
      <c r="C177" s="314"/>
      <c r="D177" s="1346"/>
      <c r="E177" s="1345"/>
      <c r="F177" s="1345"/>
      <c r="G177" s="300"/>
    </row>
    <row r="178" spans="1:7" ht="14">
      <c r="A178" s="431"/>
      <c r="B178" s="1448" t="s">
        <v>136</v>
      </c>
      <c r="C178" s="314"/>
      <c r="D178" s="1534" t="s">
        <v>1783</v>
      </c>
      <c r="E178" s="1534"/>
      <c r="F178" s="1534"/>
      <c r="G178" s="300"/>
    </row>
    <row r="179" spans="1:7" ht="14">
      <c r="A179" s="431"/>
      <c r="B179" s="435"/>
      <c r="C179" s="314"/>
      <c r="D179" s="1345"/>
      <c r="E179" s="1345"/>
      <c r="F179" s="1345"/>
      <c r="G179" s="300"/>
    </row>
    <row r="180" spans="1:7" ht="14">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
      <c r="A182" s="431"/>
      <c r="B182" s="435"/>
      <c r="C182" s="314"/>
      <c r="D182" s="1347"/>
      <c r="E182" s="1453"/>
      <c r="F182" s="1453"/>
      <c r="G182" s="300"/>
    </row>
    <row r="183" spans="1:7" ht="14">
      <c r="A183" s="431"/>
      <c r="B183" s="435"/>
      <c r="C183" s="314"/>
      <c r="D183" s="1347"/>
      <c r="E183" s="1453"/>
      <c r="F183" s="1453"/>
      <c r="G183" s="300"/>
    </row>
    <row r="184" spans="1:7" ht="14">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
      <c r="A190" s="431"/>
      <c r="B190" s="435"/>
      <c r="C190" s="314"/>
      <c r="D190" s="2"/>
      <c r="E190" s="1499"/>
      <c r="F190" s="1499"/>
      <c r="G190" s="300"/>
    </row>
    <row r="191" spans="1:7" ht="14">
      <c r="A191" s="431"/>
      <c r="B191" s="435"/>
      <c r="C191" s="314"/>
      <c r="D191" s="2"/>
      <c r="E191" s="1499"/>
      <c r="F191" s="1499"/>
      <c r="G191" s="300"/>
    </row>
    <row r="192" spans="1:7" ht="12.9">
      <c r="A192" s="435"/>
      <c r="B192" s="435"/>
      <c r="C192" s="314"/>
      <c r="D192" s="294"/>
      <c r="E192" s="295"/>
      <c r="F192" s="295"/>
      <c r="G192" s="300"/>
    </row>
    <row r="193" spans="1:7" ht="14">
      <c r="A193" s="431"/>
      <c r="B193" s="1448" t="s">
        <v>1559</v>
      </c>
      <c r="C193" s="314"/>
      <c r="D193" s="1460" t="s">
        <v>1784</v>
      </c>
      <c r="E193" s="1460"/>
      <c r="F193" s="1460"/>
      <c r="G193" s="300"/>
    </row>
    <row r="194" spans="1:7" ht="14">
      <c r="A194" s="431"/>
      <c r="B194" s="431"/>
      <c r="C194" s="314"/>
      <c r="D194" s="1460"/>
      <c r="E194" s="1460"/>
      <c r="F194" s="1460"/>
      <c r="G194" s="300"/>
    </row>
    <row r="195" spans="1:7" ht="14">
      <c r="A195" s="431"/>
      <c r="B195" s="431"/>
      <c r="C195" s="314"/>
      <c r="D195" s="1460"/>
      <c r="E195" s="1460"/>
      <c r="F195" s="1460"/>
      <c r="G195" s="300"/>
    </row>
    <row r="196" spans="1:7" ht="14">
      <c r="A196" s="431"/>
      <c r="B196" s="431"/>
      <c r="C196" s="314"/>
      <c r="D196" s="1460"/>
      <c r="E196" s="1460"/>
      <c r="F196" s="1460"/>
      <c r="G196" s="300"/>
    </row>
    <row r="197" spans="1:7" ht="12.9">
      <c r="A197" s="435"/>
      <c r="B197" s="435"/>
      <c r="C197" s="314"/>
      <c r="D197" s="1551" t="s">
        <v>2107</v>
      </c>
      <c r="E197" s="1551"/>
      <c r="F197" s="1551"/>
      <c r="G197" s="300"/>
    </row>
    <row r="198" spans="1:7" ht="12.9">
      <c r="A198" s="435"/>
      <c r="B198" s="435"/>
      <c r="C198" s="314"/>
      <c r="D198" s="1037"/>
      <c r="E198" s="1037"/>
      <c r="F198" s="1037"/>
      <c r="G198" s="300"/>
    </row>
    <row r="199" spans="1:7" ht="14">
      <c r="A199" s="431"/>
      <c r="B199" s="1000" t="s">
        <v>136</v>
      </c>
      <c r="C199" s="314"/>
      <c r="D199" s="1550" t="s">
        <v>1785</v>
      </c>
      <c r="E199" s="1550"/>
      <c r="F199" s="1550"/>
      <c r="G199" s="300"/>
    </row>
    <row r="200" spans="1:7" ht="12.9">
      <c r="A200" s="435"/>
      <c r="B200" s="435"/>
      <c r="C200" s="314"/>
      <c r="D200" s="295"/>
      <c r="E200" s="295"/>
      <c r="F200" s="295"/>
      <c r="G200" s="300"/>
    </row>
    <row r="201" spans="1:7" ht="12.9">
      <c r="A201" s="1497" t="s">
        <v>1569</v>
      </c>
      <c r="B201" s="1497"/>
      <c r="C201" s="1497"/>
      <c r="D201" s="1497"/>
      <c r="E201" s="1497"/>
      <c r="F201" s="1497"/>
      <c r="G201" s="1497"/>
    </row>
    <row r="202" spans="1:7" ht="12.9">
      <c r="A202" s="435"/>
      <c r="B202" s="435"/>
      <c r="C202" s="314"/>
      <c r="D202" s="294"/>
      <c r="E202" s="295"/>
      <c r="F202" s="295"/>
      <c r="G202" s="300"/>
    </row>
    <row r="203" spans="1:7" ht="12.9">
      <c r="A203" s="152"/>
      <c r="B203" s="152"/>
      <c r="C203" s="977"/>
      <c r="D203" s="1515" t="s">
        <v>1568</v>
      </c>
      <c r="E203" s="1515"/>
      <c r="F203" s="1515"/>
      <c r="G203" s="300"/>
    </row>
    <row r="204" spans="1:7" ht="12.9">
      <c r="A204" s="978"/>
      <c r="B204" s="978"/>
      <c r="C204" s="977"/>
      <c r="D204" s="1515" t="s">
        <v>770</v>
      </c>
      <c r="E204" s="1515"/>
      <c r="F204" s="1515"/>
      <c r="G204" s="300"/>
    </row>
    <row r="205" spans="1:7" ht="12.9">
      <c r="A205" s="432"/>
      <c r="B205" s="432"/>
      <c r="C205" s="310"/>
      <c r="D205" s="1534" t="s">
        <v>1605</v>
      </c>
      <c r="E205" s="1534"/>
      <c r="F205" s="1534"/>
      <c r="G205" s="300"/>
    </row>
    <row r="206" spans="1:7" ht="12.9">
      <c r="A206" s="432"/>
      <c r="B206" s="432"/>
      <c r="C206" s="310"/>
      <c r="D206" s="295"/>
      <c r="E206" s="295"/>
      <c r="F206" s="295"/>
      <c r="G206" s="300"/>
    </row>
    <row r="207" spans="1:7" ht="12.9">
      <c r="A207" s="432"/>
      <c r="B207" s="432"/>
      <c r="C207" s="310"/>
      <c r="D207" s="1508" t="s">
        <v>1615</v>
      </c>
      <c r="E207" s="1508"/>
      <c r="F207" s="1508"/>
      <c r="G207" s="300"/>
    </row>
    <row r="208" spans="1:7" ht="12.9">
      <c r="A208" s="432"/>
      <c r="B208" s="432"/>
      <c r="C208" s="310"/>
      <c r="D208" s="1508"/>
      <c r="E208" s="1508"/>
      <c r="F208" s="1508"/>
      <c r="G208" s="300"/>
    </row>
    <row r="209" spans="1:7" ht="12.9">
      <c r="A209" s="432"/>
      <c r="B209" s="432"/>
      <c r="C209" s="310"/>
      <c r="D209" s="1508"/>
      <c r="E209" s="1508"/>
      <c r="F209" s="1508"/>
      <c r="G209" s="300"/>
    </row>
    <row r="210" spans="1:7" ht="12.9">
      <c r="A210" s="432"/>
      <c r="B210" s="432"/>
      <c r="C210" s="310"/>
      <c r="D210" s="1508"/>
      <c r="E210" s="1508"/>
      <c r="F210" s="1508"/>
      <c r="G210" s="300"/>
    </row>
    <row r="211" spans="1:7" ht="12.9">
      <c r="A211" s="432"/>
      <c r="B211" s="432"/>
      <c r="C211" s="310"/>
      <c r="D211" s="300"/>
      <c r="E211" s="295"/>
      <c r="F211" s="295"/>
      <c r="G211" s="300"/>
    </row>
    <row r="212" spans="1:7" ht="12.9">
      <c r="A212" s="432"/>
      <c r="B212" s="432"/>
      <c r="C212" s="310"/>
      <c r="D212" s="1507" t="s">
        <v>2112</v>
      </c>
      <c r="E212" s="1508"/>
      <c r="F212" s="1508"/>
      <c r="G212" s="300"/>
    </row>
    <row r="213" spans="1:7" ht="12.9">
      <c r="A213" s="432"/>
      <c r="B213" s="432"/>
      <c r="C213" s="310"/>
      <c r="D213" s="1508"/>
      <c r="E213" s="1508"/>
      <c r="F213" s="1508"/>
      <c r="G213" s="300"/>
    </row>
    <row r="214" spans="1:7" ht="12.9">
      <c r="A214" s="432"/>
      <c r="B214" s="432"/>
      <c r="C214" s="310"/>
      <c r="D214" s="1508"/>
      <c r="E214" s="1508"/>
      <c r="F214" s="1508"/>
      <c r="G214" s="300"/>
    </row>
    <row r="215" spans="1:7" ht="12.9">
      <c r="A215" s="432"/>
      <c r="B215" s="432"/>
      <c r="C215" s="310"/>
      <c r="D215" s="1508"/>
      <c r="E215" s="1508"/>
      <c r="F215" s="1508"/>
      <c r="G215" s="300"/>
    </row>
    <row r="216" spans="1:7" ht="12.9">
      <c r="A216" s="432"/>
      <c r="B216" s="432"/>
      <c r="C216" s="310"/>
      <c r="D216" s="1508"/>
      <c r="E216" s="1508"/>
      <c r="F216" s="1508"/>
      <c r="G216" s="300"/>
    </row>
    <row r="217" spans="1:7" ht="12.9">
      <c r="A217" s="432"/>
      <c r="B217" s="432"/>
      <c r="C217" s="310"/>
      <c r="D217" s="1508"/>
      <c r="E217" s="1508"/>
      <c r="F217" s="1508"/>
      <c r="G217" s="300"/>
    </row>
    <row r="218" spans="1:7" ht="12.9">
      <c r="A218" s="433"/>
      <c r="B218" s="433"/>
      <c r="C218" s="311"/>
      <c r="D218" s="294"/>
      <c r="E218" s="295"/>
      <c r="F218" s="295"/>
      <c r="G218" s="300"/>
    </row>
    <row r="219" spans="1:7" ht="14.55" customHeight="1">
      <c r="A219" s="431"/>
      <c r="B219" s="1000" t="s">
        <v>1559</v>
      </c>
      <c r="C219" s="311"/>
      <c r="D219" s="1482" t="s">
        <v>325</v>
      </c>
      <c r="E219" s="1482"/>
      <c r="F219" s="1482"/>
      <c r="G219" s="300"/>
    </row>
    <row r="220" spans="1:7" ht="14">
      <c r="A220" s="431"/>
      <c r="B220" s="14"/>
      <c r="C220" s="311"/>
      <c r="D220" s="1477" t="s">
        <v>1255</v>
      </c>
      <c r="E220" s="1477"/>
      <c r="F220" s="1477"/>
      <c r="G220" s="300"/>
    </row>
    <row r="221" spans="1:7" ht="14">
      <c r="A221" s="431"/>
      <c r="B221" s="431"/>
      <c r="C221" s="311"/>
      <c r="D221" s="1006" t="s">
        <v>1623</v>
      </c>
      <c r="E221" s="1509" t="s">
        <v>1622</v>
      </c>
      <c r="F221" s="1509"/>
      <c r="G221" s="300"/>
    </row>
    <row r="222" spans="1:7" ht="12.9">
      <c r="A222" s="435"/>
      <c r="B222" s="435"/>
      <c r="C222" s="314"/>
      <c r="D222" s="1476" t="s">
        <v>1597</v>
      </c>
      <c r="E222" s="1477"/>
      <c r="F222" s="1477"/>
      <c r="G222" s="300"/>
    </row>
    <row r="223" spans="1:7" ht="12.9">
      <c r="A223" s="435"/>
      <c r="B223" s="435"/>
      <c r="C223" s="314"/>
      <c r="D223" s="295"/>
      <c r="E223" s="295"/>
      <c r="F223" s="295"/>
      <c r="G223" s="300"/>
    </row>
    <row r="224" spans="1:7" ht="14">
      <c r="A224" s="431"/>
      <c r="B224" s="1448" t="s">
        <v>136</v>
      </c>
      <c r="C224" s="314"/>
      <c r="D224" s="1477" t="s">
        <v>326</v>
      </c>
      <c r="E224" s="1477"/>
      <c r="F224" s="1477"/>
      <c r="G224" s="300"/>
    </row>
    <row r="225" spans="1:7" ht="14">
      <c r="A225" s="431"/>
      <c r="B225" s="14"/>
      <c r="C225" s="314"/>
      <c r="D225" s="1482" t="s">
        <v>1255</v>
      </c>
      <c r="E225" s="1482"/>
      <c r="F225" s="1482"/>
      <c r="G225" s="300"/>
    </row>
    <row r="226" spans="1:7" ht="14">
      <c r="A226" s="431"/>
      <c r="B226" s="431"/>
      <c r="C226" s="314"/>
      <c r="D226" s="312" t="s">
        <v>1624</v>
      </c>
      <c r="E226" s="1478" t="s">
        <v>1625</v>
      </c>
      <c r="F226" s="1478"/>
      <c r="G226" s="300"/>
    </row>
    <row r="227" spans="1:7" ht="12.9">
      <c r="A227" s="435"/>
      <c r="B227" s="435"/>
      <c r="C227" s="314"/>
      <c r="D227" s="1477" t="s">
        <v>1598</v>
      </c>
      <c r="E227" s="1477"/>
      <c r="F227" s="1477"/>
      <c r="G227" s="300"/>
    </row>
    <row r="228" spans="1:7" ht="12.9">
      <c r="A228" s="435"/>
      <c r="B228" s="435"/>
      <c r="C228" s="314"/>
      <c r="D228" s="295"/>
      <c r="E228" s="295"/>
      <c r="F228" s="295"/>
      <c r="G228" s="300"/>
    </row>
    <row r="229" spans="1:7" ht="14">
      <c r="A229" s="431"/>
      <c r="B229" s="1448" t="s">
        <v>136</v>
      </c>
      <c r="C229" s="314"/>
      <c r="D229" s="1477" t="s">
        <v>714</v>
      </c>
      <c r="E229" s="1477"/>
      <c r="F229" s="1477"/>
      <c r="G229" s="300"/>
    </row>
    <row r="230" spans="1:7" ht="14">
      <c r="A230" s="431"/>
      <c r="B230" s="14"/>
      <c r="C230" s="314"/>
      <c r="D230" s="299" t="s">
        <v>1255</v>
      </c>
      <c r="E230" s="295"/>
      <c r="F230" s="295"/>
      <c r="G230" s="300"/>
    </row>
    <row r="231" spans="1:7" ht="14">
      <c r="A231" s="431"/>
      <c r="B231" s="431"/>
      <c r="C231" s="314"/>
      <c r="D231" s="312" t="s">
        <v>1623</v>
      </c>
      <c r="E231" s="1478" t="s">
        <v>1626</v>
      </c>
      <c r="F231" s="1478"/>
      <c r="G231" s="300"/>
    </row>
    <row r="232" spans="1:7" ht="14">
      <c r="A232" s="431"/>
      <c r="B232" s="431"/>
      <c r="C232" s="314"/>
      <c r="D232" s="1485" t="s">
        <v>1628</v>
      </c>
      <c r="E232" s="1485"/>
      <c r="F232" s="1485"/>
      <c r="G232" s="300"/>
    </row>
    <row r="233" spans="1:7" ht="12.9">
      <c r="A233" s="435"/>
      <c r="B233" s="435"/>
      <c r="C233" s="314"/>
      <c r="D233" s="1485"/>
      <c r="E233" s="1485"/>
      <c r="F233" s="1485"/>
      <c r="G233" s="300"/>
    </row>
    <row r="234" spans="1:7" ht="12.9">
      <c r="A234" s="435"/>
      <c r="B234" s="435"/>
      <c r="C234" s="314"/>
      <c r="D234" s="1485"/>
      <c r="E234" s="1485"/>
      <c r="F234" s="1485"/>
      <c r="G234" s="300"/>
    </row>
    <row r="235" spans="1:7" ht="12.9">
      <c r="A235" s="435"/>
      <c r="B235" s="435"/>
      <c r="C235" s="314"/>
      <c r="D235" s="1485"/>
      <c r="E235" s="1485"/>
      <c r="F235" s="1485"/>
      <c r="G235" s="300"/>
    </row>
    <row r="236" spans="1:7" ht="12.9">
      <c r="A236" s="435"/>
      <c r="B236" s="435"/>
      <c r="C236" s="314"/>
      <c r="D236" s="1485"/>
      <c r="E236" s="1485"/>
      <c r="F236" s="1485"/>
      <c r="G236" s="300"/>
    </row>
    <row r="237" spans="1:7" ht="12.9">
      <c r="A237" s="435"/>
      <c r="B237" s="435"/>
      <c r="C237" s="314"/>
      <c r="D237" s="1485" t="s">
        <v>1599</v>
      </c>
      <c r="E237" s="1485"/>
      <c r="F237" s="1485"/>
      <c r="G237" s="300"/>
    </row>
    <row r="238" spans="1:7" ht="12.9">
      <c r="A238" s="435"/>
      <c r="B238" s="435"/>
      <c r="C238" s="314"/>
      <c r="D238" s="299"/>
      <c r="E238" s="295"/>
      <c r="F238" s="295"/>
      <c r="G238" s="300"/>
    </row>
    <row r="239" spans="1:7" ht="14">
      <c r="A239" s="431"/>
      <c r="B239" s="1448" t="s">
        <v>136</v>
      </c>
      <c r="C239" s="314"/>
      <c r="D239" s="1477" t="s">
        <v>715</v>
      </c>
      <c r="E239" s="1477"/>
      <c r="F239" s="1477"/>
      <c r="G239" s="300"/>
    </row>
    <row r="240" spans="1:7" ht="14">
      <c r="A240" s="431"/>
      <c r="B240" s="14"/>
      <c r="C240" s="314"/>
      <c r="D240" s="1477" t="s">
        <v>1255</v>
      </c>
      <c r="E240" s="1477"/>
      <c r="F240" s="1477"/>
      <c r="G240" s="300"/>
    </row>
    <row r="241" spans="1:7" ht="14">
      <c r="A241" s="431"/>
      <c r="B241" s="431"/>
      <c r="C241" s="314"/>
      <c r="D241" s="312" t="s">
        <v>1623</v>
      </c>
      <c r="E241" s="1478" t="s">
        <v>1629</v>
      </c>
      <c r="F241" s="1478"/>
      <c r="G241" s="300"/>
    </row>
    <row r="242" spans="1:7" ht="12.9">
      <c r="A242" s="435"/>
      <c r="B242" s="435"/>
      <c r="C242" s="314"/>
      <c r="D242" s="1476" t="s">
        <v>2297</v>
      </c>
      <c r="E242" s="1477"/>
      <c r="F242" s="1477"/>
      <c r="G242" s="300"/>
    </row>
    <row r="243" spans="1:7" ht="12.9">
      <c r="A243" s="435"/>
      <c r="B243" s="435"/>
      <c r="C243" s="314"/>
      <c r="D243" s="1443"/>
      <c r="E243" s="1443"/>
      <c r="F243" s="1443"/>
      <c r="G243" s="300"/>
    </row>
    <row r="244" spans="1:7" ht="14">
      <c r="A244" s="431"/>
      <c r="B244" s="1448" t="s">
        <v>136</v>
      </c>
      <c r="C244" s="314"/>
      <c r="D244" s="1476" t="s">
        <v>2296</v>
      </c>
      <c r="E244" s="1477"/>
      <c r="F244" s="1477"/>
      <c r="G244" s="300"/>
    </row>
    <row r="245" spans="1:7" ht="14">
      <c r="A245" s="431"/>
      <c r="B245" s="14"/>
      <c r="C245" s="314"/>
      <c r="D245" s="1477" t="s">
        <v>1255</v>
      </c>
      <c r="E245" s="1477"/>
      <c r="F245" s="1477"/>
      <c r="G245" s="300"/>
    </row>
    <row r="246" spans="1:7" ht="14">
      <c r="A246" s="431"/>
      <c r="B246" s="431"/>
      <c r="C246" s="314"/>
      <c r="D246" s="1444" t="s">
        <v>1623</v>
      </c>
      <c r="E246" s="1478" t="s">
        <v>2298</v>
      </c>
      <c r="F246" s="1478"/>
      <c r="G246" s="300"/>
    </row>
    <row r="247" spans="1:7" ht="12.9">
      <c r="A247" s="435"/>
      <c r="B247" s="435"/>
      <c r="C247" s="314"/>
      <c r="D247" s="1476" t="s">
        <v>2299</v>
      </c>
      <c r="E247" s="1477"/>
      <c r="F247" s="1477"/>
      <c r="G247" s="300"/>
    </row>
    <row r="248" spans="1:7" ht="12.9">
      <c r="A248" s="435"/>
      <c r="B248" s="435"/>
      <c r="C248" s="314"/>
      <c r="D248" s="421"/>
      <c r="E248" s="300"/>
      <c r="F248" s="300"/>
      <c r="G248" s="300"/>
    </row>
    <row r="249" spans="1:7" ht="14">
      <c r="A249" s="431"/>
      <c r="B249" s="1448" t="s">
        <v>136</v>
      </c>
      <c r="D249" s="1010" t="s">
        <v>1655</v>
      </c>
      <c r="E249" s="1010"/>
      <c r="F249" s="1010"/>
    </row>
    <row r="250" spans="1:7" ht="14">
      <c r="A250" s="431"/>
      <c r="B250" s="2"/>
      <c r="D250" s="1499" t="s">
        <v>2036</v>
      </c>
      <c r="E250" s="1485"/>
      <c r="F250" s="1485"/>
    </row>
    <row r="251" spans="1:7" ht="14">
      <c r="A251" s="431"/>
      <c r="B251" s="435"/>
      <c r="D251" s="1485"/>
      <c r="E251" s="1485"/>
      <c r="F251" s="1485"/>
    </row>
    <row r="252" spans="1:7" ht="14">
      <c r="A252" s="431"/>
      <c r="B252" s="435"/>
      <c r="D252" s="1485"/>
      <c r="E252" s="1485"/>
      <c r="F252" s="1485"/>
    </row>
    <row r="253" spans="1:7" ht="14">
      <c r="A253" s="431"/>
      <c r="B253" s="435"/>
      <c r="D253" s="1009"/>
      <c r="E253" s="1009"/>
      <c r="F253" s="1009"/>
    </row>
    <row r="254" spans="1:7" ht="14">
      <c r="A254" s="431"/>
      <c r="B254" s="1448" t="s">
        <v>136</v>
      </c>
      <c r="D254" s="1535" t="s">
        <v>1154</v>
      </c>
      <c r="E254" s="1535"/>
      <c r="F254" s="1535"/>
    </row>
    <row r="255" spans="1:7" ht="14">
      <c r="A255" s="431"/>
      <c r="B255" s="435"/>
      <c r="D255" s="1010"/>
      <c r="E255" s="1010"/>
      <c r="F255" s="1010"/>
    </row>
    <row r="256" spans="1:7" ht="12.9">
      <c r="A256" s="1497" t="s">
        <v>1571</v>
      </c>
      <c r="B256" s="1497"/>
      <c r="C256" s="1497"/>
      <c r="D256" s="1497"/>
      <c r="E256" s="1497"/>
      <c r="F256" s="1497"/>
      <c r="G256" s="1497"/>
    </row>
    <row r="257" spans="1:7" ht="12.9">
      <c r="A257" s="152"/>
      <c r="B257" s="152"/>
      <c r="C257" s="14"/>
      <c r="D257" s="299"/>
      <c r="E257" s="294"/>
      <c r="F257" s="294"/>
    </row>
    <row r="258" spans="1:7" ht="12.9">
      <c r="A258" s="152"/>
      <c r="B258" s="152"/>
      <c r="C258" s="976"/>
      <c r="D258" s="1498" t="s">
        <v>1570</v>
      </c>
      <c r="E258" s="1498"/>
      <c r="F258" s="1498"/>
    </row>
    <row r="259" spans="1:7" ht="12.9">
      <c r="A259" s="432"/>
      <c r="B259" s="432"/>
      <c r="C259" s="310"/>
      <c r="D259" s="1482" t="s">
        <v>1606</v>
      </c>
      <c r="E259" s="1482"/>
      <c r="F259" s="1482"/>
    </row>
    <row r="260" spans="1:7" ht="12.9">
      <c r="A260" s="33"/>
      <c r="B260" s="33"/>
      <c r="C260" s="334"/>
      <c r="D260" s="6"/>
      <c r="E260" s="294"/>
      <c r="F260" s="294"/>
    </row>
    <row r="261" spans="1:7" ht="12.9">
      <c r="A261" s="33"/>
      <c r="B261" s="14"/>
      <c r="C261" s="334"/>
      <c r="D261" s="1498" t="s">
        <v>233</v>
      </c>
      <c r="E261" s="1498"/>
      <c r="F261" s="1498"/>
      <c r="G261" s="2"/>
    </row>
    <row r="262" spans="1:7" ht="14.55" customHeight="1">
      <c r="A262" s="431"/>
      <c r="B262" s="1000" t="s">
        <v>1559</v>
      </c>
      <c r="C262" s="14"/>
      <c r="D262" s="1485" t="s">
        <v>1796</v>
      </c>
      <c r="E262" s="1485"/>
      <c r="F262" s="1485"/>
      <c r="G262" s="2"/>
    </row>
    <row r="263" spans="1:7" ht="14">
      <c r="A263" s="431"/>
      <c r="B263" s="431"/>
      <c r="C263" s="14"/>
      <c r="D263" s="1485"/>
      <c r="E263" s="1485"/>
      <c r="F263" s="1485"/>
      <c r="G263" s="2"/>
    </row>
    <row r="264" spans="1:7" ht="14">
      <c r="A264" s="431"/>
      <c r="B264" s="431"/>
      <c r="C264" s="14"/>
      <c r="D264" s="1485"/>
      <c r="E264" s="1485"/>
      <c r="F264" s="1485"/>
      <c r="G264" s="2"/>
    </row>
    <row r="265" spans="1:7" ht="14.55" customHeight="1">
      <c r="A265" s="431"/>
      <c r="B265" s="431"/>
      <c r="C265" s="14"/>
      <c r="D265" s="1485" t="s">
        <v>1797</v>
      </c>
      <c r="E265" s="1485"/>
      <c r="F265" s="1485"/>
      <c r="G265" s="2"/>
    </row>
    <row r="266" spans="1:7" ht="14">
      <c r="A266" s="431"/>
      <c r="B266" s="431"/>
      <c r="C266" s="14"/>
      <c r="D266" s="1485"/>
      <c r="E266" s="1485"/>
      <c r="F266" s="1485"/>
      <c r="G266" s="2"/>
    </row>
    <row r="267" spans="1:7" ht="14">
      <c r="A267" s="431"/>
      <c r="B267" s="431"/>
      <c r="C267" s="14"/>
      <c r="D267" s="1485"/>
      <c r="E267" s="1485"/>
      <c r="F267" s="1485"/>
      <c r="G267" s="2"/>
    </row>
    <row r="268" spans="1:7" ht="14">
      <c r="A268" s="431"/>
      <c r="B268" s="431"/>
      <c r="C268" s="14"/>
      <c r="D268" s="1485"/>
      <c r="E268" s="1485"/>
      <c r="F268" s="1485"/>
      <c r="G268" s="2"/>
    </row>
    <row r="269" spans="1:7" ht="14">
      <c r="A269" s="431"/>
      <c r="B269" s="431"/>
      <c r="C269" s="14"/>
      <c r="D269" s="1485"/>
      <c r="E269" s="1485"/>
      <c r="F269" s="1485"/>
      <c r="G269" s="2"/>
    </row>
    <row r="270" spans="1:7" s="804" customFormat="1" ht="14.55" customHeight="1">
      <c r="A270" s="1429"/>
      <c r="B270" s="1426" t="s">
        <v>136</v>
      </c>
      <c r="C270" s="1430"/>
      <c r="D270" s="1479" t="s">
        <v>2280</v>
      </c>
      <c r="E270" s="1479"/>
      <c r="F270" s="1479"/>
      <c r="G270" s="1431"/>
    </row>
    <row r="271" spans="1:7" s="804" customFormat="1" ht="14">
      <c r="A271" s="1429"/>
      <c r="B271" s="1430"/>
      <c r="C271" s="1430"/>
      <c r="D271" s="1479"/>
      <c r="E271" s="1479"/>
      <c r="F271" s="1479"/>
      <c r="G271" s="1431"/>
    </row>
    <row r="272" spans="1:7" s="804" customFormat="1" ht="14">
      <c r="A272" s="1429"/>
      <c r="B272" s="1430"/>
      <c r="C272" s="1430"/>
      <c r="D272" s="1479"/>
      <c r="E272" s="1479"/>
      <c r="F272" s="1479"/>
      <c r="G272" s="1431"/>
    </row>
    <row r="273" spans="1:7" s="804" customFormat="1" ht="12.9">
      <c r="A273" s="1430"/>
      <c r="B273" s="1430"/>
      <c r="C273" s="1430"/>
      <c r="D273" s="1480" t="s">
        <v>2281</v>
      </c>
      <c r="E273" s="1480"/>
      <c r="F273" s="1480"/>
      <c r="G273" s="1431"/>
    </row>
    <row r="274" spans="1:7" ht="14">
      <c r="A274" s="431"/>
      <c r="B274" s="431"/>
      <c r="C274" s="14"/>
      <c r="D274" s="299"/>
      <c r="E274" s="2"/>
      <c r="F274" s="2"/>
      <c r="G274" s="2"/>
    </row>
    <row r="275" spans="1:7" ht="14">
      <c r="A275" s="431"/>
      <c r="B275" s="1000" t="s">
        <v>1559</v>
      </c>
      <c r="C275" s="14"/>
      <c r="D275" s="1482" t="s">
        <v>1256</v>
      </c>
      <c r="E275" s="1482"/>
      <c r="F275" s="1482"/>
      <c r="G275" s="2"/>
    </row>
    <row r="276" spans="1:7" ht="14">
      <c r="A276" s="431"/>
      <c r="B276" s="431"/>
      <c r="C276" s="14"/>
      <c r="D276" s="1482" t="s">
        <v>1798</v>
      </c>
      <c r="E276" s="1482"/>
      <c r="F276" s="1482"/>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85" t="s">
        <v>1799</v>
      </c>
      <c r="E279" s="1485"/>
      <c r="F279" s="1485"/>
    </row>
    <row r="280" spans="1:7" ht="14">
      <c r="A280" s="431"/>
      <c r="B280" s="431"/>
      <c r="C280" s="14"/>
      <c r="D280" s="1485"/>
      <c r="E280" s="1485"/>
      <c r="F280" s="1485"/>
    </row>
    <row r="281" spans="1:7" ht="12.9">
      <c r="A281" s="152"/>
      <c r="B281" s="152"/>
      <c r="C281" s="14"/>
      <c r="D281" s="335"/>
      <c r="E281" s="294"/>
      <c r="F281" s="294"/>
    </row>
    <row r="282" spans="1:7" ht="12.9">
      <c r="A282" s="1497" t="s">
        <v>1573</v>
      </c>
      <c r="B282" s="1497"/>
      <c r="C282" s="1497"/>
      <c r="D282" s="1497"/>
      <c r="E282" s="1497"/>
      <c r="F282" s="1497"/>
      <c r="G282" s="1497"/>
    </row>
    <row r="283" spans="1:7" ht="12.9">
      <c r="A283" s="152"/>
      <c r="B283" s="152"/>
      <c r="C283" s="14"/>
      <c r="D283" s="335"/>
      <c r="E283" s="294"/>
      <c r="F283" s="294"/>
    </row>
    <row r="284" spans="1:7" ht="12.9">
      <c r="A284" s="152"/>
      <c r="B284" s="152"/>
      <c r="C284" s="976"/>
      <c r="D284" s="1498" t="s">
        <v>1572</v>
      </c>
      <c r="E284" s="1498"/>
      <c r="F284" s="1498"/>
    </row>
    <row r="285" spans="1:7" ht="12.9">
      <c r="A285" s="432"/>
      <c r="B285" s="432"/>
      <c r="C285" s="310"/>
      <c r="D285" s="299"/>
      <c r="E285" s="294"/>
      <c r="F285" s="294"/>
    </row>
    <row r="286" spans="1:7" ht="12.9">
      <c r="A286" s="433"/>
      <c r="B286" s="433"/>
      <c r="C286" s="311"/>
      <c r="D286" s="1498" t="s">
        <v>235</v>
      </c>
      <c r="E286" s="1498"/>
      <c r="F286" s="1498"/>
    </row>
    <row r="287" spans="1:7" ht="14.55" customHeight="1">
      <c r="A287" s="431"/>
      <c r="B287" s="1000" t="s">
        <v>1559</v>
      </c>
      <c r="C287" s="14"/>
      <c r="D287" s="1499" t="s">
        <v>2212</v>
      </c>
      <c r="E287" s="1485"/>
      <c r="F287" s="1485"/>
    </row>
    <row r="288" spans="1:7" ht="12.9">
      <c r="A288" s="152"/>
      <c r="B288" s="152"/>
      <c r="C288" s="14"/>
      <c r="D288" s="1485"/>
      <c r="E288" s="1485"/>
      <c r="F288" s="1485"/>
    </row>
    <row r="289" spans="1:7" ht="12.9">
      <c r="A289" s="152"/>
      <c r="B289" s="152"/>
      <c r="C289" s="14"/>
      <c r="D289" s="1485"/>
      <c r="E289" s="1485"/>
      <c r="F289" s="1485"/>
    </row>
    <row r="290" spans="1:7" ht="12.9">
      <c r="A290" s="1076"/>
      <c r="B290" s="1076"/>
      <c r="C290" s="14"/>
      <c r="D290" s="1425"/>
      <c r="E290" s="1425"/>
      <c r="F290" s="1425"/>
    </row>
    <row r="291" spans="1:7" s="804" customFormat="1" ht="14.55" customHeight="1">
      <c r="A291" s="1429"/>
      <c r="B291" s="1426" t="s">
        <v>136</v>
      </c>
      <c r="C291" s="1430"/>
      <c r="D291" s="1479" t="s">
        <v>2282</v>
      </c>
      <c r="E291" s="1479"/>
      <c r="F291" s="1479"/>
      <c r="G291" s="1431"/>
    </row>
    <row r="292" spans="1:7" s="804" customFormat="1" ht="12.9">
      <c r="A292" s="1430"/>
      <c r="B292" s="1430"/>
      <c r="C292" s="1430"/>
      <c r="D292" s="1479"/>
      <c r="E292" s="1479"/>
      <c r="F292" s="1479"/>
      <c r="G292" s="1431"/>
    </row>
    <row r="293" spans="1:7" s="804" customFormat="1" ht="12.9">
      <c r="A293" s="1430"/>
      <c r="B293" s="1430"/>
      <c r="C293" s="1430"/>
      <c r="D293" s="1479"/>
      <c r="E293" s="1479"/>
      <c r="F293" s="1479"/>
      <c r="G293" s="1431"/>
    </row>
    <row r="294" spans="1:7" s="804" customFormat="1" ht="12.9">
      <c r="A294" s="1430"/>
      <c r="B294" s="1430"/>
      <c r="C294" s="1430"/>
      <c r="D294" s="1481" t="s">
        <v>2283</v>
      </c>
      <c r="E294" s="1481"/>
      <c r="F294" s="1481"/>
      <c r="G294" s="1431"/>
    </row>
    <row r="295" spans="1:7" ht="12.9">
      <c r="A295" s="152"/>
      <c r="B295" s="152"/>
      <c r="C295" s="14"/>
      <c r="D295" s="349"/>
      <c r="E295" s="294"/>
      <c r="F295" s="294"/>
    </row>
    <row r="296" spans="1:7" ht="12.9">
      <c r="A296" s="1497" t="s">
        <v>1574</v>
      </c>
      <c r="B296" s="1497"/>
      <c r="C296" s="1497"/>
      <c r="D296" s="1497"/>
      <c r="E296" s="1497"/>
      <c r="F296" s="1497"/>
      <c r="G296" s="1497"/>
    </row>
    <row r="297" spans="1:7" ht="12.9">
      <c r="A297" s="152"/>
      <c r="B297" s="152"/>
      <c r="C297" s="14"/>
      <c r="D297" s="349"/>
      <c r="E297" s="294"/>
      <c r="F297" s="294"/>
    </row>
    <row r="298" spans="1:7" ht="12.9">
      <c r="A298" s="152"/>
      <c r="B298" s="152"/>
      <c r="C298" s="310"/>
      <c r="D298" s="1500" t="s">
        <v>1800</v>
      </c>
      <c r="E298" s="1500"/>
      <c r="F298" s="1500"/>
    </row>
    <row r="299" spans="1:7" ht="12.9">
      <c r="A299" s="152"/>
      <c r="B299" s="152"/>
      <c r="C299" s="310"/>
      <c r="D299" s="1500"/>
      <c r="E299" s="1500"/>
      <c r="F299" s="1500"/>
    </row>
    <row r="300" spans="1:7" ht="12.9">
      <c r="A300" s="433"/>
      <c r="B300" s="433"/>
      <c r="C300" s="311"/>
      <c r="D300" s="6"/>
      <c r="E300" s="294"/>
      <c r="F300" s="294"/>
    </row>
    <row r="301" spans="1:7" ht="12.9">
      <c r="A301" s="152"/>
      <c r="B301" s="152"/>
      <c r="C301" s="311"/>
      <c r="D301" s="1498" t="s">
        <v>179</v>
      </c>
      <c r="E301" s="1498"/>
      <c r="F301" s="1498"/>
    </row>
    <row r="302" spans="1:7" ht="14">
      <c r="A302" s="431"/>
      <c r="B302" s="431"/>
      <c r="C302" s="14"/>
      <c r="D302" s="1502" t="s">
        <v>1801</v>
      </c>
      <c r="E302" s="1502"/>
      <c r="F302" s="1502"/>
    </row>
    <row r="303" spans="1:7" ht="11.95" customHeight="1">
      <c r="A303" s="152"/>
      <c r="B303" s="152"/>
      <c r="C303" s="14"/>
      <c r="D303" s="294"/>
      <c r="E303" s="294"/>
      <c r="F303" s="294"/>
    </row>
    <row r="304" spans="1:7" ht="14.55" customHeight="1">
      <c r="A304" s="431"/>
      <c r="B304" s="1448" t="s">
        <v>136</v>
      </c>
      <c r="C304" s="14"/>
      <c r="D304" s="1485" t="s">
        <v>1802</v>
      </c>
      <c r="E304" s="1485"/>
      <c r="F304" s="1485"/>
    </row>
    <row r="305" spans="1:7" ht="14">
      <c r="A305" s="431"/>
      <c r="B305" s="431"/>
      <c r="C305" s="14"/>
      <c r="D305" s="1485"/>
      <c r="E305" s="1485"/>
      <c r="F305" s="1485"/>
    </row>
    <row r="306" spans="1:7" ht="12.9">
      <c r="A306" s="152"/>
      <c r="B306" s="152"/>
      <c r="C306" s="14"/>
      <c r="D306" s="294"/>
      <c r="E306" s="294"/>
      <c r="F306" s="294"/>
    </row>
    <row r="307" spans="1:7" ht="14.55" customHeight="1">
      <c r="A307" s="431"/>
      <c r="B307" s="1448" t="s">
        <v>136</v>
      </c>
      <c r="C307" s="14"/>
      <c r="D307" s="1486" t="s">
        <v>1803</v>
      </c>
      <c r="E307" s="1486"/>
      <c r="F307" s="1486"/>
    </row>
    <row r="308" spans="1:7" ht="14">
      <c r="A308" s="431"/>
      <c r="B308" s="431"/>
      <c r="C308" s="14"/>
      <c r="D308" s="1486"/>
      <c r="E308" s="1486"/>
      <c r="F308" s="1486"/>
    </row>
    <row r="309" spans="1:7" ht="14">
      <c r="A309" s="431"/>
      <c r="B309" s="431"/>
      <c r="C309" s="14"/>
      <c r="D309" s="1486"/>
      <c r="E309" s="1486"/>
      <c r="F309" s="1486"/>
    </row>
    <row r="310" spans="1:7" ht="12.9">
      <c r="A310" s="152"/>
      <c r="B310" s="152"/>
      <c r="C310" s="14"/>
      <c r="D310" s="155"/>
      <c r="E310"/>
      <c r="F310"/>
      <c r="G310"/>
    </row>
    <row r="311" spans="1:7" ht="14">
      <c r="A311" s="431"/>
      <c r="B311" s="1448" t="s">
        <v>136</v>
      </c>
      <c r="C311" s="14"/>
      <c r="D311" s="1485" t="s">
        <v>1804</v>
      </c>
      <c r="E311" s="1485"/>
      <c r="F311" s="1485"/>
    </row>
    <row r="312" spans="1:7" ht="14">
      <c r="A312" s="431"/>
      <c r="B312" s="431"/>
      <c r="C312" s="14"/>
      <c r="D312" s="1485"/>
      <c r="E312" s="1485"/>
      <c r="F312" s="1485"/>
    </row>
    <row r="313" spans="1:7" ht="12.9">
      <c r="A313" s="33"/>
      <c r="B313" s="33"/>
      <c r="C313" s="14"/>
      <c r="D313" s="299"/>
      <c r="E313" s="294"/>
      <c r="F313" s="294"/>
    </row>
    <row r="314" spans="1:7" ht="12.9">
      <c r="A314" s="1497" t="s">
        <v>1561</v>
      </c>
      <c r="B314" s="1497"/>
      <c r="C314" s="1497"/>
      <c r="D314" s="1497"/>
      <c r="E314" s="1497"/>
      <c r="F314" s="1497"/>
      <c r="G314" s="1497"/>
    </row>
    <row r="315" spans="1:7" ht="12.9">
      <c r="A315" s="33"/>
      <c r="B315" s="33"/>
      <c r="C315" s="14"/>
      <c r="D315" s="299"/>
      <c r="E315" s="294"/>
      <c r="F315" s="294"/>
      <c r="G315" s="2"/>
    </row>
    <row r="316" spans="1:7" ht="12.9">
      <c r="A316" s="152"/>
      <c r="B316" s="152"/>
      <c r="C316" s="334"/>
      <c r="D316" s="1498" t="s">
        <v>180</v>
      </c>
      <c r="E316" s="1498"/>
      <c r="F316" s="1498"/>
      <c r="G316" s="2"/>
    </row>
    <row r="317" spans="1:7" ht="12.9">
      <c r="A317" s="152"/>
      <c r="B317" s="152"/>
      <c r="C317" s="334"/>
      <c r="D317" s="1482" t="s">
        <v>1607</v>
      </c>
      <c r="E317" s="1482"/>
      <c r="F317" s="1482"/>
      <c r="G317" s="2"/>
    </row>
    <row r="318" spans="1:7" ht="12.9">
      <c r="A318" s="152"/>
      <c r="B318" s="152"/>
      <c r="C318" s="334"/>
      <c r="D318" s="302"/>
      <c r="E318" s="294"/>
      <c r="F318" s="294"/>
      <c r="G318" s="2"/>
    </row>
    <row r="319" spans="1:7" ht="12.9">
      <c r="A319" s="152"/>
      <c r="B319" s="1448" t="s">
        <v>136</v>
      </c>
      <c r="C319" s="14"/>
      <c r="D319" s="1482" t="s">
        <v>1805</v>
      </c>
      <c r="E319" s="1482"/>
      <c r="F319" s="1482"/>
      <c r="G319" s="2"/>
    </row>
    <row r="320" spans="1:7" ht="14">
      <c r="A320" s="596"/>
      <c r="B320" s="596"/>
      <c r="D320" s="736"/>
      <c r="G320" s="2"/>
    </row>
    <row r="321" spans="1:7" ht="14">
      <c r="A321" s="431"/>
      <c r="B321" s="1448" t="s">
        <v>136</v>
      </c>
      <c r="C321" s="14"/>
      <c r="D321" s="1482" t="s">
        <v>1806</v>
      </c>
      <c r="E321" s="1482"/>
      <c r="F321" s="1482"/>
      <c r="G321" s="2"/>
    </row>
    <row r="322" spans="1:7" ht="12.9">
      <c r="A322" s="152"/>
      <c r="B322" s="152"/>
      <c r="C322" s="14"/>
      <c r="D322" s="294"/>
      <c r="E322" s="294"/>
      <c r="F322" s="294"/>
      <c r="G322" s="2"/>
    </row>
    <row r="323" spans="1:7" ht="14.55" customHeight="1">
      <c r="A323" s="431"/>
      <c r="B323" s="1448" t="s">
        <v>136</v>
      </c>
      <c r="C323" s="14"/>
      <c r="D323" s="1486" t="s">
        <v>1812</v>
      </c>
      <c r="E323" s="1486"/>
      <c r="F323" s="1486"/>
      <c r="G323" s="2"/>
    </row>
    <row r="324" spans="1:7" ht="14">
      <c r="A324" s="431"/>
      <c r="B324" s="431"/>
      <c r="C324" s="14"/>
      <c r="D324" s="1486"/>
      <c r="E324" s="1486"/>
      <c r="F324" s="1486"/>
      <c r="G324" s="2"/>
    </row>
    <row r="325" spans="1:7" ht="14">
      <c r="A325" s="431"/>
      <c r="B325" s="431"/>
      <c r="C325" s="14"/>
      <c r="D325" s="1486"/>
      <c r="E325" s="1486"/>
      <c r="F325" s="1486"/>
      <c r="G325" s="2"/>
    </row>
    <row r="326" spans="1:7" ht="14">
      <c r="A326" s="431"/>
      <c r="B326" s="431"/>
      <c r="C326" s="14"/>
      <c r="D326" s="1486"/>
      <c r="E326" s="1486"/>
      <c r="F326" s="1486"/>
      <c r="G326" s="2"/>
    </row>
    <row r="327" spans="1:7" ht="14">
      <c r="A327" s="431"/>
      <c r="B327" s="431"/>
      <c r="C327" s="14"/>
      <c r="D327" s="1486"/>
      <c r="E327" s="1486"/>
      <c r="F327" s="1486"/>
      <c r="G327" s="2"/>
    </row>
    <row r="328" spans="1:7" ht="14">
      <c r="A328" s="431"/>
      <c r="B328" s="431"/>
      <c r="C328" s="14"/>
      <c r="D328" s="1486"/>
      <c r="E328" s="1486"/>
      <c r="F328" s="1486"/>
      <c r="G328" s="2"/>
    </row>
    <row r="329" spans="1:7" ht="14">
      <c r="A329" s="431"/>
      <c r="B329" s="431"/>
      <c r="C329" s="14"/>
      <c r="D329" s="1486"/>
      <c r="E329" s="1486"/>
      <c r="F329" s="1486"/>
      <c r="G329" s="2"/>
    </row>
    <row r="330" spans="1:7" ht="14">
      <c r="A330" s="431"/>
      <c r="B330" s="431"/>
      <c r="C330" s="14"/>
      <c r="D330" s="1486"/>
      <c r="E330" s="1486"/>
      <c r="F330" s="1486"/>
      <c r="G330" s="2"/>
    </row>
    <row r="331" spans="1:7" ht="14">
      <c r="A331" s="431"/>
      <c r="B331" s="431"/>
      <c r="C331" s="14"/>
      <c r="D331" s="1486"/>
      <c r="E331" s="1486"/>
      <c r="F331" s="1486"/>
    </row>
    <row r="332" spans="1:7" ht="14">
      <c r="A332" s="431"/>
      <c r="B332" s="431"/>
      <c r="C332" s="14"/>
      <c r="D332" s="1486"/>
      <c r="E332" s="1486"/>
      <c r="F332" s="1486"/>
    </row>
    <row r="333" spans="1:7" ht="14">
      <c r="A333" s="431"/>
      <c r="B333" s="431"/>
      <c r="C333" s="14"/>
      <c r="D333" s="1486"/>
      <c r="E333" s="1486"/>
      <c r="F333" s="1486"/>
    </row>
    <row r="334" spans="1:7" ht="14">
      <c r="A334" s="431"/>
      <c r="B334" s="431"/>
      <c r="C334" s="14"/>
      <c r="D334" s="1486"/>
      <c r="E334" s="1486"/>
      <c r="F334" s="1486"/>
    </row>
    <row r="335" spans="1:7" ht="14">
      <c r="A335" s="431"/>
      <c r="B335" s="431"/>
      <c r="C335" s="14"/>
      <c r="D335" s="1486"/>
      <c r="E335" s="1486"/>
      <c r="F335" s="1486"/>
    </row>
    <row r="336" spans="1:7" ht="14">
      <c r="A336" s="431"/>
      <c r="B336" s="431"/>
      <c r="C336" s="14"/>
      <c r="D336" s="1486"/>
      <c r="E336" s="1486"/>
      <c r="F336" s="1486"/>
    </row>
    <row r="337" spans="1:8" ht="14">
      <c r="A337" s="431"/>
      <c r="B337" s="431"/>
      <c r="C337" s="14"/>
      <c r="D337" s="1486"/>
      <c r="E337" s="1486"/>
      <c r="F337" s="1486"/>
    </row>
    <row r="338" spans="1:8" ht="12.9">
      <c r="A338" s="152"/>
      <c r="B338" s="152"/>
      <c r="C338" s="14"/>
      <c r="D338" s="294"/>
      <c r="E338" s="294"/>
      <c r="F338" s="294"/>
    </row>
    <row r="339" spans="1:8" s="50" customFormat="1" ht="14.55" customHeight="1">
      <c r="A339" s="431"/>
      <c r="B339" s="1448" t="s">
        <v>136</v>
      </c>
      <c r="C339" s="152"/>
      <c r="D339" s="1486" t="s">
        <v>1807</v>
      </c>
      <c r="E339" s="1486"/>
      <c r="F339" s="1486"/>
      <c r="G339" s="8"/>
      <c r="H339" s="16"/>
    </row>
    <row r="340" spans="1:8" s="50" customFormat="1" ht="12.9">
      <c r="A340" s="152"/>
      <c r="B340" s="152"/>
      <c r="C340" s="152"/>
      <c r="D340" s="1486"/>
      <c r="E340" s="1486"/>
      <c r="F340" s="1486"/>
      <c r="G340" s="8"/>
      <c r="H340" s="16"/>
    </row>
    <row r="341" spans="1:8" s="50" customFormat="1" ht="12.9">
      <c r="A341" s="152"/>
      <c r="B341" s="152"/>
      <c r="C341" s="152"/>
      <c r="D341" s="1486"/>
      <c r="E341" s="1486"/>
      <c r="F341" s="1486"/>
      <c r="G341" s="8"/>
      <c r="H341" s="16"/>
    </row>
    <row r="342" spans="1:8" s="50" customFormat="1" ht="12.9">
      <c r="A342" s="152"/>
      <c r="B342" s="152"/>
      <c r="C342" s="152"/>
      <c r="D342" s="1486"/>
      <c r="E342" s="1486"/>
      <c r="F342" s="1486"/>
      <c r="G342" s="8"/>
      <c r="H342" s="16"/>
    </row>
    <row r="343" spans="1:8" s="50" customFormat="1" ht="12.9">
      <c r="A343" s="152"/>
      <c r="B343" s="152"/>
      <c r="C343" s="152"/>
      <c r="D343" s="1486"/>
      <c r="E343" s="1486"/>
      <c r="F343" s="1486"/>
      <c r="G343" s="8"/>
      <c r="H343" s="16"/>
    </row>
    <row r="344" spans="1:8" s="50" customFormat="1" ht="12.9">
      <c r="A344" s="152"/>
      <c r="B344" s="152"/>
      <c r="C344" s="152"/>
      <c r="D344" s="1486"/>
      <c r="E344" s="1486"/>
      <c r="F344" s="1486"/>
      <c r="G344" s="8"/>
      <c r="H344" s="16"/>
    </row>
    <row r="345" spans="1:8" s="50" customFormat="1" ht="12.9">
      <c r="A345" s="152"/>
      <c r="B345" s="152"/>
      <c r="C345" s="152"/>
      <c r="D345" s="1486"/>
      <c r="E345" s="1486"/>
      <c r="F345" s="1486"/>
      <c r="G345" s="8"/>
      <c r="H345" s="16"/>
    </row>
    <row r="346" spans="1:8" s="50" customFormat="1" ht="12.9">
      <c r="A346" s="152"/>
      <c r="B346" s="152"/>
      <c r="C346" s="152"/>
      <c r="D346" s="1486"/>
      <c r="E346" s="1486"/>
      <c r="F346" s="1486"/>
      <c r="G346" s="8"/>
      <c r="H346" s="16"/>
    </row>
    <row r="347" spans="1:8" s="50" customFormat="1" ht="12.9">
      <c r="A347" s="152"/>
      <c r="B347" s="152"/>
      <c r="C347" s="152"/>
      <c r="D347" s="1486"/>
      <c r="E347" s="1486"/>
      <c r="F347" s="1486"/>
      <c r="G347" s="8"/>
      <c r="H347" s="16"/>
    </row>
    <row r="348" spans="1:8" ht="12.9">
      <c r="A348" s="162"/>
      <c r="B348" s="162"/>
      <c r="E348" s="421"/>
      <c r="F348" s="421"/>
    </row>
    <row r="349" spans="1:8" ht="14">
      <c r="A349" s="431"/>
      <c r="B349" s="1448" t="s">
        <v>136</v>
      </c>
      <c r="C349" s="14"/>
      <c r="D349" s="1499" t="s">
        <v>2204</v>
      </c>
      <c r="E349" s="1485"/>
      <c r="F349" s="1485"/>
    </row>
    <row r="350" spans="1:8" ht="12.9">
      <c r="A350" s="152"/>
      <c r="B350" s="152"/>
      <c r="C350" s="14"/>
      <c r="D350" s="1485"/>
      <c r="E350" s="1485"/>
      <c r="F350" s="1485"/>
    </row>
    <row r="351" spans="1:8" ht="12.9">
      <c r="A351" s="152"/>
      <c r="B351" s="152"/>
      <c r="C351" s="14"/>
      <c r="D351" s="1485"/>
      <c r="E351" s="1485"/>
      <c r="F351" s="1485"/>
    </row>
    <row r="352" spans="1:8" ht="12.9">
      <c r="A352" s="152"/>
      <c r="B352" s="152"/>
      <c r="C352" s="14"/>
      <c r="D352" s="1485"/>
      <c r="E352" s="1485"/>
      <c r="F352" s="1485"/>
    </row>
    <row r="353" spans="1:7" ht="12.9">
      <c r="A353" s="1036"/>
      <c r="B353" s="1036"/>
      <c r="C353" s="14"/>
      <c r="D353" s="1485"/>
      <c r="E353" s="1485"/>
      <c r="F353" s="1485"/>
    </row>
    <row r="354" spans="1:7" ht="12.9">
      <c r="A354" s="152"/>
      <c r="B354" s="152"/>
      <c r="C354" s="14"/>
      <c r="D354" s="1485"/>
      <c r="E354" s="1485"/>
      <c r="F354" s="1485"/>
    </row>
    <row r="355" spans="1:7" ht="13.45" thickBot="1">
      <c r="A355" s="152"/>
      <c r="B355" s="152"/>
      <c r="C355" s="14"/>
      <c r="D355" s="1349"/>
      <c r="E355" s="856"/>
      <c r="F355" s="856"/>
      <c r="G355" s="300"/>
    </row>
    <row r="356" spans="1:7" ht="14" thickTop="1" thickBot="1">
      <c r="A356" s="152"/>
      <c r="B356" s="152"/>
      <c r="C356" s="152"/>
      <c r="D356" s="1501" t="s">
        <v>1428</v>
      </c>
      <c r="E356" s="1501"/>
      <c r="F356" s="1501"/>
      <c r="G356" s="71"/>
    </row>
    <row r="357" spans="1:7" ht="13.45" thickTop="1">
      <c r="A357" s="152"/>
      <c r="B357" s="152"/>
      <c r="C357" s="152"/>
      <c r="D357" s="1505" t="s">
        <v>1808</v>
      </c>
      <c r="E357" s="1505"/>
      <c r="F357" s="1505"/>
      <c r="G357" s="8"/>
    </row>
    <row r="358" spans="1:7" ht="12.9">
      <c r="A358" s="152"/>
      <c r="B358" s="152"/>
      <c r="C358" s="152"/>
      <c r="D358" s="299"/>
      <c r="E358" s="8"/>
      <c r="F358" s="8"/>
      <c r="G358" s="8"/>
    </row>
    <row r="359" spans="1:7" ht="14">
      <c r="A359" s="431"/>
      <c r="B359" s="1448" t="s">
        <v>136</v>
      </c>
      <c r="C359" s="625"/>
      <c r="D359" s="1557" t="s">
        <v>1813</v>
      </c>
      <c r="E359" s="1557"/>
      <c r="F359" s="1557"/>
      <c r="G359" s="8"/>
    </row>
    <row r="360" spans="1:7" ht="14">
      <c r="A360" s="431"/>
      <c r="B360" s="431"/>
      <c r="C360" s="625"/>
      <c r="D360" s="694"/>
      <c r="E360" s="8"/>
      <c r="F360" s="8"/>
      <c r="G360" s="8"/>
    </row>
    <row r="361" spans="1:7" ht="14">
      <c r="A361" s="431"/>
      <c r="B361" s="1448" t="s">
        <v>136</v>
      </c>
      <c r="C361" s="625"/>
      <c r="D361" s="1503" t="s">
        <v>1816</v>
      </c>
      <c r="E361" s="1504"/>
      <c r="F361" s="1504"/>
      <c r="G361" s="8"/>
    </row>
    <row r="362" spans="1:7" ht="14">
      <c r="A362" s="431"/>
      <c r="B362" s="431"/>
      <c r="C362" s="625"/>
      <c r="D362" s="1504"/>
      <c r="E362" s="1504"/>
      <c r="F362" s="1504"/>
      <c r="G362" s="8"/>
    </row>
    <row r="363" spans="1:7" ht="14">
      <c r="A363" s="431"/>
      <c r="B363" s="431"/>
      <c r="C363" s="625"/>
      <c r="D363" s="1504"/>
      <c r="E363" s="1504"/>
      <c r="F363" s="1504"/>
      <c r="G363" s="8"/>
    </row>
    <row r="364" spans="1:7" ht="14">
      <c r="A364" s="431"/>
      <c r="B364" s="431"/>
      <c r="C364" s="625"/>
      <c r="D364" s="1504"/>
      <c r="E364" s="1504"/>
      <c r="F364" s="1504"/>
      <c r="G364" s="8"/>
    </row>
    <row r="365" spans="1:7" ht="14">
      <c r="A365" s="431"/>
      <c r="B365" s="431"/>
      <c r="C365" s="625"/>
      <c r="D365" s="1504"/>
      <c r="E365" s="1504"/>
      <c r="F365" s="1504"/>
      <c r="G365" s="8"/>
    </row>
    <row r="366" spans="1:7" ht="14">
      <c r="A366" s="431"/>
      <c r="B366" s="431"/>
      <c r="C366" s="625"/>
      <c r="D366" s="1504"/>
      <c r="E366" s="1504"/>
      <c r="F366" s="1504"/>
      <c r="G366" s="8"/>
    </row>
    <row r="367" spans="1:7" ht="14">
      <c r="A367" s="431"/>
      <c r="B367" s="431"/>
      <c r="C367" s="625"/>
      <c r="D367" s="1504"/>
      <c r="E367" s="1504"/>
      <c r="F367" s="1504"/>
      <c r="G367" s="8"/>
    </row>
    <row r="368" spans="1:7" ht="14">
      <c r="A368" s="431"/>
      <c r="B368" s="431"/>
      <c r="C368" s="625"/>
      <c r="D368" s="1504"/>
      <c r="E368" s="1504"/>
      <c r="F368" s="1504"/>
      <c r="G368" s="8"/>
    </row>
    <row r="369" spans="1:7" ht="14">
      <c r="A369" s="431"/>
      <c r="B369" s="431"/>
      <c r="C369" s="625"/>
      <c r="D369" s="1504"/>
      <c r="E369" s="1504"/>
      <c r="F369" s="1504"/>
      <c r="G369" s="8"/>
    </row>
    <row r="370" spans="1:7" ht="14">
      <c r="A370" s="431"/>
      <c r="B370" s="431"/>
      <c r="C370" s="625"/>
      <c r="D370" s="1504"/>
      <c r="E370" s="1504"/>
      <c r="F370" s="1504"/>
      <c r="G370" s="8"/>
    </row>
    <row r="371" spans="1:7" ht="14">
      <c r="A371" s="431"/>
      <c r="B371" s="431"/>
      <c r="C371" s="625"/>
      <c r="D371" s="1041"/>
      <c r="E371" s="1041"/>
      <c r="F371" s="1041"/>
      <c r="G371" s="8"/>
    </row>
    <row r="372" spans="1:7" ht="14">
      <c r="A372" s="431"/>
      <c r="B372" s="1448" t="s">
        <v>136</v>
      </c>
      <c r="C372" s="625"/>
      <c r="D372" s="1483" t="s">
        <v>1809</v>
      </c>
      <c r="E372" s="1483"/>
      <c r="F372" s="1483"/>
      <c r="G372" s="8"/>
    </row>
    <row r="373" spans="1:7" ht="12.9">
      <c r="A373" s="625"/>
      <c r="B373" s="625"/>
      <c r="C373" s="625"/>
      <c r="D373" s="1483"/>
      <c r="E373" s="1483"/>
      <c r="F373" s="1483"/>
      <c r="G373" s="8"/>
    </row>
    <row r="374" spans="1:7" ht="12.9">
      <c r="A374" s="625"/>
      <c r="B374" s="625"/>
      <c r="C374" s="625"/>
      <c r="D374" s="1483"/>
      <c r="E374" s="1483"/>
      <c r="F374" s="1483"/>
      <c r="G374" s="8"/>
    </row>
    <row r="375" spans="1:7" ht="12.9">
      <c r="A375" s="625"/>
      <c r="B375" s="625"/>
      <c r="C375" s="625"/>
      <c r="D375" s="1483"/>
      <c r="E375" s="1483"/>
      <c r="F375" s="1483"/>
      <c r="G375" s="8"/>
    </row>
    <row r="376" spans="1:7" ht="12.9">
      <c r="A376" s="625"/>
      <c r="B376" s="625"/>
      <c r="C376" s="625"/>
      <c r="D376" s="1044"/>
      <c r="E376" s="1044"/>
      <c r="F376" s="1044"/>
      <c r="G376" s="8"/>
    </row>
    <row r="377" spans="1:7" ht="12.9">
      <c r="A377" s="625"/>
      <c r="B377" s="625"/>
      <c r="C377" s="625"/>
      <c r="D377" s="1483" t="s">
        <v>1810</v>
      </c>
      <c r="E377" s="1483"/>
      <c r="F377" s="1483"/>
      <c r="G377" s="8"/>
    </row>
    <row r="378" spans="1:7" ht="12.9">
      <c r="A378" s="625"/>
      <c r="B378" s="625"/>
      <c r="C378" s="625"/>
      <c r="D378" s="1483"/>
      <c r="E378" s="1483"/>
      <c r="F378" s="1483"/>
      <c r="G378" s="8"/>
    </row>
    <row r="379" spans="1:7" ht="12.9">
      <c r="A379" s="625"/>
      <c r="B379" s="625"/>
      <c r="C379" s="625"/>
      <c r="D379" s="1483"/>
      <c r="E379" s="1483"/>
      <c r="F379" s="1483"/>
      <c r="G379" s="8"/>
    </row>
    <row r="380" spans="1:7" ht="12.9">
      <c r="A380" s="625"/>
      <c r="B380" s="625"/>
      <c r="C380" s="625"/>
      <c r="D380" s="1483"/>
      <c r="E380" s="1483"/>
      <c r="F380" s="1483"/>
      <c r="G380" s="8"/>
    </row>
    <row r="381" spans="1:7" ht="12.9">
      <c r="A381" s="625"/>
      <c r="B381" s="625"/>
      <c r="C381" s="625"/>
      <c r="D381" s="1483"/>
      <c r="E381" s="1483"/>
      <c r="F381" s="1483"/>
      <c r="G381" s="8"/>
    </row>
    <row r="382" spans="1:7" ht="12.9">
      <c r="A382" s="625"/>
      <c r="B382" s="625"/>
      <c r="C382" s="625"/>
      <c r="D382" s="1483"/>
      <c r="E382" s="1483"/>
      <c r="F382" s="1483"/>
      <c r="G382" s="8"/>
    </row>
    <row r="383" spans="1:7" ht="12.9">
      <c r="A383" s="625"/>
      <c r="B383" s="625"/>
      <c r="C383" s="625"/>
      <c r="D383" s="1483"/>
      <c r="E383" s="1483"/>
      <c r="F383" s="1483"/>
      <c r="G383" s="8"/>
    </row>
    <row r="384" spans="1:7" ht="12.9">
      <c r="A384" s="625"/>
      <c r="B384" s="625"/>
      <c r="C384" s="625"/>
      <c r="D384" s="1483"/>
      <c r="E384" s="1483"/>
      <c r="F384" s="1483"/>
      <c r="G384" s="8"/>
    </row>
    <row r="385" spans="1:7" ht="12.9">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9">
      <c r="A404" s="625"/>
      <c r="B404" s="625"/>
      <c r="C404" s="625"/>
      <c r="D404" s="853"/>
      <c r="E404" s="8"/>
      <c r="F404" s="8"/>
      <c r="G404" s="8"/>
    </row>
    <row r="405" spans="1:7" ht="13.7" customHeight="1">
      <c r="A405" s="625"/>
      <c r="B405" s="1448" t="s">
        <v>136</v>
      </c>
      <c r="C405" s="625"/>
      <c r="D405" s="1484" t="s">
        <v>1811</v>
      </c>
      <c r="E405" s="1484"/>
      <c r="F405" s="1484"/>
      <c r="G405" s="8"/>
    </row>
    <row r="406" spans="1:7" ht="12.9">
      <c r="A406" s="625"/>
      <c r="B406" s="625"/>
      <c r="C406" s="625"/>
      <c r="D406" s="1484"/>
      <c r="E406" s="1484"/>
      <c r="F406" s="1484"/>
      <c r="G406" s="8"/>
    </row>
    <row r="407" spans="1:7" ht="12.9">
      <c r="A407" s="625"/>
      <c r="B407" s="625"/>
      <c r="C407" s="625"/>
      <c r="D407" s="1404"/>
      <c r="E407" s="1404"/>
      <c r="F407" s="1404"/>
      <c r="G407" s="8"/>
    </row>
    <row r="408" spans="1:7" ht="12.9">
      <c r="A408" s="625"/>
      <c r="B408" s="1448" t="s">
        <v>136</v>
      </c>
      <c r="C408" s="625"/>
      <c r="D408" s="1489" t="s">
        <v>2209</v>
      </c>
      <c r="E408" s="1489"/>
      <c r="F408" s="1489"/>
      <c r="G408" s="8"/>
    </row>
    <row r="409" spans="1:7" ht="12.9">
      <c r="A409" s="625"/>
      <c r="B409" s="625"/>
      <c r="C409" s="625"/>
      <c r="D409" s="1489"/>
      <c r="E409" s="1489"/>
      <c r="F409" s="1489"/>
      <c r="G409" s="8"/>
    </row>
    <row r="410" spans="1:7" ht="12.9">
      <c r="A410" s="625"/>
      <c r="B410" s="625"/>
      <c r="C410" s="625"/>
      <c r="D410" s="1489"/>
      <c r="E410" s="1489"/>
      <c r="F410" s="1489"/>
      <c r="G410" s="8"/>
    </row>
    <row r="411" spans="1:7" ht="12.9">
      <c r="A411" s="625"/>
      <c r="B411" s="625"/>
      <c r="C411" s="625"/>
      <c r="D411" s="1489"/>
      <c r="E411" s="1489"/>
      <c r="F411" s="1489"/>
      <c r="G411" s="8"/>
    </row>
    <row r="412" spans="1:7" ht="12.9">
      <c r="A412" s="625"/>
      <c r="B412" s="625"/>
      <c r="C412" s="625"/>
      <c r="D412" s="1489"/>
      <c r="E412" s="1489"/>
      <c r="F412" s="1489"/>
      <c r="G412" s="8"/>
    </row>
    <row r="413" spans="1:7" ht="12.9">
      <c r="A413" s="625"/>
      <c r="B413" s="625"/>
      <c r="C413" s="625"/>
      <c r="D413" s="1489"/>
      <c r="E413" s="1489"/>
      <c r="F413" s="1489"/>
      <c r="G413" s="8"/>
    </row>
    <row r="414" spans="1:7" ht="14.55" customHeight="1">
      <c r="A414" s="431"/>
      <c r="B414" s="1448" t="s">
        <v>136</v>
      </c>
      <c r="C414" s="625"/>
      <c r="D414" s="1489" t="s">
        <v>2184</v>
      </c>
      <c r="E414" s="1489"/>
      <c r="F414" s="1489"/>
      <c r="G414" s="8"/>
    </row>
    <row r="415" spans="1:7" ht="14">
      <c r="A415" s="854"/>
      <c r="B415" s="854"/>
      <c r="C415" s="625"/>
      <c r="D415" s="1489"/>
      <c r="E415" s="1489"/>
      <c r="F415" s="1489"/>
      <c r="G415" s="8"/>
    </row>
    <row r="416" spans="1:7" ht="14">
      <c r="A416" s="854"/>
      <c r="B416" s="854"/>
      <c r="C416" s="625"/>
      <c r="D416" s="1489"/>
      <c r="E416" s="1489"/>
      <c r="F416" s="1489"/>
      <c r="G416" s="8"/>
    </row>
    <row r="417" spans="1:7" ht="14">
      <c r="A417" s="854"/>
      <c r="B417" s="854"/>
      <c r="C417" s="625"/>
      <c r="D417" s="1489"/>
      <c r="E417" s="1489"/>
      <c r="F417" s="1489"/>
      <c r="G417" s="8"/>
    </row>
    <row r="418" spans="1:7" ht="14.25" customHeight="1">
      <c r="A418" s="854"/>
      <c r="B418" s="854"/>
      <c r="C418" s="625"/>
      <c r="D418" s="1490" t="s">
        <v>2205</v>
      </c>
      <c r="E418" s="1490"/>
      <c r="F418" s="1490"/>
      <c r="G418" s="8"/>
    </row>
    <row r="419" spans="1:7" ht="12.9">
      <c r="A419" s="152"/>
      <c r="B419" s="152"/>
      <c r="C419" s="152"/>
      <c r="D419" s="155"/>
      <c r="E419" s="8"/>
      <c r="F419" s="8"/>
      <c r="G419" s="8"/>
    </row>
    <row r="420" spans="1:7" ht="14.55" customHeight="1">
      <c r="A420" s="431"/>
      <c r="B420" s="1448" t="s">
        <v>136</v>
      </c>
      <c r="C420" s="373"/>
      <c r="D420" s="1485" t="s">
        <v>1817</v>
      </c>
      <c r="E420" s="1485"/>
      <c r="F420" s="1485"/>
      <c r="G420" s="8"/>
    </row>
    <row r="421" spans="1:7" ht="14">
      <c r="A421" s="431"/>
      <c r="B421" s="431"/>
      <c r="C421" s="152"/>
      <c r="D421" s="1485"/>
      <c r="E421" s="1485"/>
      <c r="F421" s="1485"/>
      <c r="G421" s="8"/>
    </row>
    <row r="422" spans="1:7" ht="14">
      <c r="A422" s="431"/>
      <c r="B422" s="431"/>
      <c r="C422" s="1042"/>
      <c r="D422" s="1485"/>
      <c r="E422" s="1485"/>
      <c r="F422" s="1485"/>
      <c r="G422" s="8"/>
    </row>
    <row r="423" spans="1:7" ht="14">
      <c r="A423" s="431"/>
      <c r="B423" s="431"/>
      <c r="C423" s="1042"/>
      <c r="D423" s="1485"/>
      <c r="E423" s="1485"/>
      <c r="F423" s="1485"/>
      <c r="G423" s="8"/>
    </row>
    <row r="424" spans="1:7" ht="14">
      <c r="A424" s="431"/>
      <c r="B424" s="431"/>
      <c r="C424" s="1042"/>
      <c r="D424" s="1485"/>
      <c r="E424" s="1485"/>
      <c r="F424" s="1485"/>
      <c r="G424" s="8"/>
    </row>
    <row r="425" spans="1:7" ht="14">
      <c r="A425" s="431"/>
      <c r="B425" s="431"/>
      <c r="C425" s="1042"/>
      <c r="D425" s="1485"/>
      <c r="E425" s="1485"/>
      <c r="F425" s="1485"/>
      <c r="G425" s="8"/>
    </row>
    <row r="426" spans="1:7" ht="14">
      <c r="A426" s="431"/>
      <c r="B426" s="431"/>
      <c r="C426" s="1042"/>
      <c r="D426" s="1485"/>
      <c r="E426" s="1485"/>
      <c r="F426" s="1485"/>
      <c r="G426" s="8"/>
    </row>
    <row r="427" spans="1:7" ht="14">
      <c r="A427" s="431"/>
      <c r="B427" s="431"/>
      <c r="C427" s="1042"/>
      <c r="D427" s="1485"/>
      <c r="E427" s="1485"/>
      <c r="F427" s="1485"/>
      <c r="G427" s="8"/>
    </row>
    <row r="428" spans="1:7" ht="14">
      <c r="A428" s="431"/>
      <c r="B428" s="431"/>
      <c r="C428" s="1042"/>
      <c r="D428" s="1485"/>
      <c r="E428" s="1485"/>
      <c r="F428" s="1485"/>
      <c r="G428" s="8"/>
    </row>
    <row r="429" spans="1:7" ht="14">
      <c r="A429" s="431"/>
      <c r="B429" s="431"/>
      <c r="C429" s="1042"/>
      <c r="D429" s="1485"/>
      <c r="E429" s="1485"/>
      <c r="F429" s="1485"/>
      <c r="G429" s="8"/>
    </row>
    <row r="430" spans="1:7" ht="14">
      <c r="A430" s="431"/>
      <c r="B430" s="431"/>
      <c r="C430" s="1042"/>
      <c r="D430" s="1485"/>
      <c r="E430" s="1485"/>
      <c r="F430" s="1485"/>
      <c r="G430" s="8"/>
    </row>
    <row r="431" spans="1:7" ht="14">
      <c r="A431" s="431"/>
      <c r="B431" s="431"/>
      <c r="C431" s="1042"/>
      <c r="D431" s="1485"/>
      <c r="E431" s="1485"/>
      <c r="F431" s="1485"/>
      <c r="G431" s="8"/>
    </row>
    <row r="432" spans="1:7" ht="14">
      <c r="A432" s="431"/>
      <c r="B432" s="431"/>
      <c r="C432" s="1042"/>
      <c r="D432" s="1485"/>
      <c r="E432" s="1485"/>
      <c r="F432" s="1485"/>
      <c r="G432" s="8"/>
    </row>
    <row r="433" spans="1:7" ht="14">
      <c r="A433" s="431"/>
      <c r="B433" s="431"/>
      <c r="C433" s="1042"/>
      <c r="D433" s="1485"/>
      <c r="E433" s="1485"/>
      <c r="F433" s="1485"/>
      <c r="G433" s="8"/>
    </row>
    <row r="434" spans="1:7" ht="14">
      <c r="A434" s="431"/>
      <c r="B434" s="431"/>
      <c r="C434" s="1042"/>
      <c r="D434" s="1485"/>
      <c r="E434" s="1485"/>
      <c r="F434" s="1485"/>
      <c r="G434" s="8"/>
    </row>
    <row r="435" spans="1:7" ht="14">
      <c r="A435" s="431"/>
      <c r="B435" s="431"/>
      <c r="C435" s="1042"/>
      <c r="D435" s="1485"/>
      <c r="E435" s="1485"/>
      <c r="F435" s="1485"/>
      <c r="G435" s="8"/>
    </row>
    <row r="436" spans="1:7" ht="14">
      <c r="A436" s="431"/>
      <c r="B436" s="431"/>
      <c r="C436" s="1042"/>
      <c r="D436" s="1485"/>
      <c r="E436" s="1485"/>
      <c r="F436" s="1485"/>
      <c r="G436" s="8"/>
    </row>
    <row r="437" spans="1:7" ht="14">
      <c r="A437" s="431"/>
      <c r="B437" s="431"/>
      <c r="C437" s="1042"/>
      <c r="D437" s="1485"/>
      <c r="E437" s="1485"/>
      <c r="F437" s="1485"/>
      <c r="G437" s="8"/>
    </row>
    <row r="438" spans="1:7" ht="14">
      <c r="A438" s="431"/>
      <c r="B438" s="431"/>
      <c r="C438" s="1042"/>
      <c r="D438" s="1485"/>
      <c r="E438" s="1485"/>
      <c r="F438" s="1485"/>
      <c r="G438" s="8"/>
    </row>
    <row r="439" spans="1:7" ht="14">
      <c r="A439" s="431"/>
      <c r="B439" s="431"/>
      <c r="C439" s="1042"/>
      <c r="D439" s="1485"/>
      <c r="E439" s="1485"/>
      <c r="F439" s="1485"/>
      <c r="G439" s="8"/>
    </row>
    <row r="440" spans="1:7" ht="14">
      <c r="A440" s="431"/>
      <c r="B440" s="431"/>
      <c r="C440" s="1042"/>
      <c r="D440" s="1485"/>
      <c r="E440" s="1485"/>
      <c r="F440" s="1485"/>
      <c r="G440" s="8"/>
    </row>
    <row r="441" spans="1:7" ht="14">
      <c r="A441" s="431"/>
      <c r="B441" s="431"/>
      <c r="C441" s="1042"/>
      <c r="D441" s="1485"/>
      <c r="E441" s="1485"/>
      <c r="F441" s="1485"/>
      <c r="G441" s="8"/>
    </row>
    <row r="442" spans="1:7" ht="14">
      <c r="A442" s="431"/>
      <c r="B442" s="431"/>
      <c r="C442" s="1042"/>
      <c r="D442" s="1485"/>
      <c r="E442" s="1485"/>
      <c r="F442" s="1485"/>
      <c r="G442" s="8"/>
    </row>
    <row r="443" spans="1:7" ht="14">
      <c r="A443" s="431"/>
      <c r="B443" s="431"/>
      <c r="C443" s="1042"/>
      <c r="D443" s="1485"/>
      <c r="E443" s="1485"/>
      <c r="F443" s="1485"/>
      <c r="G443" s="8"/>
    </row>
    <row r="444" spans="1:7" ht="14">
      <c r="A444" s="431"/>
      <c r="B444" s="431"/>
      <c r="C444" s="1042"/>
      <c r="D444" s="1485"/>
      <c r="E444" s="1485"/>
      <c r="F444" s="1485"/>
      <c r="G444" s="8"/>
    </row>
    <row r="445" spans="1:7" ht="14">
      <c r="A445" s="431"/>
      <c r="B445" s="431"/>
      <c r="C445" s="1042"/>
      <c r="D445" s="1485"/>
      <c r="E445" s="1485"/>
      <c r="F445" s="1485"/>
      <c r="G445" s="8"/>
    </row>
    <row r="446" spans="1:7" ht="14">
      <c r="A446" s="431"/>
      <c r="B446" s="431"/>
      <c r="C446" s="1042"/>
      <c r="D446" s="1485"/>
      <c r="E446" s="1485"/>
      <c r="F446" s="1485"/>
      <c r="G446" s="8"/>
    </row>
    <row r="447" spans="1:7" ht="14">
      <c r="A447" s="431"/>
      <c r="B447" s="431"/>
      <c r="C447" s="1042"/>
      <c r="D447" s="1485"/>
      <c r="E447" s="1485"/>
      <c r="F447" s="1485"/>
      <c r="G447" s="8"/>
    </row>
    <row r="448" spans="1:7" ht="14">
      <c r="A448" s="431"/>
      <c r="B448" s="431"/>
      <c r="C448" s="1042"/>
      <c r="D448" s="1485"/>
      <c r="E448" s="1485"/>
      <c r="F448" s="1485"/>
      <c r="G448" s="8"/>
    </row>
    <row r="449" spans="1:7" ht="14">
      <c r="A449" s="431"/>
      <c r="B449" s="431"/>
      <c r="C449" s="1042"/>
      <c r="D449" s="1485"/>
      <c r="E449" s="1485"/>
      <c r="F449" s="1485"/>
      <c r="G449" s="8"/>
    </row>
    <row r="450" spans="1:7" ht="12.9" hidden="1">
      <c r="A450" s="152"/>
      <c r="B450" s="152"/>
      <c r="C450" s="152"/>
      <c r="D450" s="1485"/>
      <c r="E450" s="1485"/>
      <c r="F450" s="1485"/>
      <c r="G450" s="8"/>
    </row>
    <row r="451" spans="1:7" ht="12.9" hidden="1">
      <c r="A451" s="152"/>
      <c r="B451" s="152"/>
      <c r="C451" s="152"/>
      <c r="D451" s="155"/>
      <c r="E451" s="40"/>
      <c r="F451" s="40"/>
      <c r="G451" s="40"/>
    </row>
    <row r="452" spans="1:7" ht="14">
      <c r="A452" s="431"/>
      <c r="B452" s="1448" t="s">
        <v>136</v>
      </c>
      <c r="C452" s="373"/>
      <c r="D452" s="1482" t="s">
        <v>1815</v>
      </c>
      <c r="E452" s="1482"/>
      <c r="F452" s="1482"/>
      <c r="G452" s="8"/>
    </row>
    <row r="453" spans="1:7" ht="12.9">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9">
      <c r="A457" s="152"/>
      <c r="B457" s="152"/>
      <c r="C457" s="152"/>
      <c r="D457" s="155"/>
      <c r="E457" s="8"/>
      <c r="F457" s="8"/>
      <c r="G457" s="8"/>
    </row>
    <row r="458" spans="1:7" ht="14.55" customHeight="1">
      <c r="A458" s="431"/>
      <c r="B458" s="1448" t="s">
        <v>136</v>
      </c>
      <c r="C458" s="373"/>
      <c r="D458" s="1485" t="s">
        <v>1818</v>
      </c>
      <c r="E458" s="1485"/>
      <c r="F458" s="1485"/>
      <c r="G458" s="8"/>
    </row>
    <row r="459" spans="1:7" ht="12.9">
      <c r="A459" s="152"/>
      <c r="B459" s="152"/>
      <c r="C459" s="152"/>
      <c r="D459" s="1485"/>
      <c r="E459" s="1485"/>
      <c r="F459" s="1485"/>
      <c r="G459" s="8"/>
    </row>
    <row r="460" spans="1:7" ht="12.9">
      <c r="A460" s="152"/>
      <c r="B460" s="152"/>
      <c r="C460" s="152"/>
      <c r="D460" s="1485"/>
      <c r="E460" s="1485"/>
      <c r="F460" s="1485"/>
      <c r="G460" s="8"/>
    </row>
    <row r="461" spans="1:7" ht="12.9">
      <c r="A461" s="1042"/>
      <c r="B461" s="1042"/>
      <c r="C461" s="1042"/>
      <c r="D461" s="1040"/>
      <c r="E461" s="1040"/>
      <c r="F461" s="1040"/>
      <c r="G461" s="8"/>
    </row>
    <row r="462" spans="1:7" ht="14">
      <c r="A462" s="152"/>
      <c r="B462" s="1448" t="s">
        <v>136</v>
      </c>
      <c r="C462" s="431"/>
      <c r="D462" s="1488" t="s">
        <v>1988</v>
      </c>
      <c r="E462" s="1486"/>
      <c r="F462" s="1486"/>
      <c r="G462" s="8"/>
    </row>
    <row r="463" spans="1:7" ht="12.9">
      <c r="A463" s="152"/>
      <c r="B463" s="152"/>
      <c r="C463" s="152"/>
      <c r="D463" s="1486"/>
      <c r="E463" s="1486"/>
      <c r="F463" s="1486"/>
      <c r="G463" s="8"/>
    </row>
    <row r="464" spans="1:7" ht="12.9">
      <c r="A464" s="152"/>
      <c r="B464" s="152"/>
      <c r="C464" s="152"/>
      <c r="D464" s="155"/>
      <c r="E464" s="735"/>
      <c r="F464" s="8"/>
      <c r="G464" s="8"/>
    </row>
    <row r="465" spans="1:7" ht="14">
      <c r="A465" s="152"/>
      <c r="B465" s="1448" t="s">
        <v>136</v>
      </c>
      <c r="C465" s="431"/>
      <c r="D465" s="1486" t="s">
        <v>1819</v>
      </c>
      <c r="E465" s="1486"/>
      <c r="F465" s="1486"/>
      <c r="G465" s="8"/>
    </row>
    <row r="466" spans="1:7" ht="12.9">
      <c r="A466" s="152"/>
      <c r="B466" s="152"/>
      <c r="C466" s="152"/>
      <c r="D466" s="1486"/>
      <c r="E466" s="1486"/>
      <c r="F466" s="1486"/>
      <c r="G466" s="8"/>
    </row>
    <row r="467" spans="1:7" ht="12.9">
      <c r="A467" s="152"/>
      <c r="B467" s="152"/>
      <c r="C467" s="152"/>
      <c r="D467" s="1486"/>
      <c r="E467" s="1486"/>
      <c r="F467" s="1486"/>
      <c r="G467" s="8"/>
    </row>
    <row r="468" spans="1:7" ht="12.9">
      <c r="A468" s="1042"/>
      <c r="B468" s="1042"/>
      <c r="C468" s="1042"/>
      <c r="D468" s="1486"/>
      <c r="E468" s="1486"/>
      <c r="F468" s="1486"/>
      <c r="G468" s="8"/>
    </row>
    <row r="469" spans="1:7" ht="12.9">
      <c r="A469" s="1042"/>
      <c r="B469" s="1448" t="s">
        <v>136</v>
      </c>
      <c r="C469" s="1042"/>
      <c r="D469" s="1486"/>
      <c r="E469" s="1486"/>
      <c r="F469" s="1486"/>
      <c r="G469" s="8"/>
    </row>
    <row r="470" spans="1:7" ht="12.9">
      <c r="A470" s="1042"/>
      <c r="B470" s="1042"/>
      <c r="C470" s="1042"/>
      <c r="D470" s="1486"/>
      <c r="E470" s="1486"/>
      <c r="F470" s="1486"/>
      <c r="G470" s="8"/>
    </row>
    <row r="471" spans="1:7" ht="12.9">
      <c r="A471" s="1042"/>
      <c r="B471" s="1042"/>
      <c r="C471" s="1042"/>
      <c r="D471" s="1486"/>
      <c r="E471" s="1486"/>
      <c r="F471" s="1486"/>
      <c r="G471" s="8"/>
    </row>
    <row r="472" spans="1:7" ht="12.9">
      <c r="A472" s="1042"/>
      <c r="B472" s="1448" t="s">
        <v>136</v>
      </c>
      <c r="C472" s="1042"/>
      <c r="D472" s="1486"/>
      <c r="E472" s="1486"/>
      <c r="F472" s="1486"/>
      <c r="G472" s="8"/>
    </row>
    <row r="473" spans="1:7" ht="12.9">
      <c r="A473" s="1042"/>
      <c r="B473" s="1042"/>
      <c r="C473" s="1042"/>
      <c r="D473" s="1486"/>
      <c r="E473" s="1486"/>
      <c r="F473" s="1486"/>
      <c r="G473" s="8"/>
    </row>
    <row r="474" spans="1:7" ht="12.9">
      <c r="A474" s="1042"/>
      <c r="B474" s="1042"/>
      <c r="C474" s="1042"/>
      <c r="D474" s="1486"/>
      <c r="E474" s="1486"/>
      <c r="F474" s="1486"/>
      <c r="G474" s="8"/>
    </row>
    <row r="475" spans="1:7" ht="12.9">
      <c r="A475" s="1042"/>
      <c r="B475" s="1042"/>
      <c r="C475" s="1042"/>
      <c r="D475" s="1486"/>
      <c r="E475" s="1486"/>
      <c r="F475" s="1486"/>
      <c r="G475" s="8"/>
    </row>
    <row r="476" spans="1:7" ht="12.9">
      <c r="A476" s="1042"/>
      <c r="B476" s="1448" t="s">
        <v>136</v>
      </c>
      <c r="C476" s="1042"/>
      <c r="D476" s="1486"/>
      <c r="E476" s="1486"/>
      <c r="F476" s="1486"/>
      <c r="G476" s="8"/>
    </row>
    <row r="477" spans="1:7" ht="12.9">
      <c r="A477" s="1042"/>
      <c r="B477" s="1042"/>
      <c r="C477" s="1042"/>
      <c r="D477" s="1486"/>
      <c r="E477" s="1486"/>
      <c r="F477" s="1486"/>
      <c r="G477" s="8"/>
    </row>
    <row r="478" spans="1:7" ht="12.9">
      <c r="A478" s="1042"/>
      <c r="B478" s="1448" t="s">
        <v>136</v>
      </c>
      <c r="C478" s="1042"/>
      <c r="D478" s="1486"/>
      <c r="E478" s="1486"/>
      <c r="F478" s="1486"/>
      <c r="G478" s="8"/>
    </row>
    <row r="479" spans="1:7" ht="12.9">
      <c r="A479" s="1042"/>
      <c r="B479" s="14"/>
      <c r="C479" s="1042"/>
      <c r="D479" s="1486"/>
      <c r="E479" s="1486"/>
      <c r="F479" s="1486"/>
      <c r="G479" s="8"/>
    </row>
    <row r="480" spans="1:7" ht="13.7" customHeight="1">
      <c r="A480" s="152"/>
      <c r="B480" s="1448" t="s">
        <v>136</v>
      </c>
      <c r="C480" s="152"/>
      <c r="D480" s="1486" t="s">
        <v>1820</v>
      </c>
      <c r="E480" s="1486"/>
      <c r="F480" s="1486"/>
      <c r="G480" s="8"/>
    </row>
    <row r="481" spans="1:7" ht="12.9">
      <c r="A481" s="152"/>
      <c r="B481" s="152"/>
      <c r="C481" s="152"/>
      <c r="D481" s="1486"/>
      <c r="E481" s="1486"/>
      <c r="F481" s="1486"/>
      <c r="G481" s="8"/>
    </row>
    <row r="482" spans="1:7" ht="12.9">
      <c r="A482" s="152"/>
      <c r="B482" s="152"/>
      <c r="C482" s="152"/>
      <c r="D482" s="1486"/>
      <c r="E482" s="1486"/>
      <c r="F482" s="1486"/>
      <c r="G482" s="8"/>
    </row>
    <row r="483" spans="1:7" ht="12.9">
      <c r="A483" s="152"/>
      <c r="B483" s="152"/>
      <c r="C483" s="152"/>
      <c r="D483" s="1486"/>
      <c r="E483" s="1486"/>
      <c r="F483" s="1486"/>
      <c r="G483" s="8"/>
    </row>
    <row r="484" spans="1:7" ht="12.9">
      <c r="A484" s="152"/>
      <c r="B484" s="152"/>
      <c r="C484" s="152"/>
      <c r="D484" s="1486"/>
      <c r="E484" s="1486"/>
      <c r="F484" s="1486"/>
      <c r="G484" s="8"/>
    </row>
    <row r="485" spans="1:7" ht="12.9">
      <c r="A485" s="152"/>
      <c r="B485" s="152"/>
      <c r="C485" s="152"/>
      <c r="D485" s="155"/>
      <c r="E485" s="8"/>
      <c r="F485" s="8"/>
      <c r="G485" s="8"/>
    </row>
    <row r="486" spans="1:7" ht="12.9">
      <c r="A486" s="152"/>
      <c r="B486" s="1448" t="s">
        <v>136</v>
      </c>
      <c r="C486" s="152"/>
      <c r="D486" s="1491" t="s">
        <v>1608</v>
      </c>
      <c r="E486" s="1491"/>
      <c r="F486" s="1491"/>
      <c r="G486" s="8"/>
    </row>
    <row r="487" spans="1:7" ht="12.9">
      <c r="A487" s="155"/>
      <c r="B487" s="155"/>
      <c r="C487" s="14"/>
      <c r="D487" s="294"/>
      <c r="E487" s="294"/>
      <c r="F487" s="294"/>
    </row>
    <row r="488" spans="1:7" ht="12.9">
      <c r="A488" s="1497" t="s">
        <v>1562</v>
      </c>
      <c r="B488" s="1497"/>
      <c r="C488" s="1497"/>
      <c r="D488" s="1497"/>
      <c r="E488" s="1497"/>
      <c r="F488" s="1497"/>
      <c r="G488" s="1497"/>
    </row>
    <row r="489" spans="1:7" ht="12.9">
      <c r="A489" s="155"/>
      <c r="B489" s="155"/>
      <c r="C489" s="14"/>
      <c r="D489" s="294"/>
      <c r="E489" s="294"/>
      <c r="F489" s="294"/>
    </row>
    <row r="490" spans="1:7" ht="12.9">
      <c r="A490" s="152"/>
      <c r="B490" s="152"/>
      <c r="C490" s="14"/>
      <c r="D490" s="1492" t="s">
        <v>1264</v>
      </c>
      <c r="E490" s="1492"/>
      <c r="F490" s="1492"/>
    </row>
    <row r="491" spans="1:7" ht="12.9">
      <c r="D491" s="1493" t="s">
        <v>1600</v>
      </c>
      <c r="E491" s="1493"/>
      <c r="F491" s="1493"/>
    </row>
    <row r="492" spans="1:7" ht="14">
      <c r="A492" s="431"/>
      <c r="B492" s="431"/>
      <c r="C492" s="14"/>
      <c r="D492" s="695"/>
      <c r="E492" s="294"/>
      <c r="F492" s="294"/>
    </row>
    <row r="493" spans="1:7" ht="14">
      <c r="A493" s="431"/>
      <c r="B493" s="1448" t="s">
        <v>136</v>
      </c>
      <c r="C493" s="14"/>
      <c r="D493" s="1494" t="s">
        <v>1821</v>
      </c>
      <c r="E493" s="1494"/>
      <c r="F493" s="1494"/>
    </row>
    <row r="494" spans="1:7" ht="14">
      <c r="A494" s="431"/>
      <c r="B494" s="431"/>
      <c r="C494" s="14"/>
      <c r="D494" s="1494"/>
      <c r="E494" s="1494"/>
      <c r="F494" s="1494"/>
    </row>
    <row r="495" spans="1:7" ht="14">
      <c r="A495" s="431"/>
      <c r="B495" s="431"/>
      <c r="C495" s="14"/>
      <c r="D495" s="299"/>
      <c r="E495" s="294"/>
      <c r="F495" s="294"/>
    </row>
    <row r="496" spans="1:7" ht="14">
      <c r="A496" s="596"/>
      <c r="B496" s="1448" t="s">
        <v>136</v>
      </c>
      <c r="D496" s="1495" t="s">
        <v>2206</v>
      </c>
      <c r="E496" s="1496"/>
      <c r="F496" s="1496"/>
    </row>
    <row r="497" spans="1:7" ht="14">
      <c r="A497" s="596"/>
      <c r="B497" s="596"/>
      <c r="D497" s="1496"/>
      <c r="E497" s="1496"/>
      <c r="F497" s="1496"/>
    </row>
    <row r="498" spans="1:7" ht="14">
      <c r="A498" s="596"/>
      <c r="B498" s="596"/>
      <c r="D498" s="1496"/>
      <c r="E498" s="1496"/>
      <c r="F498" s="1496"/>
      <c r="G498" s="2"/>
    </row>
    <row r="499" spans="1:7" ht="14">
      <c r="A499" s="596"/>
      <c r="B499" s="596"/>
      <c r="D499" s="1496"/>
      <c r="E499" s="1496"/>
      <c r="F499" s="1496"/>
      <c r="G499" s="2"/>
    </row>
    <row r="500" spans="1:7" ht="12.9">
      <c r="A500" s="162"/>
      <c r="B500" s="162"/>
      <c r="G500" s="2"/>
    </row>
    <row r="501" spans="1:7" ht="14">
      <c r="A501" s="431"/>
      <c r="B501" s="1448" t="s">
        <v>136</v>
      </c>
      <c r="C501" s="14"/>
      <c r="D501" s="1482" t="s">
        <v>1823</v>
      </c>
      <c r="E501" s="1482"/>
      <c r="F501" s="1482"/>
      <c r="G501" s="2"/>
    </row>
    <row r="502" spans="1:7" ht="12.9">
      <c r="A502" s="152"/>
      <c r="B502" s="152"/>
      <c r="C502" s="14"/>
      <c r="D502" s="299"/>
      <c r="E502" s="294"/>
      <c r="F502" s="294"/>
      <c r="G502" s="2"/>
    </row>
    <row r="503" spans="1:7" ht="14">
      <c r="A503" s="431"/>
      <c r="B503" s="1448" t="s">
        <v>136</v>
      </c>
      <c r="C503" s="14"/>
      <c r="D503" s="1485" t="s">
        <v>1824</v>
      </c>
      <c r="E503" s="1485"/>
      <c r="F503" s="1485"/>
      <c r="G503" s="2"/>
    </row>
    <row r="504" spans="1:7" ht="12.9">
      <c r="A504" s="152"/>
      <c r="B504" s="152"/>
      <c r="C504" s="14"/>
      <c r="D504" s="1485"/>
      <c r="E504" s="1485"/>
      <c r="F504" s="1485"/>
      <c r="G504" s="2"/>
    </row>
    <row r="505" spans="1:7" ht="12.9">
      <c r="A505" s="152"/>
      <c r="B505" s="152"/>
      <c r="C505" s="14"/>
      <c r="D505" s="736"/>
      <c r="E505" s="294"/>
      <c r="F505" s="294"/>
      <c r="G505" s="2"/>
    </row>
    <row r="506" spans="1:7" ht="14">
      <c r="A506" s="431"/>
      <c r="B506" s="1448" t="s">
        <v>136</v>
      </c>
      <c r="C506" s="14"/>
      <c r="D506" s="1482" t="s">
        <v>1822</v>
      </c>
      <c r="E506" s="1482"/>
      <c r="F506" s="1482"/>
    </row>
    <row r="507" spans="1:7" ht="14">
      <c r="A507" s="431"/>
      <c r="B507" s="431"/>
      <c r="C507" s="14"/>
      <c r="D507" s="299"/>
      <c r="E507" s="294"/>
      <c r="F507" s="294"/>
    </row>
    <row r="508" spans="1:7" ht="12.9">
      <c r="A508" s="1497" t="s">
        <v>1563</v>
      </c>
      <c r="B508" s="1497"/>
      <c r="C508" s="1497"/>
      <c r="D508" s="1497"/>
      <c r="E508" s="1497"/>
      <c r="F508" s="1497"/>
      <c r="G508" s="1497"/>
    </row>
    <row r="509" spans="1:7" ht="11.95" customHeight="1">
      <c r="A509" s="431"/>
      <c r="B509" s="431"/>
      <c r="C509" s="14"/>
      <c r="D509" s="299"/>
      <c r="E509" s="294"/>
      <c r="F509" s="294"/>
    </row>
    <row r="510" spans="1:7" ht="12.9">
      <c r="A510" s="162"/>
      <c r="B510" s="1000" t="s">
        <v>1559</v>
      </c>
      <c r="C510" s="424"/>
      <c r="D510" s="1536" t="s">
        <v>1751</v>
      </c>
      <c r="E510" s="1536"/>
      <c r="F510" s="1536"/>
    </row>
    <row r="511" spans="1:7" ht="12.9">
      <c r="A511" s="162"/>
      <c r="C511" s="424"/>
      <c r="D511" s="1536"/>
      <c r="E511" s="1536"/>
      <c r="F511" s="1536"/>
    </row>
    <row r="512" spans="1:7" ht="12.9">
      <c r="A512" s="599"/>
      <c r="B512" s="599"/>
      <c r="C512" s="597"/>
      <c r="D512" s="1536"/>
      <c r="E512" s="1536"/>
      <c r="F512" s="1536"/>
    </row>
    <row r="513" spans="1:7" ht="12.9">
      <c r="A513" s="599"/>
      <c r="B513" s="599"/>
      <c r="C513" s="597"/>
      <c r="D513" s="1536"/>
      <c r="E513" s="1536"/>
      <c r="F513" s="1536"/>
    </row>
    <row r="514" spans="1:7" ht="12.9">
      <c r="A514" s="599"/>
      <c r="B514" s="599"/>
      <c r="C514" s="597"/>
    </row>
    <row r="515" spans="1:7" ht="14">
      <c r="A515" s="596"/>
      <c r="C515" s="597"/>
      <c r="D515" s="1428" t="s">
        <v>2285</v>
      </c>
      <c r="E515" s="1432"/>
      <c r="F515" s="1432"/>
    </row>
    <row r="516" spans="1:7" ht="12.9">
      <c r="A516" s="599"/>
      <c r="B516" s="1448" t="s">
        <v>136</v>
      </c>
      <c r="C516" s="597"/>
      <c r="D516" s="1537" t="s">
        <v>1740</v>
      </c>
      <c r="E516" s="1537"/>
      <c r="F516" s="1537"/>
      <c r="G516" s="2"/>
    </row>
    <row r="517" spans="1:7" ht="12.9">
      <c r="A517" s="599"/>
      <c r="B517" s="599"/>
      <c r="C517" s="597"/>
      <c r="D517" s="1537"/>
      <c r="E517" s="1537"/>
      <c r="F517" s="1537"/>
      <c r="G517" s="2"/>
    </row>
    <row r="518" spans="1:7" ht="12.9">
      <c r="A518" s="599"/>
      <c r="B518" s="599"/>
      <c r="C518" s="597"/>
      <c r="D518" s="1537"/>
      <c r="E518" s="1537"/>
      <c r="F518" s="1537"/>
      <c r="G518" s="2"/>
    </row>
    <row r="519" spans="1:7" ht="12.9">
      <c r="A519" s="599"/>
      <c r="B519" s="599"/>
      <c r="C519" s="597"/>
      <c r="D519" s="1537"/>
      <c r="E519" s="1537"/>
      <c r="F519" s="1537"/>
      <c r="G519" s="2"/>
    </row>
    <row r="520" spans="1:7" ht="12.9">
      <c r="A520" s="599"/>
      <c r="B520" s="599"/>
      <c r="C520" s="597"/>
      <c r="D520" s="1537"/>
      <c r="E520" s="1537"/>
      <c r="F520" s="1537"/>
      <c r="G520" s="2"/>
    </row>
    <row r="521" spans="1:7" ht="12.9">
      <c r="A521" s="599"/>
      <c r="B521" s="599"/>
      <c r="C521" s="597"/>
      <c r="D521" s="1427"/>
      <c r="E521" s="1427"/>
      <c r="F521" s="1427"/>
      <c r="G521" s="2"/>
    </row>
    <row r="522" spans="1:7" ht="12.9">
      <c r="A522" s="599"/>
      <c r="B522" s="1448" t="s">
        <v>136</v>
      </c>
      <c r="C522" s="597"/>
      <c r="D522" s="1511" t="s">
        <v>2286</v>
      </c>
      <c r="E522" s="1511"/>
      <c r="F522" s="1511"/>
    </row>
    <row r="523" spans="1:7" ht="12.9">
      <c r="A523" s="599"/>
      <c r="B523" s="599"/>
      <c r="C523" s="597"/>
      <c r="D523" s="1511"/>
      <c r="E523" s="1511"/>
      <c r="F523" s="1511"/>
    </row>
    <row r="524" spans="1:7" ht="12.9">
      <c r="A524" s="599"/>
      <c r="B524" s="599"/>
      <c r="C524" s="597"/>
      <c r="D524" s="1432"/>
      <c r="E524" s="1432"/>
      <c r="F524" s="1432"/>
    </row>
    <row r="525" spans="1:7" ht="12.9">
      <c r="A525" s="599"/>
      <c r="B525" s="1448" t="s">
        <v>136</v>
      </c>
      <c r="C525" s="597"/>
      <c r="D525" s="1537" t="s">
        <v>1738</v>
      </c>
      <c r="E525" s="1537"/>
      <c r="F525" s="1537"/>
    </row>
    <row r="526" spans="1:7" ht="12.9">
      <c r="A526" s="599"/>
      <c r="B526" s="599"/>
      <c r="C526" s="597"/>
      <c r="D526" s="1537"/>
      <c r="E526" s="1537"/>
      <c r="F526" s="1537"/>
    </row>
    <row r="527" spans="1:7" ht="12.9">
      <c r="A527" s="599"/>
      <c r="B527" s="599"/>
      <c r="C527" s="597"/>
      <c r="D527" s="1537"/>
      <c r="E527" s="1537"/>
      <c r="F527" s="1537"/>
      <c r="G527" s="2"/>
    </row>
    <row r="528" spans="1:7" ht="12.9">
      <c r="A528" s="599"/>
      <c r="B528" s="599"/>
      <c r="C528" s="597"/>
      <c r="D528" s="1537"/>
      <c r="E528" s="1537"/>
      <c r="F528" s="1537"/>
      <c r="G528" s="2"/>
    </row>
    <row r="529" spans="1:7" ht="12.9">
      <c r="A529" s="599"/>
      <c r="B529" s="599"/>
      <c r="C529" s="597"/>
      <c r="D529" s="1537"/>
      <c r="E529" s="1537"/>
      <c r="F529" s="1537"/>
      <c r="G529" s="2"/>
    </row>
    <row r="530" spans="1:7" ht="12.9">
      <c r="A530" s="599"/>
      <c r="B530" s="599"/>
      <c r="C530" s="597"/>
      <c r="D530" s="1537"/>
      <c r="E530" s="1537"/>
      <c r="F530" s="1537"/>
      <c r="G530" s="2"/>
    </row>
    <row r="531" spans="1:7" ht="12.9">
      <c r="A531" s="599"/>
      <c r="B531" s="599"/>
      <c r="C531" s="597"/>
      <c r="D531" s="1537"/>
      <c r="E531" s="1537"/>
      <c r="F531" s="1537"/>
      <c r="G531" s="2"/>
    </row>
    <row r="532" spans="1:7" ht="12.9">
      <c r="A532" s="599"/>
      <c r="B532" s="599"/>
      <c r="C532" s="597"/>
      <c r="D532" s="1537"/>
      <c r="E532" s="1537"/>
      <c r="F532" s="1537"/>
      <c r="G532" s="2"/>
    </row>
    <row r="533" spans="1:7" ht="12.9">
      <c r="A533" s="599"/>
      <c r="B533" s="599"/>
      <c r="C533" s="597"/>
      <c r="D533" s="1537"/>
      <c r="E533" s="1537"/>
      <c r="F533" s="1537"/>
      <c r="G533" s="2"/>
    </row>
    <row r="534" spans="1:7" ht="12.9">
      <c r="A534" s="599"/>
      <c r="B534" s="599"/>
      <c r="C534" s="597"/>
      <c r="D534" s="421"/>
      <c r="G534" s="2"/>
    </row>
    <row r="535" spans="1:7" ht="14">
      <c r="A535" s="431"/>
      <c r="B535" s="1448" t="s">
        <v>136</v>
      </c>
      <c r="C535" s="336"/>
      <c r="D535" s="1511" t="s">
        <v>1767</v>
      </c>
      <c r="E535" s="1511"/>
      <c r="F535" s="1511"/>
      <c r="G535" s="2"/>
    </row>
    <row r="536" spans="1:7" ht="12.9">
      <c r="A536" s="373"/>
      <c r="B536" s="373"/>
      <c r="C536" s="336"/>
      <c r="D536" s="1511"/>
      <c r="E536" s="1511"/>
      <c r="F536" s="1511"/>
      <c r="G536" s="2"/>
    </row>
    <row r="537" spans="1:7" ht="12.9">
      <c r="A537" s="599"/>
      <c r="B537" s="599"/>
      <c r="C537" s="597"/>
      <c r="D537" s="421"/>
      <c r="G537" s="2"/>
    </row>
    <row r="538" spans="1:7" ht="14">
      <c r="A538" s="596"/>
      <c r="B538" s="1448" t="s">
        <v>136</v>
      </c>
      <c r="D538" s="1537" t="s">
        <v>1739</v>
      </c>
      <c r="E538" s="1537"/>
      <c r="F538" s="1537"/>
      <c r="G538" s="2"/>
    </row>
    <row r="539" spans="1:7" ht="14">
      <c r="A539" s="596"/>
      <c r="B539" s="596"/>
      <c r="D539" s="1537"/>
      <c r="E539" s="1537"/>
      <c r="F539" s="1537"/>
      <c r="G539" s="2"/>
    </row>
    <row r="540" spans="1:7" ht="12.9">
      <c r="A540" s="162"/>
      <c r="B540" s="162"/>
      <c r="D540" s="1537"/>
      <c r="E540" s="1537"/>
      <c r="F540" s="1537"/>
    </row>
    <row r="541" spans="1:7" ht="11.95" customHeight="1">
      <c r="A541" s="735"/>
      <c r="B541" s="735"/>
      <c r="C541" s="423"/>
      <c r="E541" s="421"/>
    </row>
    <row r="542" spans="1:7" ht="12.9">
      <c r="A542" s="1497" t="s">
        <v>1575</v>
      </c>
      <c r="B542" s="1497"/>
      <c r="C542" s="1497"/>
      <c r="D542" s="1497"/>
      <c r="E542" s="1497"/>
      <c r="F542" s="1497"/>
      <c r="G542" s="1497"/>
    </row>
    <row r="543" spans="1:7" ht="11.95" customHeight="1">
      <c r="A543" s="155"/>
      <c r="B543" s="155"/>
      <c r="C543" s="336"/>
      <c r="D543" s="294"/>
      <c r="E543" s="299"/>
      <c r="F543" s="294"/>
    </row>
    <row r="544" spans="1:7" ht="12.9">
      <c r="A544" s="152"/>
      <c r="B544" s="152"/>
      <c r="C544" s="336"/>
      <c r="D544" s="1498" t="s">
        <v>1609</v>
      </c>
      <c r="E544" s="1498"/>
      <c r="F544" s="1498"/>
    </row>
    <row r="545" spans="1:7" ht="12.9">
      <c r="A545" s="152"/>
      <c r="B545" s="152"/>
      <c r="C545" s="14"/>
      <c r="D545" s="294"/>
      <c r="E545" s="294"/>
      <c r="F545" s="294"/>
    </row>
    <row r="546" spans="1:7" ht="12.9">
      <c r="A546" s="152"/>
      <c r="B546" s="1448" t="s">
        <v>1559</v>
      </c>
      <c r="C546" s="14"/>
      <c r="D546" s="1485" t="s">
        <v>1786</v>
      </c>
      <c r="E546" s="1485"/>
      <c r="F546" s="1485"/>
    </row>
    <row r="547" spans="1:7" ht="12.9">
      <c r="A547" s="152"/>
      <c r="B547" s="152"/>
      <c r="C547" s="14"/>
      <c r="D547" s="1485"/>
      <c r="E547" s="1485"/>
      <c r="F547" s="1485"/>
    </row>
    <row r="548" spans="1:7" ht="11.95" customHeight="1">
      <c r="A548" s="373"/>
      <c r="B548" s="373"/>
      <c r="C548" s="336"/>
      <c r="D548" s="299"/>
      <c r="E548" s="294"/>
      <c r="F548" s="294"/>
    </row>
    <row r="549" spans="1:7" ht="14">
      <c r="A549" s="431"/>
      <c r="B549" s="1448" t="s">
        <v>136</v>
      </c>
      <c r="C549" s="336"/>
      <c r="D549" s="1485" t="s">
        <v>1787</v>
      </c>
      <c r="E549" s="1485"/>
      <c r="F549" s="1485"/>
    </row>
    <row r="550" spans="1:7" ht="12.9">
      <c r="A550" s="373"/>
      <c r="B550" s="373"/>
      <c r="C550" s="336"/>
      <c r="D550" s="1485"/>
      <c r="E550" s="1485"/>
      <c r="F550" s="1485"/>
    </row>
    <row r="551" spans="1:7" ht="11.95" customHeight="1">
      <c r="A551" s="373"/>
      <c r="B551" s="373"/>
      <c r="C551" s="336"/>
      <c r="D551" s="299"/>
      <c r="E551" s="294"/>
      <c r="F551" s="294"/>
    </row>
    <row r="552" spans="1:7" ht="12.9">
      <c r="A552" s="1529" t="s">
        <v>1618</v>
      </c>
      <c r="B552" s="1529"/>
      <c r="C552" s="1529"/>
      <c r="D552" s="1529"/>
      <c r="E552" s="1529"/>
      <c r="F552" s="1529"/>
      <c r="G552" s="1529"/>
    </row>
    <row r="553" spans="1:7" ht="11.95" customHeight="1">
      <c r="A553" s="155"/>
      <c r="B553" s="155"/>
      <c r="C553" s="336"/>
      <c r="D553" s="299"/>
      <c r="E553" s="294"/>
      <c r="F553" s="294"/>
    </row>
    <row r="554" spans="1:7" ht="12.9">
      <c r="A554" s="152"/>
      <c r="B554" s="152"/>
      <c r="C554" s="336"/>
      <c r="D554" s="1498" t="s">
        <v>181</v>
      </c>
      <c r="E554" s="1498"/>
      <c r="F554" s="1498"/>
    </row>
    <row r="555" spans="1:7" ht="12.9">
      <c r="A555" s="152"/>
      <c r="B555" s="152"/>
      <c r="C555" s="336"/>
      <c r="D555" s="1482" t="s">
        <v>1763</v>
      </c>
      <c r="E555" s="1482"/>
      <c r="F555" s="1482"/>
    </row>
    <row r="556" spans="1:7" ht="12.9">
      <c r="A556" s="152"/>
      <c r="B556" s="152"/>
      <c r="C556" s="336"/>
      <c r="D556" s="299"/>
      <c r="E556" s="299"/>
      <c r="F556" s="299"/>
    </row>
    <row r="557" spans="1:7" ht="14">
      <c r="A557" s="431"/>
      <c r="B557" s="1000" t="s">
        <v>1559</v>
      </c>
      <c r="C557" s="336"/>
      <c r="D557" s="1482" t="s">
        <v>1257</v>
      </c>
      <c r="E557" s="1482"/>
      <c r="F557" s="1482"/>
    </row>
    <row r="558" spans="1:7" ht="11.95" customHeight="1">
      <c r="A558" s="373"/>
      <c r="B558" s="373"/>
      <c r="C558" s="336"/>
      <c r="D558" s="299"/>
      <c r="E558" s="2"/>
      <c r="F558" s="2"/>
      <c r="G558" s="2"/>
    </row>
    <row r="559" spans="1:7" ht="14.55" customHeight="1">
      <c r="A559" s="431"/>
      <c r="B559" s="1000" t="s">
        <v>1559</v>
      </c>
      <c r="C559" s="336"/>
      <c r="D559" s="1485" t="s">
        <v>1762</v>
      </c>
      <c r="E559" s="1485"/>
      <c r="F559" s="1485"/>
      <c r="G559" s="2"/>
    </row>
    <row r="560" spans="1:7" ht="12.9">
      <c r="A560" s="373"/>
      <c r="B560" s="373"/>
      <c r="C560" s="336"/>
      <c r="D560" s="1485"/>
      <c r="E560" s="1485"/>
      <c r="F560" s="1485"/>
      <c r="G560" s="2"/>
    </row>
    <row r="561" spans="1:7" ht="11.95" customHeight="1">
      <c r="A561" s="373"/>
      <c r="B561" s="373"/>
      <c r="C561" s="336"/>
      <c r="D561" s="299"/>
      <c r="E561" s="2"/>
      <c r="F561" s="2"/>
      <c r="G561" s="2"/>
    </row>
    <row r="562" spans="1:7" ht="14">
      <c r="A562" s="431"/>
      <c r="B562" s="1000" t="s">
        <v>1559</v>
      </c>
      <c r="C562" s="336"/>
      <c r="D562" s="1485" t="s">
        <v>1764</v>
      </c>
      <c r="E562" s="1485"/>
      <c r="F562" s="1485"/>
      <c r="G562" s="2"/>
    </row>
    <row r="563" spans="1:7" ht="12.9">
      <c r="A563" s="373"/>
      <c r="B563" s="373"/>
      <c r="C563" s="336"/>
      <c r="D563" s="1485"/>
      <c r="E563" s="1485"/>
      <c r="F563" s="1485"/>
      <c r="G563" s="2"/>
    </row>
    <row r="564" spans="1:7" ht="11.95" customHeight="1">
      <c r="A564" s="373"/>
      <c r="B564" s="373"/>
      <c r="C564" s="336"/>
      <c r="D564" s="299"/>
      <c r="E564" s="2"/>
      <c r="F564" s="2"/>
      <c r="G564" s="2"/>
    </row>
    <row r="565" spans="1:7" ht="14">
      <c r="A565" s="431"/>
      <c r="B565" s="1000" t="s">
        <v>1559</v>
      </c>
      <c r="C565" s="336"/>
      <c r="D565" s="1485" t="s">
        <v>1765</v>
      </c>
      <c r="E565" s="1485"/>
      <c r="F565" s="1485"/>
      <c r="G565" s="2"/>
    </row>
    <row r="566" spans="1:7" ht="12.9">
      <c r="A566" s="373"/>
      <c r="B566" s="373"/>
      <c r="C566" s="336"/>
      <c r="D566" s="1485"/>
      <c r="E566" s="1485"/>
      <c r="F566" s="1485"/>
      <c r="G566" s="2"/>
    </row>
    <row r="567" spans="1:7" ht="11.95" customHeight="1">
      <c r="A567" s="373"/>
      <c r="B567" s="373"/>
      <c r="C567" s="336"/>
      <c r="D567" s="299"/>
      <c r="E567" s="2"/>
      <c r="F567" s="2"/>
      <c r="G567" s="2"/>
    </row>
    <row r="568" spans="1:7" ht="14.55" customHeight="1">
      <c r="A568" s="431"/>
      <c r="B568" s="1000" t="s">
        <v>1559</v>
      </c>
      <c r="C568" s="336"/>
      <c r="D568" s="1485" t="s">
        <v>1766</v>
      </c>
      <c r="E568" s="1485"/>
      <c r="F568" s="1485"/>
      <c r="G568" s="2"/>
    </row>
    <row r="569" spans="1:7" ht="12.9">
      <c r="A569" s="373"/>
      <c r="B569" s="373"/>
      <c r="C569" s="336"/>
      <c r="D569" s="1485"/>
      <c r="E569" s="1485"/>
      <c r="F569" s="1485"/>
      <c r="G569" s="2"/>
    </row>
    <row r="570" spans="1:7" ht="12.9">
      <c r="A570" s="373"/>
      <c r="B570" s="373"/>
      <c r="C570" s="336"/>
      <c r="D570" s="1485"/>
      <c r="E570" s="1485"/>
      <c r="F570" s="1485"/>
      <c r="G570" s="2"/>
    </row>
    <row r="571" spans="1:7" ht="12.9">
      <c r="A571" s="373"/>
      <c r="B571" s="373"/>
      <c r="C571" s="336"/>
      <c r="D571" s="299"/>
      <c r="E571" s="2"/>
      <c r="F571" s="2"/>
      <c r="G571" s="2"/>
    </row>
    <row r="572" spans="1:7" ht="14">
      <c r="A572" s="431"/>
      <c r="B572" s="1000" t="s">
        <v>136</v>
      </c>
      <c r="C572" s="336"/>
      <c r="D572" s="1510" t="s">
        <v>1879</v>
      </c>
      <c r="E572" s="1511"/>
      <c r="F572" s="1511"/>
      <c r="G572" s="2"/>
    </row>
    <row r="573" spans="1:7" ht="12.9">
      <c r="A573" s="373"/>
      <c r="B573" s="373"/>
      <c r="C573" s="336"/>
      <c r="D573" s="1511"/>
      <c r="E573" s="1511"/>
      <c r="F573" s="1511"/>
      <c r="G573" s="2"/>
    </row>
    <row r="574" spans="1:7" ht="12.9">
      <c r="A574" s="373"/>
      <c r="B574" s="373"/>
      <c r="C574" s="336"/>
      <c r="D574" s="735"/>
      <c r="E574" s="294"/>
      <c r="F574" s="294"/>
      <c r="G574" s="2"/>
    </row>
    <row r="575" spans="1:7" ht="14">
      <c r="A575" s="431"/>
      <c r="B575" s="1000" t="s">
        <v>1559</v>
      </c>
      <c r="C575" s="336"/>
      <c r="D575" s="1485" t="s">
        <v>1768</v>
      </c>
      <c r="E575" s="1485"/>
      <c r="F575" s="1485"/>
      <c r="G575" s="2"/>
    </row>
    <row r="576" spans="1:7" ht="12.9">
      <c r="A576" s="373"/>
      <c r="B576" s="373"/>
      <c r="C576" s="336"/>
      <c r="D576" s="1485"/>
      <c r="E576" s="1485"/>
      <c r="F576" s="1485"/>
      <c r="G576" s="2"/>
    </row>
    <row r="577" spans="1:7" ht="11.95" customHeight="1">
      <c r="A577" s="373"/>
      <c r="B577" s="373"/>
      <c r="C577" s="336"/>
      <c r="D577" s="299"/>
      <c r="E577" s="294"/>
      <c r="F577" s="294"/>
      <c r="G577" s="2"/>
    </row>
    <row r="578" spans="1:7" ht="14">
      <c r="A578" s="431"/>
      <c r="B578" s="1000" t="s">
        <v>1559</v>
      </c>
      <c r="C578" s="336"/>
      <c r="D578" s="1482" t="s">
        <v>1769</v>
      </c>
      <c r="E578" s="1482"/>
      <c r="F578" s="1482"/>
      <c r="G578" s="2"/>
    </row>
    <row r="579" spans="1:7" ht="14">
      <c r="A579" s="431"/>
      <c r="B579" s="431"/>
      <c r="C579" s="336"/>
      <c r="D579" s="1482" t="s">
        <v>1155</v>
      </c>
      <c r="E579" s="1482"/>
      <c r="F579" s="1482"/>
      <c r="G579" s="2"/>
    </row>
    <row r="580" spans="1:7" ht="12.9">
      <c r="A580" s="428"/>
      <c r="B580" s="428"/>
      <c r="C580" s="423"/>
      <c r="D580" s="294"/>
      <c r="E580" s="1502" t="s">
        <v>1770</v>
      </c>
      <c r="F580" s="1502"/>
      <c r="G580" s="2"/>
    </row>
    <row r="581" spans="1:7" ht="15.05" customHeight="1">
      <c r="A581" s="428"/>
      <c r="B581" s="428"/>
      <c r="C581" s="423"/>
      <c r="D581" s="1512" t="s">
        <v>2034</v>
      </c>
      <c r="E581" s="1513"/>
      <c r="F581" s="1513"/>
      <c r="G581" s="2"/>
    </row>
    <row r="582" spans="1:7" ht="12.9">
      <c r="A582" s="428"/>
      <c r="B582" s="428"/>
      <c r="C582" s="423"/>
      <c r="D582" s="1513"/>
      <c r="E582" s="1513"/>
      <c r="F582" s="1513"/>
      <c r="G582" s="2"/>
    </row>
    <row r="583" spans="1:7" ht="12.9">
      <c r="A583" s="428"/>
      <c r="B583" s="428"/>
      <c r="C583" s="423"/>
      <c r="D583" s="1513"/>
      <c r="E583" s="1513"/>
      <c r="F583" s="1513"/>
      <c r="G583" s="2"/>
    </row>
    <row r="584" spans="1:7" ht="12.9">
      <c r="A584" s="428"/>
      <c r="B584" s="428"/>
      <c r="C584" s="423"/>
      <c r="D584" s="1513"/>
      <c r="E584" s="1513"/>
      <c r="F584" s="1513"/>
      <c r="G584" s="2"/>
    </row>
    <row r="585" spans="1:7" ht="12.9">
      <c r="A585" s="428"/>
      <c r="B585" s="428"/>
      <c r="C585" s="423"/>
      <c r="D585" s="1513"/>
      <c r="E585" s="1513"/>
      <c r="F585" s="1513"/>
      <c r="G585" s="2"/>
    </row>
    <row r="586" spans="1:7" ht="12.9">
      <c r="A586" s="428"/>
      <c r="B586" s="428"/>
      <c r="C586" s="423"/>
      <c r="D586" s="1513"/>
      <c r="E586" s="1513"/>
      <c r="F586" s="1513"/>
      <c r="G586" s="2"/>
    </row>
    <row r="587" spans="1:7" ht="12.9">
      <c r="A587" s="428"/>
      <c r="B587" s="428"/>
      <c r="C587" s="423"/>
      <c r="D587" s="1513"/>
      <c r="E587" s="1513"/>
      <c r="F587" s="1513"/>
      <c r="G587" s="2"/>
    </row>
    <row r="588" spans="1:7" ht="12.9">
      <c r="A588" s="428"/>
      <c r="B588" s="428"/>
      <c r="C588" s="423"/>
      <c r="D588" s="1513"/>
      <c r="E588" s="1513"/>
      <c r="F588" s="1513"/>
      <c r="G588" s="2"/>
    </row>
    <row r="589" spans="1:7" ht="12.9">
      <c r="A589" s="428"/>
      <c r="B589" s="428"/>
      <c r="C589" s="423"/>
      <c r="D589" s="1513"/>
      <c r="E589" s="1513"/>
      <c r="F589" s="1513"/>
      <c r="G589" s="2"/>
    </row>
    <row r="590" spans="1:7" ht="12.9">
      <c r="A590" s="428"/>
      <c r="B590" s="428"/>
      <c r="C590" s="423"/>
      <c r="D590" s="1004"/>
      <c r="E590" s="1004"/>
      <c r="F590" s="1004"/>
      <c r="G590" s="2"/>
    </row>
    <row r="591" spans="1:7" ht="14">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9">
      <c r="A593" s="373"/>
      <c r="B593" s="373"/>
      <c r="C593" s="336"/>
      <c r="D593" s="1485"/>
      <c r="E593" s="1485"/>
      <c r="F593" s="1485"/>
      <c r="G593" s="2"/>
    </row>
    <row r="594" spans="1:7" ht="12.9">
      <c r="A594" s="373"/>
      <c r="B594" s="373"/>
      <c r="C594" s="336"/>
      <c r="D594" s="1485"/>
      <c r="E594" s="1485"/>
      <c r="F594" s="1485"/>
      <c r="G594" s="2"/>
    </row>
    <row r="595" spans="1:7" ht="12.9">
      <c r="A595" s="373"/>
      <c r="B595" s="373"/>
      <c r="C595" s="336"/>
      <c r="D595" s="1030"/>
      <c r="E595" s="1030"/>
      <c r="F595" s="1030"/>
      <c r="G595" s="2"/>
    </row>
    <row r="596" spans="1:7" ht="14.55" customHeight="1">
      <c r="A596" s="431"/>
      <c r="B596" s="1000" t="s">
        <v>1559</v>
      </c>
      <c r="C596" s="336"/>
      <c r="D596" s="1485" t="s">
        <v>1773</v>
      </c>
      <c r="E596" s="1485"/>
      <c r="F596" s="1485"/>
      <c r="G596" s="2"/>
    </row>
    <row r="597" spans="1:7" ht="14">
      <c r="A597" s="431"/>
      <c r="B597" s="431"/>
      <c r="C597" s="336"/>
      <c r="D597" s="1485"/>
      <c r="E597" s="1485"/>
      <c r="F597" s="1485"/>
      <c r="G597" s="2"/>
    </row>
    <row r="598" spans="1:7" ht="14">
      <c r="A598" s="431"/>
      <c r="B598" s="431"/>
      <c r="C598" s="336"/>
      <c r="D598" s="1485"/>
      <c r="E598" s="1485"/>
      <c r="F598" s="1485"/>
    </row>
    <row r="599" spans="1:7" ht="12.9">
      <c r="A599" s="373"/>
      <c r="B599" s="373"/>
      <c r="C599" s="336"/>
      <c r="D599" s="1485"/>
      <c r="E599" s="1485"/>
      <c r="F599" s="1485"/>
    </row>
    <row r="600" spans="1:7" ht="12.9">
      <c r="A600" s="373"/>
      <c r="B600" s="373"/>
      <c r="C600" s="336"/>
      <c r="D600" s="299"/>
      <c r="E600" s="294"/>
      <c r="F600" s="294"/>
    </row>
    <row r="601" spans="1:7" ht="12.9">
      <c r="A601" s="433"/>
      <c r="B601" s="1000" t="s">
        <v>136</v>
      </c>
      <c r="C601" s="311"/>
      <c r="D601" s="1476" t="s">
        <v>2113</v>
      </c>
      <c r="E601" s="1477"/>
      <c r="F601" s="1477"/>
      <c r="G601" s="300"/>
    </row>
    <row r="602" spans="1:7" ht="12.9">
      <c r="A602" s="433"/>
      <c r="B602" s="433"/>
      <c r="C602" s="311"/>
      <c r="D602" s="294"/>
      <c r="E602" s="294"/>
      <c r="F602" s="294"/>
      <c r="G602" s="300"/>
    </row>
    <row r="603" spans="1:7" ht="12.9">
      <c r="A603" s="373"/>
      <c r="B603" s="373"/>
      <c r="C603" s="336"/>
      <c r="D603" s="1009"/>
      <c r="E603" s="1009"/>
      <c r="F603" s="1009"/>
    </row>
    <row r="604" spans="1:7" ht="12.9">
      <c r="A604" s="1497" t="s">
        <v>1577</v>
      </c>
      <c r="B604" s="1497"/>
      <c r="C604" s="1497"/>
      <c r="D604" s="1497"/>
      <c r="E604" s="1497"/>
      <c r="F604" s="1497"/>
      <c r="G604" s="1497"/>
    </row>
    <row r="605" spans="1:7" ht="12.9">
      <c r="A605" s="373"/>
      <c r="B605" s="373"/>
      <c r="C605" s="336"/>
      <c r="D605" s="294"/>
      <c r="E605" s="294"/>
      <c r="F605" s="294"/>
    </row>
    <row r="606" spans="1:7" ht="12.9">
      <c r="A606" s="152"/>
      <c r="B606" s="152"/>
      <c r="C606" s="310"/>
      <c r="D606" s="1500" t="s">
        <v>182</v>
      </c>
      <c r="E606" s="1500"/>
      <c r="F606" s="1500"/>
      <c r="G606" s="300"/>
    </row>
    <row r="607" spans="1:7" ht="12.9">
      <c r="A607" s="152"/>
      <c r="B607" s="152"/>
      <c r="C607" s="310"/>
      <c r="D607" s="1506" t="s">
        <v>1640</v>
      </c>
      <c r="E607" s="1506"/>
      <c r="F607" s="1506"/>
      <c r="G607" s="300"/>
    </row>
    <row r="608" spans="1:7" ht="12.9">
      <c r="A608" s="152"/>
      <c r="B608" s="152"/>
      <c r="C608" s="310"/>
      <c r="D608" s="621"/>
      <c r="E608" s="294"/>
      <c r="F608" s="294"/>
      <c r="G608" s="300"/>
    </row>
    <row r="609" spans="1:7" ht="14">
      <c r="A609" s="431"/>
      <c r="B609" s="1000" t="s">
        <v>1559</v>
      </c>
      <c r="C609" s="14"/>
      <c r="D609" s="1506" t="s">
        <v>1258</v>
      </c>
      <c r="E609" s="1506"/>
      <c r="F609" s="1506"/>
      <c r="G609" s="300"/>
    </row>
    <row r="610" spans="1:7" ht="12.9">
      <c r="A610" s="33"/>
      <c r="B610" s="33"/>
      <c r="C610" s="14"/>
      <c r="D610" s="625"/>
      <c r="E610" s="294"/>
      <c r="F610" s="294"/>
      <c r="G610" s="300"/>
    </row>
    <row r="611" spans="1:7" ht="14.55" customHeight="1">
      <c r="A611" s="431"/>
      <c r="B611" s="1000" t="s">
        <v>1559</v>
      </c>
      <c r="C611" s="14"/>
      <c r="D611" s="1496" t="s">
        <v>1642</v>
      </c>
      <c r="E611" s="1496"/>
      <c r="F611" s="1496"/>
      <c r="G611" s="300"/>
    </row>
    <row r="612" spans="1:7" ht="14.55" customHeight="1">
      <c r="A612" s="431"/>
      <c r="B612" s="431"/>
      <c r="C612" s="14"/>
      <c r="D612" s="1496"/>
      <c r="E612" s="1496"/>
      <c r="F612" s="1496"/>
      <c r="G612" s="300"/>
    </row>
    <row r="613" spans="1:7" ht="14">
      <c r="A613" s="431"/>
      <c r="B613" s="431"/>
      <c r="C613" s="14"/>
      <c r="D613" s="1496"/>
      <c r="E613" s="1496"/>
      <c r="F613" s="1496"/>
      <c r="G613" s="300"/>
    </row>
    <row r="614" spans="1:7" ht="14">
      <c r="A614" s="431"/>
      <c r="B614" s="431"/>
      <c r="C614" s="14"/>
      <c r="D614" s="1008"/>
      <c r="E614" s="1008"/>
      <c r="F614" s="1008"/>
      <c r="G614" s="300"/>
    </row>
    <row r="615" spans="1:7" ht="14">
      <c r="A615" s="431"/>
      <c r="B615" s="1000" t="s">
        <v>136</v>
      </c>
      <c r="C615" s="14"/>
      <c r="D615" s="1496" t="s">
        <v>1641</v>
      </c>
      <c r="E615" s="1496"/>
      <c r="F615" s="1496"/>
      <c r="G615" s="300"/>
    </row>
    <row r="616" spans="1:7" ht="14">
      <c r="A616" s="431"/>
      <c r="B616" s="431"/>
      <c r="C616" s="14"/>
      <c r="D616" s="1496"/>
      <c r="E616" s="1496"/>
      <c r="F616" s="1496"/>
      <c r="G616" s="300"/>
    </row>
    <row r="617" spans="1:7" ht="14">
      <c r="A617" s="431"/>
      <c r="B617" s="431"/>
      <c r="C617" s="14"/>
      <c r="D617" s="1496"/>
      <c r="E617" s="1496"/>
      <c r="F617" s="1496"/>
      <c r="G617" s="300"/>
    </row>
    <row r="618" spans="1:7" ht="14">
      <c r="A618" s="431"/>
      <c r="B618" s="431"/>
      <c r="C618" s="14"/>
      <c r="D618" s="1496"/>
      <c r="E618" s="1496"/>
      <c r="F618" s="1496"/>
      <c r="G618" s="300"/>
    </row>
    <row r="619" spans="1:7" ht="14">
      <c r="A619" s="431"/>
      <c r="B619" s="431"/>
      <c r="C619" s="14"/>
      <c r="D619" s="621"/>
      <c r="E619" s="294"/>
      <c r="F619" s="294"/>
      <c r="G619" s="300"/>
    </row>
    <row r="620" spans="1:7" ht="14">
      <c r="A620" s="596"/>
      <c r="B620" s="1000" t="s">
        <v>1559</v>
      </c>
      <c r="D620" s="1496" t="s">
        <v>1643</v>
      </c>
      <c r="E620" s="1496"/>
      <c r="F620" s="1496"/>
      <c r="G620" s="300"/>
    </row>
    <row r="621" spans="1:7" ht="14">
      <c r="A621" s="596"/>
      <c r="B621" s="596"/>
      <c r="D621" s="1496"/>
      <c r="E621" s="1496"/>
      <c r="F621" s="1496"/>
      <c r="G621" s="300"/>
    </row>
    <row r="622" spans="1:7" ht="14">
      <c r="A622" s="431"/>
      <c r="B622" s="431"/>
      <c r="C622" s="14"/>
      <c r="D622" s="621"/>
      <c r="E622" s="294"/>
      <c r="F622" s="294"/>
      <c r="G622" s="300"/>
    </row>
    <row r="623" spans="1:7" ht="14.55" customHeight="1">
      <c r="A623" s="431"/>
      <c r="B623" s="1000" t="s">
        <v>136</v>
      </c>
      <c r="C623" s="14"/>
      <c r="D623" s="1506" t="s">
        <v>1649</v>
      </c>
      <c r="E623" s="1506"/>
      <c r="F623" s="1506"/>
      <c r="G623" s="300"/>
    </row>
    <row r="624" spans="1:7" ht="14">
      <c r="A624" s="431"/>
      <c r="B624" s="431"/>
      <c r="C624" s="14"/>
      <c r="D624" s="1506"/>
      <c r="E624" s="1506"/>
      <c r="F624" s="1506"/>
      <c r="G624" s="300"/>
    </row>
    <row r="625" spans="1:7" ht="14">
      <c r="A625" s="431"/>
      <c r="B625" s="431"/>
      <c r="C625" s="14"/>
      <c r="D625" s="621"/>
      <c r="E625" s="294"/>
      <c r="F625" s="294"/>
      <c r="G625" s="300"/>
    </row>
    <row r="626" spans="1:7" ht="14">
      <c r="A626" s="431"/>
      <c r="B626" s="1000" t="s">
        <v>1559</v>
      </c>
      <c r="C626" s="14"/>
      <c r="D626" s="1506" t="s">
        <v>1259</v>
      </c>
      <c r="E626" s="1506"/>
      <c r="F626" s="1506"/>
      <c r="G626" s="300"/>
    </row>
    <row r="627" spans="1:7" ht="12.9">
      <c r="A627" s="33"/>
      <c r="B627" s="33"/>
      <c r="C627" s="14"/>
      <c r="D627" s="294"/>
      <c r="E627" s="294"/>
      <c r="F627" s="294"/>
      <c r="G627" s="300"/>
    </row>
    <row r="628" spans="1:7" ht="12.9">
      <c r="A628" s="1497" t="s">
        <v>1579</v>
      </c>
      <c r="B628" s="1497"/>
      <c r="C628" s="1497"/>
      <c r="D628" s="1497"/>
      <c r="E628" s="1497"/>
      <c r="F628" s="1497"/>
      <c r="G628" s="1497"/>
    </row>
    <row r="629" spans="1:7" ht="12.9">
      <c r="A629" s="107"/>
      <c r="B629" s="107"/>
      <c r="C629" s="314"/>
      <c r="D629" s="295"/>
      <c r="E629" s="295"/>
      <c r="F629" s="295"/>
      <c r="G629" s="300"/>
    </row>
    <row r="630" spans="1:7" ht="12.9">
      <c r="A630" s="152"/>
      <c r="B630" s="152"/>
      <c r="C630" s="311"/>
      <c r="D630" s="1543" t="s">
        <v>1578</v>
      </c>
      <c r="E630" s="1543"/>
      <c r="F630" s="1543"/>
    </row>
    <row r="631" spans="1:7" ht="12.9">
      <c r="A631" s="152"/>
      <c r="B631" s="152"/>
      <c r="C631" s="311"/>
      <c r="D631" s="1477" t="s">
        <v>1610</v>
      </c>
      <c r="E631" s="1477"/>
      <c r="F631" s="1477"/>
    </row>
    <row r="632" spans="1:7" ht="12.9">
      <c r="A632" s="1034"/>
      <c r="B632" s="1034"/>
      <c r="C632" s="311"/>
      <c r="D632" s="1032"/>
      <c r="E632" s="1032"/>
      <c r="F632" s="1032"/>
    </row>
    <row r="633" spans="1:7" ht="14">
      <c r="A633" s="596"/>
      <c r="B633" s="1000" t="s">
        <v>1559</v>
      </c>
      <c r="D633" s="1556" t="s">
        <v>1788</v>
      </c>
      <c r="E633" s="1556"/>
      <c r="F633" s="1556"/>
    </row>
    <row r="634" spans="1:7" ht="12.9">
      <c r="A634" s="152"/>
      <c r="B634" s="152"/>
      <c r="C634" s="14"/>
      <c r="D634" s="1556"/>
      <c r="E634" s="1556"/>
      <c r="F634" s="1556"/>
    </row>
    <row r="635" spans="1:7" ht="12.9">
      <c r="A635" s="152"/>
      <c r="B635" s="152"/>
      <c r="C635" s="14"/>
      <c r="D635" s="1556"/>
      <c r="E635" s="1556"/>
      <c r="F635" s="1556"/>
    </row>
    <row r="636" spans="1:7" ht="12.9">
      <c r="A636" s="107"/>
      <c r="B636" s="107"/>
      <c r="C636" s="314"/>
      <c r="D636" s="295"/>
      <c r="E636" s="295"/>
      <c r="F636" s="295"/>
      <c r="G636" s="300"/>
    </row>
    <row r="637" spans="1:7" ht="11.95" customHeight="1">
      <c r="A637" s="1497" t="s">
        <v>1581</v>
      </c>
      <c r="B637" s="1497"/>
      <c r="C637" s="1497"/>
      <c r="D637" s="1497"/>
      <c r="E637" s="1497"/>
      <c r="F637" s="1497"/>
      <c r="G637" s="1497"/>
    </row>
    <row r="638" spans="1:7" ht="12.9">
      <c r="A638" s="155"/>
      <c r="B638" s="155"/>
      <c r="C638" s="14"/>
      <c r="D638" s="294"/>
      <c r="E638" s="294"/>
      <c r="F638" s="294"/>
      <c r="G638" s="300"/>
    </row>
    <row r="639" spans="1:7" ht="12.9">
      <c r="A639" s="152"/>
      <c r="B639" s="152"/>
      <c r="C639" s="315"/>
      <c r="D639" s="1498" t="s">
        <v>1580</v>
      </c>
      <c r="E639" s="1498"/>
      <c r="F639" s="1498"/>
      <c r="G639" s="300"/>
    </row>
    <row r="640" spans="1:7" ht="12.9">
      <c r="A640" s="433"/>
      <c r="B640" s="433"/>
      <c r="C640" s="311"/>
      <c r="D640" s="1482" t="s">
        <v>1789</v>
      </c>
      <c r="E640" s="1482"/>
      <c r="F640" s="1482"/>
      <c r="G640" s="300"/>
    </row>
    <row r="641" spans="1:7" ht="12.9">
      <c r="A641" s="433"/>
      <c r="B641" s="433"/>
      <c r="C641" s="311"/>
      <c r="D641" s="294"/>
      <c r="E641" s="294"/>
      <c r="F641" s="294"/>
      <c r="G641" s="300"/>
    </row>
    <row r="642" spans="1:7" ht="14">
      <c r="A642" s="431"/>
      <c r="B642" s="431"/>
      <c r="C642" s="14"/>
      <c r="D642" s="1543" t="s">
        <v>965</v>
      </c>
      <c r="E642" s="1543"/>
      <c r="F642" s="1543"/>
      <c r="G642" s="300"/>
    </row>
    <row r="643" spans="1:7" ht="14">
      <c r="A643" s="431"/>
      <c r="B643" s="1000" t="s">
        <v>1559</v>
      </c>
      <c r="C643" s="14"/>
      <c r="D643" s="1477" t="s">
        <v>1790</v>
      </c>
      <c r="E643" s="1477"/>
      <c r="F643" s="1477"/>
      <c r="G643" s="300"/>
    </row>
    <row r="644" spans="1:7" ht="14">
      <c r="A644" s="431"/>
      <c r="B644" s="431"/>
      <c r="C644" s="14"/>
      <c r="D644" s="299"/>
      <c r="E644" s="294"/>
      <c r="F644" s="294"/>
      <c r="G644" s="300"/>
    </row>
    <row r="645" spans="1:7" ht="14">
      <c r="A645" s="431"/>
      <c r="B645" s="1000" t="s">
        <v>136</v>
      </c>
      <c r="C645" s="14"/>
      <c r="D645" s="1485" t="s">
        <v>1791</v>
      </c>
      <c r="E645" s="1485"/>
      <c r="F645" s="1485"/>
      <c r="G645" s="300"/>
    </row>
    <row r="646" spans="1:7" ht="14">
      <c r="A646" s="431"/>
      <c r="B646" s="431"/>
      <c r="C646" s="14"/>
      <c r="D646" s="1485"/>
      <c r="E646" s="1485"/>
      <c r="F646" s="1485"/>
      <c r="G646" s="300"/>
    </row>
    <row r="647" spans="1:7" ht="14">
      <c r="A647" s="431"/>
      <c r="B647" s="431"/>
      <c r="C647" s="14"/>
      <c r="D647" s="299"/>
      <c r="E647" s="294"/>
      <c r="F647" s="294"/>
      <c r="G647" s="300"/>
    </row>
    <row r="648" spans="1:7" ht="14">
      <c r="A648" s="596"/>
      <c r="B648" s="1000" t="s">
        <v>136</v>
      </c>
      <c r="D648" s="1512" t="s">
        <v>2273</v>
      </c>
      <c r="E648" s="1512"/>
      <c r="F648" s="1512"/>
      <c r="G648" s="300"/>
    </row>
    <row r="649" spans="1:7" ht="13.7" customHeight="1">
      <c r="D649" s="1512"/>
      <c r="E649" s="1512"/>
      <c r="F649" s="1512"/>
    </row>
    <row r="650" spans="1:7" ht="12.9">
      <c r="A650" s="152"/>
      <c r="B650" s="152"/>
      <c r="C650" s="14"/>
      <c r="D650" s="294"/>
      <c r="E650" s="294"/>
      <c r="F650" s="294"/>
      <c r="G650" s="300"/>
    </row>
    <row r="651" spans="1:7" ht="14">
      <c r="A651" s="431"/>
      <c r="B651" s="1000" t="s">
        <v>136</v>
      </c>
      <c r="C651" s="14"/>
      <c r="D651" s="1477" t="s">
        <v>1792</v>
      </c>
      <c r="E651" s="1477"/>
      <c r="F651" s="1477"/>
      <c r="G651" s="300"/>
    </row>
    <row r="652" spans="1:7" ht="12.9">
      <c r="A652" s="436"/>
      <c r="B652" s="436"/>
      <c r="C652" s="315"/>
      <c r="D652" s="294"/>
      <c r="E652" s="294"/>
      <c r="F652" s="294"/>
      <c r="G652" s="300"/>
    </row>
    <row r="653" spans="1:7" ht="12.9">
      <c r="A653" s="1497" t="s">
        <v>1582</v>
      </c>
      <c r="B653" s="1497"/>
      <c r="C653" s="1497"/>
      <c r="D653" s="1497"/>
      <c r="E653" s="1497"/>
      <c r="F653" s="1497"/>
      <c r="G653" s="1497"/>
    </row>
    <row r="654" spans="1:7" ht="12.9">
      <c r="A654" s="436"/>
      <c r="B654" s="436"/>
      <c r="C654" s="315"/>
      <c r="D654" s="294"/>
      <c r="E654" s="294"/>
      <c r="F654" s="294"/>
      <c r="G654" s="300"/>
    </row>
    <row r="655" spans="1:7" ht="12.9">
      <c r="A655" s="152"/>
      <c r="B655" s="152"/>
      <c r="C655" s="334"/>
      <c r="D655" s="1558" t="s">
        <v>1611</v>
      </c>
      <c r="E655" s="1558"/>
      <c r="F655" s="1558"/>
      <c r="G655" s="300"/>
    </row>
    <row r="656" spans="1:7" ht="12.9">
      <c r="A656" s="33"/>
      <c r="B656" s="33"/>
      <c r="C656" s="314"/>
      <c r="D656" s="6"/>
      <c r="E656" s="295"/>
      <c r="F656" s="295"/>
      <c r="G656" s="300"/>
    </row>
    <row r="657" spans="1:9" ht="14">
      <c r="A657" s="431"/>
      <c r="B657" s="1000" t="s">
        <v>1559</v>
      </c>
      <c r="C657" s="314"/>
      <c r="D657" s="1559" t="s">
        <v>1793</v>
      </c>
      <c r="E657" s="1559"/>
      <c r="F657" s="1559"/>
      <c r="G657" s="300"/>
    </row>
    <row r="658" spans="1:9" ht="14">
      <c r="A658" s="431"/>
      <c r="B658" s="431"/>
      <c r="C658" s="314"/>
      <c r="D658" s="1559"/>
      <c r="E658" s="1559"/>
      <c r="F658" s="1559"/>
      <c r="G658" s="300"/>
    </row>
    <row r="659" spans="1:9" ht="12.9">
      <c r="A659" s="152"/>
      <c r="B659" s="152"/>
      <c r="C659" s="314"/>
      <c r="D659" s="1559"/>
      <c r="E659" s="1559"/>
      <c r="F659" s="1559"/>
      <c r="G659" s="300"/>
    </row>
    <row r="660" spans="1:9" ht="12.9">
      <c r="A660" s="152"/>
      <c r="B660" s="152"/>
      <c r="C660" s="314"/>
      <c r="D660" s="1559"/>
      <c r="E660" s="1559"/>
      <c r="F660" s="1559"/>
      <c r="G660" s="300"/>
    </row>
    <row r="661" spans="1:9" ht="12.9">
      <c r="A661" s="152"/>
      <c r="B661" s="152"/>
      <c r="C661" s="314"/>
      <c r="D661" s="1559"/>
      <c r="E661" s="1559"/>
      <c r="F661" s="1559"/>
      <c r="G661" s="300"/>
    </row>
    <row r="662" spans="1:9" ht="12.9">
      <c r="A662" s="152"/>
      <c r="B662" s="152"/>
      <c r="C662" s="314"/>
      <c r="D662" s="1559"/>
      <c r="E662" s="1559"/>
      <c r="F662" s="1559"/>
      <c r="G662" s="300"/>
    </row>
    <row r="663" spans="1:9" ht="12.9">
      <c r="A663" s="152"/>
      <c r="B663" s="152"/>
      <c r="C663" s="314"/>
      <c r="D663" s="294"/>
      <c r="E663" s="295"/>
      <c r="F663" s="295"/>
      <c r="G663" s="300"/>
    </row>
    <row r="664" spans="1:9" ht="14">
      <c r="A664" s="503"/>
      <c r="B664" s="1448" t="s">
        <v>136</v>
      </c>
      <c r="C664" s="314"/>
      <c r="D664" s="1559" t="s">
        <v>1794</v>
      </c>
      <c r="E664" s="1559"/>
      <c r="F664" s="1559"/>
      <c r="G664" s="296"/>
    </row>
    <row r="665" spans="1:9" ht="14">
      <c r="A665" s="503"/>
      <c r="B665" s="503"/>
      <c r="C665" s="314"/>
      <c r="D665" s="1559"/>
      <c r="E665" s="1559"/>
      <c r="F665" s="1559"/>
      <c r="G665" s="296"/>
    </row>
    <row r="666" spans="1:9" ht="14">
      <c r="A666" s="503"/>
      <c r="B666" s="503"/>
      <c r="C666" s="314"/>
      <c r="D666" s="299"/>
      <c r="E666" s="298"/>
      <c r="F666" s="298"/>
      <c r="G666" s="296"/>
    </row>
    <row r="667" spans="1:9" ht="13.7" customHeight="1">
      <c r="A667" s="503"/>
      <c r="B667" s="1448" t="s">
        <v>136</v>
      </c>
      <c r="C667" s="314"/>
      <c r="D667" s="1533" t="s">
        <v>2114</v>
      </c>
      <c r="E667" s="1533"/>
      <c r="F667" s="1533"/>
      <c r="G667" s="296"/>
    </row>
    <row r="668" spans="1:9" ht="14">
      <c r="A668" s="503"/>
      <c r="B668" s="503"/>
      <c r="C668" s="314"/>
      <c r="D668" s="1533"/>
      <c r="E668" s="1533"/>
      <c r="F668" s="1533"/>
      <c r="G668" s="296"/>
    </row>
    <row r="669" spans="1:9" ht="14">
      <c r="A669" s="431"/>
      <c r="B669" s="431"/>
      <c r="C669" s="314"/>
      <c r="D669" s="1533"/>
      <c r="E669" s="1533"/>
      <c r="F669" s="1533"/>
      <c r="G669" s="296"/>
    </row>
    <row r="670" spans="1:9" ht="14">
      <c r="A670" s="596"/>
      <c r="B670" s="596"/>
      <c r="C670" s="297"/>
      <c r="D670" s="1038"/>
      <c r="E670" s="1038"/>
      <c r="F670" s="1038"/>
      <c r="G670" s="296"/>
    </row>
    <row r="671" spans="1:9" ht="14">
      <c r="A671" s="431"/>
      <c r="B671" s="1448" t="s">
        <v>136</v>
      </c>
      <c r="C671" s="336"/>
      <c r="D671" s="1560" t="s">
        <v>1795</v>
      </c>
      <c r="E671" s="1560"/>
      <c r="F671" s="1560"/>
      <c r="G671" s="296"/>
    </row>
    <row r="672" spans="1:9" ht="12.9">
      <c r="A672" s="155"/>
      <c r="B672" s="155"/>
      <c r="C672" s="336"/>
      <c r="D672" s="298"/>
      <c r="E672" s="298"/>
      <c r="F672" s="298"/>
      <c r="G672" s="296"/>
      <c r="H672" s="422"/>
      <c r="I672" s="422"/>
    </row>
    <row r="673" spans="1:7" ht="12.9">
      <c r="A673" s="1497" t="s">
        <v>1584</v>
      </c>
      <c r="B673" s="1497"/>
      <c r="C673" s="1497"/>
      <c r="D673" s="1497"/>
      <c r="E673" s="1497"/>
      <c r="F673" s="1497"/>
      <c r="G673" s="1497"/>
    </row>
    <row r="674" spans="1:7" ht="12.9">
      <c r="A674" s="155"/>
      <c r="B674" s="155"/>
      <c r="C674" s="336"/>
      <c r="D674" s="298"/>
      <c r="E674" s="298"/>
      <c r="F674" s="298"/>
      <c r="G674" s="296"/>
    </row>
    <row r="675" spans="1:7" ht="12.9">
      <c r="A675" s="152"/>
      <c r="B675" s="152"/>
      <c r="C675" s="315"/>
      <c r="D675" s="1563" t="s">
        <v>1583</v>
      </c>
      <c r="E675" s="1563"/>
      <c r="F675" s="1563"/>
      <c r="G675" s="296"/>
    </row>
    <row r="676" spans="1:7" ht="12.9">
      <c r="A676" s="433"/>
      <c r="B676" s="433"/>
      <c r="C676" s="311"/>
      <c r="D676" s="1550" t="s">
        <v>1612</v>
      </c>
      <c r="E676" s="1550"/>
      <c r="F676" s="1550"/>
      <c r="G676" s="296"/>
    </row>
    <row r="677" spans="1:7" ht="12.9">
      <c r="A677" s="433"/>
      <c r="B677" s="433"/>
      <c r="C677" s="311"/>
      <c r="D677" s="1043"/>
      <c r="E677" s="1043"/>
      <c r="F677" s="1043"/>
      <c r="G677" s="296"/>
    </row>
    <row r="678" spans="1:7" ht="14.55" customHeight="1">
      <c r="A678" s="431"/>
      <c r="B678" s="1448" t="s">
        <v>136</v>
      </c>
      <c r="C678" s="336"/>
      <c r="D678" s="1453" t="s">
        <v>2208</v>
      </c>
      <c r="E678" s="1460"/>
      <c r="F678" s="1460"/>
      <c r="G678" s="296"/>
    </row>
    <row r="679" spans="1:7" ht="14">
      <c r="A679" s="431"/>
      <c r="B679" s="431"/>
      <c r="C679" s="336"/>
      <c r="D679" s="1460"/>
      <c r="E679" s="1460"/>
      <c r="F679" s="1460"/>
      <c r="G679" s="296"/>
    </row>
    <row r="680" spans="1:7" ht="14">
      <c r="A680" s="431"/>
      <c r="B680" s="431"/>
      <c r="C680" s="336"/>
      <c r="D680" s="1460"/>
      <c r="E680" s="1460"/>
      <c r="F680" s="1460"/>
      <c r="G680" s="296"/>
    </row>
    <row r="681" spans="1:7" ht="14">
      <c r="A681" s="431"/>
      <c r="B681" s="431"/>
      <c r="C681" s="336"/>
      <c r="D681" s="1460"/>
      <c r="E681" s="1460"/>
      <c r="F681" s="1460"/>
      <c r="G681" s="296"/>
    </row>
    <row r="682" spans="1:7" ht="14">
      <c r="A682" s="431"/>
      <c r="B682" s="431"/>
      <c r="C682" s="336"/>
      <c r="D682" s="1460"/>
      <c r="E682" s="1460"/>
      <c r="F682" s="1460"/>
      <c r="G682" s="296"/>
    </row>
    <row r="683" spans="1:7" ht="14">
      <c r="A683" s="431"/>
      <c r="B683" s="431"/>
      <c r="C683" s="336"/>
      <c r="D683" s="1460"/>
      <c r="E683" s="1460"/>
      <c r="F683" s="1460"/>
      <c r="G683" s="296"/>
    </row>
    <row r="684" spans="1:7" ht="14">
      <c r="A684" s="431"/>
      <c r="B684" s="431"/>
      <c r="C684" s="336"/>
      <c r="D684" s="1460"/>
      <c r="E684" s="1460"/>
      <c r="F684" s="1460"/>
      <c r="G684" s="296"/>
    </row>
    <row r="685" spans="1:7" ht="14">
      <c r="A685" s="596"/>
      <c r="B685" s="596"/>
      <c r="C685" s="423"/>
      <c r="D685" s="744"/>
      <c r="F685" s="296"/>
      <c r="G685" s="296"/>
    </row>
    <row r="686" spans="1:7" ht="14">
      <c r="A686" s="596"/>
      <c r="B686" s="1448" t="s">
        <v>136</v>
      </c>
      <c r="C686" s="423"/>
      <c r="D686" s="1540" t="s">
        <v>1638</v>
      </c>
      <c r="E686" s="1540"/>
      <c r="F686" s="1540"/>
      <c r="G686" s="296"/>
    </row>
    <row r="687" spans="1:7" ht="14">
      <c r="A687" s="596"/>
      <c r="B687" s="596"/>
      <c r="C687" s="423"/>
      <c r="D687" s="1562" t="s">
        <v>1825</v>
      </c>
      <c r="E687" s="1562"/>
      <c r="F687" s="1562"/>
      <c r="G687" s="296"/>
    </row>
    <row r="688" spans="1:7" ht="14">
      <c r="A688" s="596"/>
      <c r="B688" s="596"/>
      <c r="C688" s="423"/>
      <c r="D688" s="1562"/>
      <c r="E688" s="1562"/>
      <c r="F688" s="1562"/>
      <c r="G688" s="296"/>
    </row>
    <row r="689" spans="1:7" ht="14">
      <c r="A689" s="596"/>
      <c r="B689" s="596"/>
      <c r="C689" s="423"/>
      <c r="D689" s="1562"/>
      <c r="E689" s="1562"/>
      <c r="F689" s="1562"/>
      <c r="G689" s="296"/>
    </row>
    <row r="690" spans="1:7" ht="14">
      <c r="A690" s="596"/>
      <c r="B690" s="596"/>
      <c r="C690" s="423"/>
      <c r="D690" s="1562"/>
      <c r="E690" s="1562"/>
      <c r="F690" s="1562"/>
      <c r="G690" s="296"/>
    </row>
    <row r="691" spans="1:7" ht="14">
      <c r="A691" s="596"/>
      <c r="B691" s="596"/>
      <c r="C691" s="423"/>
      <c r="D691" s="1562"/>
      <c r="E691" s="1562"/>
      <c r="F691" s="1562"/>
      <c r="G691" s="296"/>
    </row>
    <row r="692" spans="1:7" ht="14">
      <c r="A692" s="596"/>
      <c r="B692" s="596"/>
      <c r="C692" s="423"/>
      <c r="D692" s="1564" t="s">
        <v>2207</v>
      </c>
      <c r="E692" s="1564"/>
      <c r="F692" s="1564"/>
      <c r="G692" s="296"/>
    </row>
    <row r="693" spans="1:7" ht="12.9">
      <c r="A693" s="155"/>
      <c r="B693" s="155"/>
      <c r="C693" s="336"/>
      <c r="D693" s="298"/>
      <c r="E693" s="298"/>
      <c r="F693" s="298"/>
      <c r="G693" s="296"/>
    </row>
    <row r="694" spans="1:7" ht="12.9">
      <c r="A694" s="1497" t="s">
        <v>1585</v>
      </c>
      <c r="B694" s="1497"/>
      <c r="C694" s="1497"/>
      <c r="D694" s="1497"/>
      <c r="E694" s="1497"/>
      <c r="F694" s="1497"/>
      <c r="G694" s="1497"/>
    </row>
    <row r="695" spans="1:7" ht="12.9">
      <c r="A695" s="155"/>
      <c r="B695" s="155"/>
      <c r="C695" s="336"/>
      <c r="D695" s="298"/>
      <c r="E695" s="298"/>
      <c r="F695" s="298"/>
      <c r="G695" s="296"/>
    </row>
    <row r="696" spans="1:7" ht="12.9">
      <c r="A696" s="152"/>
      <c r="B696" s="152"/>
      <c r="C696" s="315"/>
      <c r="D696" s="1498" t="s">
        <v>863</v>
      </c>
      <c r="E696" s="1498"/>
      <c r="F696" s="1498"/>
      <c r="G696" s="296"/>
    </row>
    <row r="697" spans="1:7" ht="12.9">
      <c r="A697" s="436"/>
      <c r="B697" s="436"/>
      <c r="C697" s="315"/>
      <c r="D697" s="1498" t="s">
        <v>966</v>
      </c>
      <c r="E697" s="1498"/>
      <c r="F697" s="1498"/>
      <c r="G697" s="296"/>
    </row>
    <row r="698" spans="1:7" ht="12.9">
      <c r="A698" s="433"/>
      <c r="B698" s="433"/>
      <c r="C698" s="311"/>
      <c r="D698" s="1482" t="s">
        <v>1750</v>
      </c>
      <c r="E698" s="1482"/>
      <c r="F698" s="1482"/>
      <c r="G698" s="300"/>
    </row>
    <row r="699" spans="1:7" ht="14.25" customHeight="1">
      <c r="A699" s="433"/>
      <c r="B699" s="433"/>
      <c r="C699" s="311"/>
      <c r="D699" s="294"/>
      <c r="E699" s="294"/>
      <c r="F699" s="294"/>
      <c r="G699" s="300"/>
    </row>
    <row r="700" spans="1:7" ht="14">
      <c r="A700" s="431"/>
      <c r="B700" s="1000" t="s">
        <v>1559</v>
      </c>
      <c r="C700" s="311"/>
      <c r="D700" s="1482" t="s">
        <v>1260</v>
      </c>
      <c r="E700" s="1482"/>
      <c r="F700" s="1482"/>
      <c r="G700" s="300"/>
    </row>
    <row r="701" spans="1:7" ht="12.9">
      <c r="A701" s="433"/>
      <c r="B701" s="433"/>
      <c r="C701" s="311"/>
      <c r="D701" s="1482" t="s">
        <v>1282</v>
      </c>
      <c r="E701" s="1482"/>
      <c r="F701" s="1482"/>
      <c r="G701" s="300"/>
    </row>
    <row r="702" spans="1:7" ht="12.9">
      <c r="A702" s="433"/>
      <c r="B702" s="433"/>
      <c r="C702" s="311"/>
      <c r="D702" s="294"/>
      <c r="E702" s="1546" t="s">
        <v>1755</v>
      </c>
      <c r="F702" s="1546"/>
      <c r="G702" s="300"/>
    </row>
    <row r="703" spans="1:7" ht="12.9">
      <c r="A703" s="433"/>
      <c r="B703" s="433"/>
      <c r="C703" s="311"/>
      <c r="D703" s="294"/>
      <c r="E703" s="1546"/>
      <c r="F703" s="1546"/>
      <c r="G703" s="300"/>
    </row>
    <row r="704" spans="1:7" ht="12.9">
      <c r="A704" s="433"/>
      <c r="B704" s="433"/>
      <c r="C704" s="311"/>
      <c r="D704" s="349"/>
      <c r="E704" s="349"/>
      <c r="F704" s="349"/>
      <c r="G704" s="300"/>
    </row>
    <row r="705" spans="1:7" ht="14">
      <c r="A705" s="431"/>
      <c r="B705" s="1448" t="s">
        <v>136</v>
      </c>
      <c r="C705" s="311"/>
      <c r="D705" s="1485" t="s">
        <v>1752</v>
      </c>
      <c r="E705" s="1485"/>
      <c r="F705" s="1485"/>
      <c r="G705" s="300"/>
    </row>
    <row r="706" spans="1:7" ht="12.9">
      <c r="A706" s="33"/>
      <c r="B706" s="33"/>
      <c r="C706" s="311"/>
      <c r="D706" s="1485"/>
      <c r="E706" s="1485"/>
      <c r="F706" s="1485"/>
      <c r="G706" s="300"/>
    </row>
    <row r="707" spans="1:7" ht="12.9">
      <c r="A707" s="433"/>
      <c r="B707" s="433"/>
      <c r="C707" s="311"/>
      <c r="D707" s="1485"/>
      <c r="E707" s="1485"/>
      <c r="F707" s="1485"/>
      <c r="G707" s="300"/>
    </row>
    <row r="708" spans="1:7" ht="12.9">
      <c r="A708" s="433"/>
      <c r="B708" s="433"/>
      <c r="C708" s="311"/>
      <c r="D708" s="294"/>
      <c r="E708" s="294"/>
      <c r="F708" s="294"/>
      <c r="G708" s="300"/>
    </row>
    <row r="709" spans="1:7" ht="14">
      <c r="A709" s="431"/>
      <c r="B709" s="1448" t="s">
        <v>136</v>
      </c>
      <c r="C709" s="311"/>
      <c r="D709" s="1482" t="s">
        <v>1327</v>
      </c>
      <c r="E709" s="1482"/>
      <c r="F709" s="1482"/>
      <c r="G709" s="300"/>
    </row>
    <row r="710" spans="1:7" ht="14">
      <c r="A710" s="431"/>
      <c r="B710" s="431"/>
      <c r="C710" s="311"/>
      <c r="D710" s="1482" t="s">
        <v>1282</v>
      </c>
      <c r="E710" s="1482"/>
      <c r="F710" s="1482"/>
      <c r="G710" s="300"/>
    </row>
    <row r="711" spans="1:7" ht="12.9">
      <c r="A711" s="433"/>
      <c r="B711" s="433"/>
      <c r="C711" s="311"/>
      <c r="D711" s="294"/>
      <c r="E711" s="1502" t="s">
        <v>1753</v>
      </c>
      <c r="F711" s="1502"/>
      <c r="G711" s="300"/>
    </row>
    <row r="712" spans="1:7" ht="12.9">
      <c r="A712" s="433"/>
      <c r="B712" s="433"/>
      <c r="C712" s="311"/>
      <c r="D712" s="6"/>
      <c r="E712" s="294"/>
      <c r="F712" s="294"/>
      <c r="G712" s="300"/>
    </row>
    <row r="713" spans="1:7" ht="14">
      <c r="A713" s="431"/>
      <c r="B713" s="1448" t="s">
        <v>136</v>
      </c>
      <c r="C713" s="311"/>
      <c r="D713" s="1511" t="s">
        <v>1754</v>
      </c>
      <c r="E713" s="1511"/>
      <c r="F713" s="1511"/>
      <c r="G713" s="300"/>
    </row>
    <row r="714" spans="1:7" ht="12.9">
      <c r="A714" s="433"/>
      <c r="B714" s="433"/>
      <c r="C714" s="311"/>
      <c r="D714" s="1511"/>
      <c r="E714" s="1511"/>
      <c r="F714" s="1511"/>
      <c r="G714" s="300"/>
    </row>
    <row r="715" spans="1:7" ht="12.9">
      <c r="A715" s="433"/>
      <c r="B715" s="433"/>
      <c r="C715" s="311"/>
      <c r="D715" s="1511"/>
      <c r="E715" s="1511"/>
      <c r="F715" s="1511"/>
      <c r="G715" s="300"/>
    </row>
    <row r="716" spans="1:7" ht="12.9">
      <c r="A716" s="433"/>
      <c r="B716" s="433"/>
      <c r="C716" s="311"/>
      <c r="D716" s="1511"/>
      <c r="E716" s="1511"/>
      <c r="F716" s="1511"/>
      <c r="G716" s="300"/>
    </row>
    <row r="717" spans="1:7" ht="12.9">
      <c r="A717" s="433"/>
      <c r="B717" s="433"/>
      <c r="C717" s="311"/>
      <c r="D717" s="1511"/>
      <c r="E717" s="1511"/>
      <c r="F717" s="1511"/>
      <c r="G717" s="300"/>
    </row>
    <row r="718" spans="1:7" ht="12.9">
      <c r="A718" s="433"/>
      <c r="B718" s="433"/>
      <c r="C718" s="311"/>
      <c r="D718" s="1511"/>
      <c r="E718" s="1511"/>
      <c r="F718" s="1511"/>
      <c r="G718" s="300"/>
    </row>
    <row r="719" spans="1:7" ht="12.9">
      <c r="A719" s="433"/>
      <c r="B719" s="433"/>
      <c r="C719" s="311"/>
      <c r="D719" s="1511"/>
      <c r="E719" s="1511"/>
      <c r="F719" s="1511"/>
      <c r="G719" s="300"/>
    </row>
    <row r="720" spans="1:7" ht="12.9">
      <c r="A720" s="433"/>
      <c r="B720" s="1448" t="s">
        <v>136</v>
      </c>
      <c r="C720" s="311"/>
      <c r="D720" s="1510" t="s">
        <v>2010</v>
      </c>
      <c r="E720" s="1511"/>
      <c r="F720" s="1511"/>
      <c r="G720" s="300"/>
    </row>
    <row r="721" spans="1:9" ht="12.9">
      <c r="A721" s="433"/>
      <c r="B721" s="433"/>
      <c r="C721" s="311"/>
      <c r="D721" s="1511"/>
      <c r="E721" s="1511"/>
      <c r="F721" s="1511"/>
      <c r="G721" s="300"/>
    </row>
    <row r="722" spans="1:9" ht="12.9">
      <c r="A722" s="433"/>
      <c r="B722" s="433"/>
      <c r="C722" s="311"/>
      <c r="D722" s="147"/>
      <c r="E722" s="294"/>
      <c r="F722" s="294"/>
      <c r="G722" s="300"/>
    </row>
    <row r="723" spans="1:9" ht="14.55" customHeight="1">
      <c r="A723" s="431"/>
      <c r="B723" s="1448" t="s">
        <v>136</v>
      </c>
      <c r="C723" s="311"/>
      <c r="D723" s="1511" t="s">
        <v>1756</v>
      </c>
      <c r="E723" s="1511"/>
      <c r="F723" s="1511"/>
      <c r="G723" s="300"/>
    </row>
    <row r="724" spans="1:9" ht="12.9">
      <c r="A724" s="433"/>
      <c r="B724" s="433"/>
      <c r="C724" s="311"/>
      <c r="D724" s="1511"/>
      <c r="E724" s="1511"/>
      <c r="F724" s="1511"/>
      <c r="G724" s="300"/>
    </row>
    <row r="725" spans="1:9" ht="12.9">
      <c r="A725" s="433"/>
      <c r="B725" s="433"/>
      <c r="C725" s="311"/>
      <c r="D725" s="1511"/>
      <c r="E725" s="1511"/>
      <c r="F725" s="1511"/>
      <c r="G725" s="300"/>
    </row>
    <row r="726" spans="1:9" ht="12.9">
      <c r="A726" s="433"/>
      <c r="B726" s="433"/>
      <c r="C726" s="311"/>
      <c r="D726" s="1511"/>
      <c r="E726" s="1511"/>
      <c r="F726" s="1511"/>
      <c r="G726" s="300"/>
    </row>
    <row r="727" spans="1:9" ht="12.9">
      <c r="A727" s="433"/>
      <c r="B727" s="433"/>
      <c r="C727" s="311"/>
      <c r="D727" s="1511"/>
      <c r="E727" s="1511"/>
      <c r="F727" s="1511"/>
      <c r="G727" s="300"/>
    </row>
    <row r="728" spans="1:9" ht="12.9">
      <c r="A728" s="433"/>
      <c r="B728" s="433"/>
      <c r="C728" s="311"/>
      <c r="D728" s="1511"/>
      <c r="E728" s="1511"/>
      <c r="F728" s="1511"/>
      <c r="G728" s="300"/>
    </row>
    <row r="729" spans="1:9" ht="12.9">
      <c r="A729" s="433"/>
      <c r="B729" s="433"/>
      <c r="C729" s="311"/>
      <c r="D729" s="1511"/>
      <c r="E729" s="1511"/>
      <c r="F729" s="1511"/>
      <c r="G729" s="300"/>
    </row>
    <row r="730" spans="1:9" ht="12.9">
      <c r="A730" s="433"/>
      <c r="B730" s="433"/>
      <c r="C730" s="311"/>
      <c r="D730" s="1511"/>
      <c r="E730" s="1511"/>
      <c r="F730" s="1511"/>
      <c r="G730" s="300"/>
    </row>
    <row r="731" spans="1:9" ht="12.9">
      <c r="A731" s="433"/>
      <c r="B731" s="433"/>
      <c r="C731" s="311"/>
      <c r="D731" s="1511"/>
      <c r="E731" s="1511"/>
      <c r="F731" s="1511"/>
      <c r="G731" s="300"/>
    </row>
    <row r="732" spans="1:9" ht="12.9">
      <c r="A732" s="433"/>
      <c r="B732" s="433"/>
      <c r="C732" s="311"/>
      <c r="D732" s="1511"/>
      <c r="E732" s="1511"/>
      <c r="F732" s="1511"/>
      <c r="G732" s="300"/>
    </row>
    <row r="733" spans="1:9" ht="12.9">
      <c r="A733" s="433"/>
      <c r="B733" s="433"/>
      <c r="C733" s="311"/>
      <c r="D733" s="1511"/>
      <c r="E733" s="1511"/>
      <c r="F733" s="1511"/>
      <c r="G733" s="300"/>
    </row>
    <row r="734" spans="1:9" ht="12.9">
      <c r="A734" s="433"/>
      <c r="B734" s="433"/>
      <c r="C734" s="311"/>
      <c r="D734" s="1511"/>
      <c r="E734" s="1511"/>
      <c r="F734" s="1511"/>
      <c r="G734" s="300"/>
    </row>
    <row r="735" spans="1:9" ht="12.9">
      <c r="A735" s="433"/>
      <c r="B735" s="433"/>
      <c r="C735" s="311"/>
      <c r="D735" s="1511"/>
      <c r="E735" s="1511"/>
      <c r="F735" s="1511"/>
      <c r="G735" s="300"/>
    </row>
    <row r="736" spans="1:9" s="50" customFormat="1" ht="12.9">
      <c r="A736" s="433"/>
      <c r="B736" s="1448" t="s">
        <v>136</v>
      </c>
      <c r="C736" s="433"/>
      <c r="D736" s="1511" t="s">
        <v>1760</v>
      </c>
      <c r="E736" s="1511"/>
      <c r="F736" s="1511"/>
      <c r="G736" s="71"/>
      <c r="H736" s="936"/>
      <c r="I736" s="1133"/>
    </row>
    <row r="737" spans="1:9" s="50" customFormat="1" ht="12.9">
      <c r="A737" s="433"/>
      <c r="B737" s="433"/>
      <c r="C737" s="433"/>
      <c r="D737" s="1511"/>
      <c r="E737" s="1511"/>
      <c r="F737" s="1511"/>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1" t="s">
        <v>1761</v>
      </c>
      <c r="E739" s="1511"/>
      <c r="F739" s="1511"/>
      <c r="G739" s="71"/>
      <c r="H739" s="936"/>
      <c r="I739" s="1133"/>
    </row>
    <row r="740" spans="1:9" s="50" customFormat="1" ht="12.9">
      <c r="A740" s="433"/>
      <c r="B740" s="433"/>
      <c r="C740" s="433"/>
      <c r="D740" s="1511"/>
      <c r="E740" s="1511"/>
      <c r="F740" s="1511"/>
      <c r="G740" s="71"/>
      <c r="H740" s="936"/>
      <c r="I740" s="1133"/>
    </row>
    <row r="741" spans="1:9" s="50" customFormat="1" ht="12.9">
      <c r="A741" s="433"/>
      <c r="B741" s="433"/>
      <c r="C741" s="433"/>
      <c r="D741" s="1511"/>
      <c r="E741" s="1511"/>
      <c r="F741" s="1511"/>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0" t="s">
        <v>2274</v>
      </c>
      <c r="E743" s="1511"/>
      <c r="F743" s="1511"/>
      <c r="G743" s="300"/>
    </row>
    <row r="744" spans="1:9" ht="12.9">
      <c r="A744" s="433"/>
      <c r="B744" s="433"/>
      <c r="C744" s="311"/>
      <c r="D744" s="1511"/>
      <c r="E744" s="1511"/>
      <c r="F744" s="1511"/>
      <c r="G744" s="300"/>
    </row>
    <row r="745" spans="1:9" ht="12.9">
      <c r="A745" s="433"/>
      <c r="B745" s="433"/>
      <c r="C745" s="311"/>
      <c r="D745" s="1511"/>
      <c r="E745" s="1511"/>
      <c r="F745" s="1511"/>
      <c r="G745" s="300"/>
    </row>
    <row r="746" spans="1:9" ht="12.9">
      <c r="A746" s="433"/>
      <c r="B746" s="433"/>
      <c r="C746" s="311"/>
      <c r="D746" s="147"/>
      <c r="E746" s="294"/>
      <c r="F746" s="294"/>
      <c r="G746" s="300"/>
    </row>
    <row r="747" spans="1:9" ht="14.55" customHeight="1">
      <c r="A747" s="431"/>
      <c r="B747" s="1448" t="s">
        <v>136</v>
      </c>
      <c r="C747" s="311"/>
      <c r="D747" s="1511" t="s">
        <v>1757</v>
      </c>
      <c r="E747" s="1511"/>
      <c r="F747" s="1511"/>
      <c r="G747" s="300"/>
    </row>
    <row r="748" spans="1:9" ht="12.9">
      <c r="A748" s="433"/>
      <c r="B748" s="433"/>
      <c r="C748" s="311"/>
      <c r="D748" s="1511"/>
      <c r="E748" s="1511"/>
      <c r="F748" s="1511"/>
      <c r="G748" s="300"/>
    </row>
    <row r="749" spans="1:9" ht="12.9">
      <c r="A749" s="433"/>
      <c r="B749" s="433"/>
      <c r="C749" s="311"/>
      <c r="D749" s="1511"/>
      <c r="E749" s="1511"/>
      <c r="F749" s="1511"/>
      <c r="G749" s="300"/>
    </row>
    <row r="750" spans="1:9" ht="12.9">
      <c r="A750" s="433"/>
      <c r="B750" s="433"/>
      <c r="C750" s="311"/>
      <c r="D750" s="349"/>
      <c r="E750" s="294"/>
      <c r="F750" s="294"/>
      <c r="G750" s="300"/>
      <c r="H750" s="422"/>
      <c r="I750" s="422"/>
    </row>
    <row r="751" spans="1:9" ht="14">
      <c r="A751" s="431"/>
      <c r="B751" s="1448" t="s">
        <v>136</v>
      </c>
      <c r="C751" s="311"/>
      <c r="D751" s="1485" t="s">
        <v>1759</v>
      </c>
      <c r="E751" s="1485"/>
      <c r="F751" s="1485"/>
      <c r="G751" s="300"/>
    </row>
    <row r="752" spans="1:9" ht="12.9">
      <c r="A752" s="433"/>
      <c r="B752" s="433"/>
      <c r="C752" s="311"/>
      <c r="D752" s="1485"/>
      <c r="E752" s="1485"/>
      <c r="F752" s="1485"/>
      <c r="G752" s="300"/>
    </row>
    <row r="753" spans="1:9" ht="12.9">
      <c r="A753" s="433"/>
      <c r="B753" s="433"/>
      <c r="C753" s="311"/>
      <c r="D753" s="1485"/>
      <c r="E753" s="1485"/>
      <c r="F753" s="1485"/>
      <c r="G753" s="300"/>
    </row>
    <row r="754" spans="1:9" ht="12.9">
      <c r="A754" s="433"/>
      <c r="B754" s="433"/>
      <c r="C754" s="311"/>
      <c r="D754" s="1485"/>
      <c r="E754" s="1485"/>
      <c r="F754" s="1485"/>
      <c r="G754" s="300"/>
    </row>
    <row r="755" spans="1:9" ht="12.9">
      <c r="A755" s="433"/>
      <c r="B755" s="433"/>
      <c r="C755" s="311"/>
      <c r="D755" s="1009"/>
      <c r="E755" s="1009"/>
      <c r="F755" s="1009"/>
      <c r="G755" s="300"/>
    </row>
    <row r="756" spans="1:9" s="50" customFormat="1" ht="14">
      <c r="A756" s="431"/>
      <c r="B756" s="1448" t="s">
        <v>136</v>
      </c>
      <c r="C756" s="433"/>
      <c r="D756" s="1511" t="s">
        <v>1942</v>
      </c>
      <c r="E756" s="1511"/>
      <c r="F756" s="1511"/>
      <c r="G756" s="71"/>
      <c r="H756" s="936"/>
      <c r="I756" s="1133"/>
    </row>
    <row r="757" spans="1:9" s="50" customFormat="1" ht="12.9">
      <c r="A757" s="433"/>
      <c r="B757" s="433"/>
      <c r="C757" s="433"/>
      <c r="D757" s="1511"/>
      <c r="E757" s="1511"/>
      <c r="F757" s="1511"/>
      <c r="G757" s="71"/>
      <c r="H757" s="936"/>
      <c r="I757" s="1133"/>
    </row>
    <row r="758" spans="1:9" s="50" customFormat="1" ht="12.9">
      <c r="A758" s="433"/>
      <c r="B758" s="433"/>
      <c r="C758" s="433"/>
      <c r="D758" s="1511"/>
      <c r="E758" s="1511"/>
      <c r="F758" s="1511"/>
      <c r="G758" s="71"/>
      <c r="H758" s="936"/>
      <c r="I758" s="1133"/>
    </row>
    <row r="759" spans="1:9" s="50" customFormat="1" ht="12.9">
      <c r="A759" s="433"/>
      <c r="B759" s="433"/>
      <c r="C759" s="433"/>
      <c r="D759" s="1511"/>
      <c r="E759" s="1511"/>
      <c r="F759" s="1511"/>
      <c r="G759" s="71"/>
      <c r="H759" s="936"/>
      <c r="I759" s="1133"/>
    </row>
    <row r="760" spans="1:9" s="50" customFormat="1" ht="12.9">
      <c r="A760" s="433"/>
      <c r="B760" s="433"/>
      <c r="C760" s="433"/>
      <c r="D760" s="1511"/>
      <c r="E760" s="1511"/>
      <c r="F760" s="1511"/>
      <c r="G760" s="71"/>
      <c r="H760" s="936"/>
      <c r="I760" s="1133"/>
    </row>
    <row r="761" spans="1:9" s="50" customFormat="1" ht="12.9">
      <c r="A761" s="433"/>
      <c r="B761" s="433"/>
      <c r="C761" s="433"/>
      <c r="D761" s="1511"/>
      <c r="E761" s="1511"/>
      <c r="F761" s="1511"/>
      <c r="G761" s="71"/>
      <c r="H761" s="936"/>
      <c r="I761" s="1133"/>
    </row>
    <row r="762" spans="1:9" s="50" customFormat="1" ht="12.9">
      <c r="A762" s="433"/>
      <c r="B762" s="433"/>
      <c r="C762" s="433"/>
      <c r="D762" s="1511"/>
      <c r="E762" s="1511"/>
      <c r="F762" s="1511"/>
      <c r="G762" s="71"/>
      <c r="H762" s="936"/>
      <c r="I762" s="1133"/>
    </row>
    <row r="763" spans="1:9" s="50" customFormat="1" ht="12.9">
      <c r="A763" s="433"/>
      <c r="B763" s="433"/>
      <c r="C763" s="433"/>
      <c r="D763" s="1561" t="s">
        <v>1758</v>
      </c>
      <c r="E763" s="1561"/>
      <c r="F763" s="1561"/>
      <c r="G763" s="71"/>
      <c r="H763" s="936"/>
      <c r="I763" s="1133"/>
    </row>
    <row r="764" spans="1:9" s="50" customFormat="1" ht="12.9">
      <c r="A764" s="433"/>
      <c r="B764" s="433"/>
      <c r="C764" s="433"/>
      <c r="D764" s="941"/>
      <c r="E764" s="8"/>
      <c r="F764" s="8"/>
      <c r="G764" s="71"/>
      <c r="H764" s="936"/>
      <c r="I764" s="1133"/>
    </row>
    <row r="765" spans="1:9" ht="12.9">
      <c r="A765" s="1529" t="s">
        <v>1619</v>
      </c>
      <c r="B765" s="1529"/>
      <c r="C765" s="1529"/>
      <c r="D765" s="1529"/>
      <c r="E765" s="1529"/>
      <c r="F765" s="1529"/>
      <c r="G765" s="1529"/>
      <c r="H765" s="422"/>
      <c r="I765" s="422"/>
    </row>
    <row r="766" spans="1:9" ht="12.9">
      <c r="A766" s="433"/>
      <c r="B766" s="433"/>
      <c r="C766" s="311"/>
      <c r="D766" s="349"/>
      <c r="E766" s="294"/>
      <c r="F766" s="294"/>
      <c r="G766" s="300"/>
      <c r="H766" s="422"/>
      <c r="I766" s="422"/>
    </row>
    <row r="767" spans="1:9" ht="12.9">
      <c r="A767" s="152"/>
      <c r="B767" s="152"/>
      <c r="C767" s="311"/>
      <c r="D767" s="1500" t="s">
        <v>1650</v>
      </c>
      <c r="E767" s="1500"/>
      <c r="F767" s="1500"/>
      <c r="G767" s="300"/>
      <c r="H767" s="422"/>
      <c r="I767" s="422"/>
    </row>
    <row r="768" spans="1:9" ht="12.9">
      <c r="A768" s="432"/>
      <c r="B768" s="432"/>
      <c r="C768" s="310"/>
      <c r="D768" s="1477" t="s">
        <v>1653</v>
      </c>
      <c r="E768" s="1477"/>
      <c r="F768" s="1477"/>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3" customHeight="1">
      <c r="A771" s="152"/>
      <c r="B771" s="152"/>
      <c r="C771" s="14"/>
      <c r="D771" s="1485"/>
      <c r="E771" s="1485"/>
      <c r="F771" s="1485"/>
      <c r="G771" s="300"/>
      <c r="H771" s="422"/>
      <c r="I771" s="422"/>
    </row>
    <row r="772" spans="1:9" ht="12.9">
      <c r="A772" s="152"/>
      <c r="B772" s="152"/>
      <c r="C772" s="14"/>
      <c r="D772" s="1485"/>
      <c r="E772" s="1485"/>
      <c r="F772" s="1485"/>
      <c r="G772" s="300"/>
      <c r="H772" s="422"/>
      <c r="I772" s="422"/>
    </row>
    <row r="773" spans="1:9" ht="12.9">
      <c r="A773" s="152"/>
      <c r="B773" s="152"/>
      <c r="C773" s="14"/>
      <c r="D773" s="1485"/>
      <c r="E773" s="1485"/>
      <c r="F773" s="1485"/>
      <c r="G773" s="300"/>
      <c r="H773" s="422"/>
      <c r="I773" s="422"/>
    </row>
    <row r="774" spans="1:9" ht="12.9">
      <c r="A774" s="162"/>
      <c r="B774" s="162"/>
      <c r="D774" s="1485"/>
      <c r="E774" s="1485"/>
      <c r="F774" s="1485"/>
      <c r="G774" s="300"/>
      <c r="H774" s="422"/>
      <c r="I774" s="422"/>
    </row>
    <row r="775" spans="1:9" ht="17.2" customHeight="1">
      <c r="A775" s="162"/>
      <c r="B775" s="162"/>
      <c r="D775" s="1485"/>
      <c r="E775" s="1485"/>
      <c r="F775" s="1485"/>
      <c r="G775" s="300"/>
      <c r="H775" s="422"/>
      <c r="I775" s="422"/>
    </row>
    <row r="776" spans="1:9" ht="12.9">
      <c r="A776" s="162"/>
      <c r="B776" s="162"/>
      <c r="D776" s="421"/>
      <c r="E776" s="421"/>
      <c r="F776" s="421"/>
      <c r="G776" s="300"/>
      <c r="H776" s="422"/>
      <c r="I776" s="422"/>
    </row>
    <row r="777" spans="1:9" ht="12.8" customHeight="1">
      <c r="A777" s="152"/>
      <c r="B777" s="1448" t="s">
        <v>136</v>
      </c>
      <c r="C777" s="14"/>
      <c r="D777" s="1533" t="s">
        <v>2188</v>
      </c>
      <c r="E777" s="1533"/>
      <c r="F777" s="1533"/>
      <c r="G777" s="300"/>
      <c r="H777" s="422"/>
      <c r="I777" s="422"/>
    </row>
    <row r="778" spans="1:9" ht="12.9">
      <c r="A778" s="152"/>
      <c r="B778" s="152"/>
      <c r="C778" s="14"/>
      <c r="D778" s="1533"/>
      <c r="E778" s="1533"/>
      <c r="F778" s="1533"/>
      <c r="G778" s="300"/>
      <c r="H778" s="422"/>
      <c r="I778" s="422"/>
    </row>
    <row r="779" spans="1:9" ht="12.9">
      <c r="A779" s="152"/>
      <c r="B779" s="152"/>
      <c r="C779" s="14"/>
      <c r="D779" s="1533"/>
      <c r="E779" s="1533"/>
      <c r="F779" s="1533"/>
      <c r="G779" s="300"/>
      <c r="H779" s="422"/>
      <c r="I779" s="422"/>
    </row>
    <row r="780" spans="1:9" ht="12.9">
      <c r="A780" s="152"/>
      <c r="B780" s="152"/>
      <c r="C780" s="14"/>
      <c r="D780" s="1533"/>
      <c r="E780" s="1533"/>
      <c r="F780" s="1533"/>
      <c r="G780" s="300"/>
      <c r="H780" s="422"/>
      <c r="I780" s="422"/>
    </row>
    <row r="781" spans="1:9" ht="12.9">
      <c r="A781" s="152"/>
      <c r="B781" s="152"/>
      <c r="C781" s="14"/>
      <c r="D781" s="421"/>
      <c r="G781" s="300"/>
      <c r="H781" s="422"/>
      <c r="I781" s="422"/>
    </row>
    <row r="782" spans="1:9" ht="12.9">
      <c r="A782" s="152"/>
      <c r="B782" s="1448" t="s">
        <v>136</v>
      </c>
      <c r="C782" s="717"/>
      <c r="D782" s="1530" t="s">
        <v>2189</v>
      </c>
      <c r="E782" s="1531"/>
      <c r="F782" s="1531"/>
      <c r="G782" s="745"/>
      <c r="H782" s="422"/>
      <c r="I782" s="422"/>
    </row>
    <row r="783" spans="1:9" ht="12.9">
      <c r="A783" s="717"/>
      <c r="B783" s="717"/>
      <c r="C783" s="717"/>
      <c r="D783" s="1531"/>
      <c r="E783" s="1531"/>
      <c r="F783" s="1531"/>
      <c r="G783" s="745"/>
      <c r="H783" s="422"/>
      <c r="I783" s="422"/>
    </row>
    <row r="784" spans="1:9" ht="12.9">
      <c r="A784" s="717"/>
      <c r="B784" s="717"/>
      <c r="C784" s="717"/>
      <c r="D784" s="1531"/>
      <c r="E784" s="1531"/>
      <c r="F784" s="1531"/>
      <c r="G784" s="745"/>
      <c r="H784" s="422"/>
      <c r="I784" s="422"/>
    </row>
    <row r="785" spans="1:9" ht="12.9">
      <c r="A785" s="162"/>
      <c r="B785" s="162"/>
      <c r="D785" s="421"/>
      <c r="E785" s="421"/>
      <c r="F785" s="421"/>
      <c r="G785" s="300"/>
      <c r="H785" s="422"/>
      <c r="I785" s="422"/>
    </row>
    <row r="786" spans="1:9" ht="12.9">
      <c r="A786" s="162"/>
      <c r="B786" s="1448" t="s">
        <v>136</v>
      </c>
      <c r="D786" s="1513" t="s">
        <v>1652</v>
      </c>
      <c r="E786" s="1513"/>
      <c r="F786" s="1513"/>
      <c r="G786" s="300"/>
      <c r="H786" s="422"/>
      <c r="I786" s="422"/>
    </row>
    <row r="787" spans="1:9" ht="12.9">
      <c r="A787" s="162"/>
      <c r="B787" s="162"/>
      <c r="D787" s="1513"/>
      <c r="E787" s="1513"/>
      <c r="F787" s="1513"/>
      <c r="G787" s="300"/>
      <c r="H787" s="422"/>
      <c r="I787" s="422"/>
    </row>
    <row r="788" spans="1:9" ht="12.9">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9">
      <c r="A790" s="162"/>
      <c r="B790" s="162"/>
      <c r="D790" s="1513"/>
      <c r="E790" s="1513"/>
      <c r="F790" s="1513"/>
      <c r="G790" s="300"/>
      <c r="H790" s="422"/>
      <c r="I790" s="422"/>
    </row>
    <row r="791" spans="1:9" ht="12.9">
      <c r="A791" s="162"/>
      <c r="B791" s="162"/>
      <c r="D791" s="1513"/>
      <c r="E791" s="1513"/>
      <c r="F791" s="1513"/>
      <c r="G791" s="300"/>
      <c r="H791" s="422"/>
      <c r="I791" s="422"/>
    </row>
    <row r="792" spans="1:9" ht="12.9">
      <c r="A792" s="162"/>
      <c r="B792" s="162"/>
      <c r="D792" s="1007"/>
      <c r="E792" s="1007"/>
      <c r="F792" s="1007"/>
      <c r="G792" s="300"/>
      <c r="H792" s="422"/>
      <c r="I792" s="422"/>
    </row>
    <row r="793" spans="1:9" ht="11.95" customHeight="1">
      <c r="A793" s="1529" t="s">
        <v>1836</v>
      </c>
      <c r="B793" s="1529"/>
      <c r="C793" s="1529"/>
      <c r="D793" s="1529"/>
      <c r="E793" s="1529"/>
      <c r="F793" s="1529"/>
      <c r="G793" s="1529"/>
      <c r="H793" s="422"/>
      <c r="I793" s="422"/>
    </row>
    <row r="794" spans="1:9" ht="12.9">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9">
      <c r="A796" s="107"/>
      <c r="B796" s="107"/>
      <c r="C796" s="314"/>
      <c r="D796" s="1574" t="s">
        <v>1838</v>
      </c>
      <c r="E796" s="1574"/>
      <c r="F796" s="1574"/>
      <c r="G796" s="300"/>
      <c r="H796" s="422"/>
      <c r="I796" s="422"/>
    </row>
    <row r="797" spans="1:9" ht="12.9">
      <c r="A797" s="107"/>
      <c r="B797" s="107"/>
      <c r="C797" s="314"/>
      <c r="D797" s="1045"/>
      <c r="E797" s="1045"/>
      <c r="F797" s="1045"/>
      <c r="G797" s="300"/>
      <c r="H797" s="422"/>
      <c r="I797" s="422"/>
    </row>
    <row r="798" spans="1:9" ht="12.9">
      <c r="A798" s="107"/>
      <c r="B798" s="1000" t="s">
        <v>136</v>
      </c>
      <c r="C798" s="314"/>
      <c r="D798" s="1562" t="s">
        <v>1839</v>
      </c>
      <c r="E798" s="1562"/>
      <c r="F798" s="1562"/>
      <c r="G798" s="300"/>
      <c r="H798" s="422"/>
      <c r="I798" s="422"/>
    </row>
    <row r="799" spans="1:9" ht="12.9">
      <c r="A799" s="107"/>
      <c r="B799" s="107"/>
      <c r="C799" s="314"/>
      <c r="D799" s="1562"/>
      <c r="E799" s="1562"/>
      <c r="F799" s="1562"/>
      <c r="G799" s="300"/>
      <c r="H799" s="422"/>
      <c r="I799" s="422"/>
    </row>
    <row r="800" spans="1:9" ht="12.9">
      <c r="A800" s="433"/>
      <c r="B800" s="433"/>
      <c r="C800" s="311"/>
      <c r="D800" s="1562"/>
      <c r="E800" s="1562"/>
      <c r="F800" s="1562"/>
      <c r="G800" s="296"/>
      <c r="H800" s="422"/>
      <c r="I800" s="422"/>
    </row>
    <row r="801" spans="1:9" ht="12.9">
      <c r="A801" s="162"/>
      <c r="B801" s="162"/>
      <c r="C801" s="297"/>
      <c r="D801" s="429"/>
      <c r="E801" s="300"/>
      <c r="F801" s="300"/>
      <c r="G801" s="300"/>
      <c r="H801" s="422"/>
      <c r="I801" s="422"/>
    </row>
    <row r="802" spans="1:9" ht="12.9">
      <c r="A802" s="436"/>
      <c r="B802" s="1448" t="s">
        <v>1559</v>
      </c>
      <c r="C802" s="315"/>
      <c r="D802" s="1562" t="s">
        <v>1840</v>
      </c>
      <c r="E802" s="1562"/>
      <c r="F802" s="1562"/>
      <c r="G802" s="300"/>
      <c r="H802" s="422"/>
      <c r="I802" s="422"/>
    </row>
    <row r="803" spans="1:9" ht="12.9">
      <c r="A803" s="775"/>
      <c r="B803" s="775"/>
      <c r="C803" s="776"/>
      <c r="D803" s="1562"/>
      <c r="E803" s="1562"/>
      <c r="F803" s="1562"/>
      <c r="G803" s="300"/>
      <c r="H803" s="422"/>
      <c r="I803" s="422"/>
    </row>
    <row r="804" spans="1:9" ht="12.9">
      <c r="A804" s="436"/>
      <c r="B804" s="436"/>
      <c r="C804" s="315"/>
      <c r="D804" s="1562"/>
      <c r="E804" s="1562"/>
      <c r="F804" s="1562"/>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9" t="s">
        <v>1964</v>
      </c>
      <c r="E806" s="1479"/>
      <c r="F806" s="1479"/>
      <c r="G806" s="598"/>
      <c r="H806" s="422"/>
      <c r="I806" s="422"/>
    </row>
    <row r="807" spans="1:9" ht="14">
      <c r="A807" s="431"/>
      <c r="B807" s="431"/>
      <c r="C807" s="336"/>
      <c r="D807" s="1479"/>
      <c r="E807" s="1479"/>
      <c r="F807" s="1479"/>
      <c r="G807" s="598"/>
      <c r="H807" s="422"/>
      <c r="I807" s="422"/>
    </row>
    <row r="808" spans="1:9" ht="14">
      <c r="A808" s="431"/>
      <c r="B808" s="431"/>
      <c r="C808" s="336"/>
      <c r="D808" s="1479"/>
      <c r="E808" s="1479"/>
      <c r="F808" s="1479"/>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
      <c r="A811" s="431"/>
      <c r="B811" s="431"/>
      <c r="C811" s="336"/>
      <c r="D811" s="1562"/>
      <c r="E811" s="1562"/>
      <c r="F811" s="1562"/>
      <c r="G811" s="598"/>
      <c r="H811" s="422"/>
      <c r="I811" s="422"/>
    </row>
    <row r="812" spans="1:9" ht="14">
      <c r="A812" s="431"/>
      <c r="B812" s="431"/>
      <c r="C812" s="336"/>
      <c r="D812" s="1562"/>
      <c r="E812" s="1562"/>
      <c r="F812" s="1562"/>
      <c r="G812" s="598"/>
      <c r="H812" s="422"/>
      <c r="I812" s="422"/>
    </row>
    <row r="813" spans="1:9" ht="14">
      <c r="A813" s="431"/>
      <c r="B813" s="431"/>
      <c r="C813" s="336"/>
      <c r="D813" s="1562"/>
      <c r="E813" s="1562"/>
      <c r="F813" s="1562"/>
      <c r="G813" s="598"/>
      <c r="H813" s="422"/>
      <c r="I813" s="422"/>
    </row>
    <row r="814" spans="1:9" ht="14">
      <c r="A814" s="431"/>
      <c r="B814" s="431"/>
      <c r="C814" s="336"/>
      <c r="D814" s="1562"/>
      <c r="E814" s="1562"/>
      <c r="F814" s="1562"/>
      <c r="G814" s="598"/>
      <c r="H814" s="422"/>
      <c r="I814" s="422"/>
    </row>
    <row r="815" spans="1:9" ht="14">
      <c r="A815" s="431"/>
      <c r="B815" s="14"/>
      <c r="C815" s="336"/>
      <c r="D815" s="1400"/>
      <c r="E815" s="1400"/>
      <c r="F815" s="1400"/>
      <c r="G815" s="598"/>
      <c r="H815" s="422"/>
      <c r="I815" s="422"/>
    </row>
    <row r="816" spans="1:9" ht="14">
      <c r="A816" s="431"/>
      <c r="B816" s="1448" t="s">
        <v>136</v>
      </c>
      <c r="C816" s="336"/>
      <c r="D816" s="1562" t="s">
        <v>1843</v>
      </c>
      <c r="E816" s="1562"/>
      <c r="F816" s="1562"/>
      <c r="G816" s="598"/>
      <c r="H816" s="422"/>
      <c r="I816" s="422"/>
    </row>
    <row r="817" spans="1:9" ht="14">
      <c r="A817" s="431"/>
      <c r="B817" s="431"/>
      <c r="C817" s="336"/>
      <c r="D817" s="1562"/>
      <c r="E817" s="1562"/>
      <c r="F817" s="1562"/>
      <c r="G817" s="598"/>
      <c r="H817" s="422"/>
      <c r="I817" s="422"/>
    </row>
    <row r="818" spans="1:9" ht="14">
      <c r="A818" s="431"/>
      <c r="B818" s="431"/>
      <c r="C818" s="336"/>
      <c r="D818" s="1562"/>
      <c r="E818" s="1562"/>
      <c r="F818" s="1562"/>
      <c r="G818" s="598"/>
      <c r="H818" s="422"/>
      <c r="I818" s="422"/>
    </row>
    <row r="819" spans="1:9" ht="14">
      <c r="A819" s="431"/>
      <c r="B819" s="431"/>
      <c r="C819" s="336"/>
      <c r="D819" s="1562"/>
      <c r="E819" s="1562"/>
      <c r="F819" s="1562"/>
      <c r="G819" s="598"/>
      <c r="H819" s="422"/>
      <c r="I819" s="422"/>
    </row>
    <row r="820" spans="1:9" ht="14">
      <c r="A820" s="431"/>
      <c r="B820" s="431"/>
      <c r="C820" s="336"/>
      <c r="D820" s="1562"/>
      <c r="E820" s="1562"/>
      <c r="F820" s="1562"/>
      <c r="G820" s="598"/>
      <c r="H820" s="422"/>
      <c r="I820" s="422"/>
    </row>
    <row r="821" spans="1:9" ht="14">
      <c r="A821" s="431"/>
      <c r="B821" s="431"/>
      <c r="C821" s="336"/>
      <c r="D821" s="1562"/>
      <c r="E821" s="1562"/>
      <c r="F821" s="1562"/>
      <c r="G821" s="598"/>
      <c r="H821" s="422"/>
      <c r="I821" s="422"/>
    </row>
    <row r="822" spans="1:9" ht="14">
      <c r="A822" s="431"/>
      <c r="B822" s="431"/>
      <c r="C822" s="336"/>
      <c r="D822" s="1389"/>
      <c r="E822" s="1389"/>
      <c r="F822" s="1389"/>
      <c r="G822" s="598"/>
      <c r="H822" s="422"/>
      <c r="I822" s="422"/>
    </row>
    <row r="823" spans="1:9" ht="14">
      <c r="A823" s="431"/>
      <c r="B823" s="1448" t="s">
        <v>136</v>
      </c>
      <c r="C823" s="336"/>
      <c r="D823" s="1479" t="s">
        <v>2190</v>
      </c>
      <c r="E823" s="1562"/>
      <c r="F823" s="1562"/>
      <c r="G823" s="598"/>
      <c r="H823" s="422"/>
      <c r="I823" s="422"/>
    </row>
    <row r="824" spans="1:9" ht="14">
      <c r="A824" s="431"/>
      <c r="B824" s="431"/>
      <c r="C824" s="336"/>
      <c r="D824" s="1562"/>
      <c r="E824" s="1562"/>
      <c r="F824" s="1562"/>
      <c r="G824" s="598"/>
      <c r="H824" s="422"/>
      <c r="I824" s="422"/>
    </row>
    <row r="825" spans="1:9" ht="14">
      <c r="A825" s="431"/>
      <c r="B825" s="431"/>
      <c r="C825" s="336"/>
      <c r="D825" s="1562"/>
      <c r="E825" s="1562"/>
      <c r="F825" s="1562"/>
      <c r="G825" s="598"/>
      <c r="H825" s="422"/>
      <c r="I825" s="422"/>
    </row>
    <row r="826" spans="1:9" ht="14">
      <c r="A826" s="431"/>
      <c r="B826" s="431"/>
      <c r="C826" s="336"/>
      <c r="D826" s="1562"/>
      <c r="E826" s="1562"/>
      <c r="F826" s="1562"/>
      <c r="G826" s="598"/>
      <c r="H826" s="422"/>
      <c r="I826" s="422"/>
    </row>
    <row r="827" spans="1:9" ht="14">
      <c r="A827" s="431"/>
      <c r="B827" s="431"/>
      <c r="C827" s="336"/>
      <c r="D827" s="1562"/>
      <c r="E827" s="1562"/>
      <c r="F827" s="1562"/>
      <c r="G827" s="598"/>
      <c r="H827" s="422"/>
      <c r="I827" s="422"/>
    </row>
    <row r="828" spans="1:9" ht="14">
      <c r="A828" s="431"/>
      <c r="B828" s="431"/>
      <c r="C828" s="336"/>
      <c r="D828" s="1104"/>
      <c r="E828" s="1104"/>
      <c r="F828" s="1104"/>
      <c r="G828" s="598"/>
      <c r="H828" s="422"/>
      <c r="I828" s="422"/>
    </row>
    <row r="829" spans="1:9" ht="14">
      <c r="A829" s="431"/>
      <c r="B829" s="1448" t="s">
        <v>136</v>
      </c>
      <c r="C829" s="336"/>
      <c r="D829" s="1562" t="s">
        <v>1842</v>
      </c>
      <c r="E829" s="1562"/>
      <c r="F829" s="1562"/>
      <c r="G829" s="598"/>
      <c r="H829" s="422"/>
      <c r="I829" s="422"/>
    </row>
    <row r="830" spans="1:9" ht="14">
      <c r="A830" s="431"/>
      <c r="B830" s="431"/>
      <c r="C830" s="336"/>
      <c r="D830" s="1562"/>
      <c r="E830" s="1562"/>
      <c r="F830" s="1562"/>
      <c r="G830" s="598"/>
      <c r="H830" s="422"/>
      <c r="I830" s="422"/>
    </row>
    <row r="831" spans="1:9" ht="14">
      <c r="A831" s="431"/>
      <c r="B831" s="431"/>
      <c r="C831" s="336"/>
      <c r="D831" s="1562"/>
      <c r="E831" s="1562"/>
      <c r="F831" s="1562"/>
      <c r="G831" s="598"/>
      <c r="H831" s="422"/>
      <c r="I831" s="422"/>
    </row>
    <row r="832" spans="1:9" ht="14">
      <c r="A832" s="431"/>
      <c r="B832" s="431"/>
      <c r="C832" s="336"/>
      <c r="D832" s="1562"/>
      <c r="E832" s="1562"/>
      <c r="F832" s="1562"/>
      <c r="G832" s="598"/>
      <c r="H832" s="422"/>
      <c r="I832" s="422"/>
    </row>
    <row r="833" spans="1:9" ht="14">
      <c r="A833" s="431"/>
      <c r="B833" s="431"/>
      <c r="C833" s="336"/>
      <c r="D833" s="308"/>
      <c r="E833" s="294"/>
      <c r="F833" s="294"/>
      <c r="G833" s="598"/>
      <c r="H833" s="422"/>
      <c r="I833" s="422"/>
    </row>
    <row r="834" spans="1:9" ht="14">
      <c r="A834" s="431"/>
      <c r="B834" s="1448" t="s">
        <v>1559</v>
      </c>
      <c r="C834" s="336"/>
      <c r="D834" s="1565" t="s">
        <v>1845</v>
      </c>
      <c r="E834" s="1565"/>
      <c r="F834" s="1565"/>
      <c r="G834" s="598"/>
      <c r="H834" s="422"/>
      <c r="I834" s="422"/>
    </row>
    <row r="835" spans="1:9" ht="14">
      <c r="A835" s="431"/>
      <c r="B835" s="431"/>
      <c r="C835" s="336"/>
      <c r="D835" s="1565"/>
      <c r="E835" s="1565"/>
      <c r="F835" s="1565"/>
      <c r="G835" s="598"/>
      <c r="H835" s="422"/>
      <c r="I835" s="422"/>
    </row>
    <row r="836" spans="1:9" ht="12.9">
      <c r="A836" s="33"/>
      <c r="B836" s="33"/>
      <c r="C836" s="336"/>
      <c r="D836" s="1565"/>
      <c r="E836" s="1565"/>
      <c r="F836" s="1565"/>
      <c r="G836" s="598"/>
      <c r="H836" s="422"/>
      <c r="I836" s="422"/>
    </row>
    <row r="837" spans="1:9" ht="14">
      <c r="A837" s="431"/>
      <c r="B837" s="1046"/>
      <c r="C837" s="336"/>
      <c r="D837" s="1565"/>
      <c r="E837" s="1565"/>
      <c r="F837" s="1565"/>
      <c r="G837" s="598"/>
      <c r="H837" s="422"/>
      <c r="I837" s="422"/>
    </row>
    <row r="838" spans="1:9" ht="14">
      <c r="A838" s="431"/>
      <c r="B838" s="1046"/>
      <c r="C838" s="336"/>
      <c r="D838" s="1565"/>
      <c r="E838" s="1565"/>
      <c r="F838" s="1565"/>
      <c r="G838" s="598"/>
      <c r="H838" s="422"/>
      <c r="I838" s="422"/>
    </row>
    <row r="839" spans="1:9" ht="14">
      <c r="A839" s="431"/>
      <c r="B839" s="1046"/>
      <c r="C839" s="336"/>
      <c r="D839" s="1565"/>
      <c r="E839" s="1565"/>
      <c r="F839" s="1565"/>
      <c r="G839" s="598"/>
      <c r="H839" s="422"/>
      <c r="I839" s="422"/>
    </row>
    <row r="840" spans="1:9" ht="14">
      <c r="A840" s="431"/>
      <c r="B840" s="1105"/>
      <c r="C840" s="336"/>
      <c r="D840" s="1103"/>
      <c r="E840" s="1103"/>
      <c r="F840" s="1103"/>
      <c r="G840" s="598"/>
      <c r="H840" s="422"/>
      <c r="I840" s="422"/>
    </row>
    <row r="841" spans="1:9" ht="14">
      <c r="A841" s="431"/>
      <c r="B841" s="1448" t="s">
        <v>136</v>
      </c>
      <c r="C841" s="336"/>
      <c r="D841" s="1562" t="s">
        <v>1844</v>
      </c>
      <c r="E841" s="1562"/>
      <c r="F841" s="1562"/>
      <c r="G841" s="598"/>
      <c r="H841" s="422"/>
      <c r="I841" s="422"/>
    </row>
    <row r="842" spans="1:9" ht="14">
      <c r="A842" s="431"/>
      <c r="B842" s="431"/>
      <c r="C842" s="336"/>
      <c r="D842" s="1562"/>
      <c r="E842" s="1562"/>
      <c r="F842" s="1562"/>
      <c r="G842" s="598"/>
      <c r="H842" s="422"/>
      <c r="I842" s="422"/>
    </row>
    <row r="843" spans="1:9" ht="14">
      <c r="A843" s="431"/>
      <c r="B843" s="431"/>
      <c r="C843" s="336"/>
      <c r="D843" s="308"/>
      <c r="E843" s="294"/>
      <c r="F843" s="294"/>
      <c r="G843" s="598"/>
      <c r="H843" s="422"/>
      <c r="I843" s="422"/>
    </row>
    <row r="844" spans="1:9" ht="14">
      <c r="A844" s="431"/>
      <c r="B844" s="1448" t="s">
        <v>136</v>
      </c>
      <c r="C844" s="336"/>
      <c r="D844" s="1565" t="s">
        <v>1846</v>
      </c>
      <c r="E844" s="1565"/>
      <c r="F844" s="1565"/>
      <c r="G844" s="598"/>
      <c r="H844" s="422"/>
      <c r="I844" s="422"/>
    </row>
    <row r="845" spans="1:9" ht="14">
      <c r="A845" s="431"/>
      <c r="B845" s="431"/>
      <c r="C845" s="336"/>
      <c r="D845" s="1565"/>
      <c r="E845" s="1565"/>
      <c r="F845" s="1565"/>
      <c r="G845" s="598"/>
      <c r="H845" s="422"/>
      <c r="I845" s="422"/>
    </row>
    <row r="846" spans="1:9" ht="12.9">
      <c r="A846" s="33"/>
      <c r="B846" s="33"/>
      <c r="C846" s="336"/>
      <c r="D846" s="308"/>
      <c r="E846" s="294"/>
      <c r="F846" s="294"/>
      <c r="G846" s="598"/>
      <c r="H846" s="422"/>
      <c r="I846" s="422"/>
    </row>
    <row r="847" spans="1:9" ht="12.9">
      <c r="A847" s="1497" t="s">
        <v>2213</v>
      </c>
      <c r="B847" s="1497"/>
      <c r="C847" s="1497"/>
      <c r="D847" s="1497"/>
      <c r="E847" s="1497"/>
      <c r="F847" s="1497"/>
      <c r="G847" s="1497"/>
      <c r="H847" s="422"/>
      <c r="I847" s="422"/>
    </row>
    <row r="848" spans="1:9" ht="12.9">
      <c r="A848" s="432"/>
      <c r="B848" s="432"/>
      <c r="C848" s="336"/>
      <c r="D848" s="308"/>
      <c r="E848" s="308"/>
      <c r="F848" s="308"/>
      <c r="G848" s="598"/>
      <c r="H848" s="422"/>
      <c r="I848" s="422"/>
    </row>
    <row r="849" spans="1:9" ht="14">
      <c r="A849" s="431"/>
      <c r="B849" s="431"/>
      <c r="C849" s="14"/>
      <c r="D849" s="1500" t="s">
        <v>1737</v>
      </c>
      <c r="E849" s="1500"/>
      <c r="F849" s="1500"/>
      <c r="H849" s="422"/>
      <c r="I849" s="422"/>
    </row>
    <row r="850" spans="1:9" ht="14">
      <c r="A850" s="431"/>
      <c r="B850" s="431"/>
      <c r="C850" s="14"/>
      <c r="D850" s="1499" t="s">
        <v>2210</v>
      </c>
      <c r="E850" s="1499"/>
      <c r="F850" s="1499"/>
      <c r="H850" s="422"/>
      <c r="I850" s="422"/>
    </row>
    <row r="851" spans="1:9" ht="14">
      <c r="A851" s="431"/>
      <c r="B851" s="431"/>
      <c r="C851" s="14"/>
      <c r="D851" s="1403"/>
      <c r="E851" s="1405"/>
      <c r="F851" s="1405"/>
      <c r="H851" s="422"/>
      <c r="I851" s="422"/>
    </row>
    <row r="852" spans="1:9" ht="12.9">
      <c r="A852" s="152"/>
      <c r="B852" s="1000" t="s">
        <v>1559</v>
      </c>
      <c r="C852" s="336"/>
      <c r="D852" s="1485" t="s">
        <v>1656</v>
      </c>
      <c r="E852" s="1485"/>
      <c r="F852" s="1485"/>
      <c r="H852" s="422"/>
      <c r="I852" s="422"/>
    </row>
    <row r="853" spans="1:9" ht="12.9">
      <c r="A853" s="33"/>
      <c r="B853" s="33"/>
      <c r="C853" s="336"/>
      <c r="D853" s="6" t="s">
        <v>1624</v>
      </c>
      <c r="E853" s="1546" t="s">
        <v>1657</v>
      </c>
      <c r="F853" s="1546"/>
      <c r="H853" s="422"/>
      <c r="I853" s="422"/>
    </row>
    <row r="854" spans="1:9" ht="12.9">
      <c r="A854" s="33"/>
      <c r="B854" s="33"/>
      <c r="C854" s="336"/>
      <c r="D854" s="350"/>
      <c r="E854" s="294"/>
      <c r="F854" s="294"/>
      <c r="H854" s="422"/>
      <c r="I854" s="422"/>
    </row>
    <row r="855" spans="1:9" ht="12.9">
      <c r="A855" s="1081"/>
      <c r="B855" s="1080" t="s">
        <v>136</v>
      </c>
      <c r="C855" s="336"/>
      <c r="D855" s="1566" t="s">
        <v>1939</v>
      </c>
      <c r="E855" s="1566"/>
      <c r="F855" s="1566"/>
      <c r="H855" s="422"/>
      <c r="I855" s="422"/>
    </row>
    <row r="856" spans="1:9" ht="12.9">
      <c r="A856" s="1081"/>
      <c r="B856" s="1081"/>
      <c r="C856" s="336"/>
      <c r="D856" s="1566"/>
      <c r="E856" s="1566"/>
      <c r="F856" s="1566"/>
      <c r="H856" s="422"/>
      <c r="I856" s="422"/>
    </row>
    <row r="857" spans="1:9" ht="12.9">
      <c r="A857" s="1081"/>
      <c r="B857" s="1081"/>
      <c r="C857" s="336"/>
      <c r="D857" s="1566"/>
      <c r="E857" s="1566"/>
      <c r="F857" s="1566"/>
      <c r="H857" s="422"/>
      <c r="I857" s="422"/>
    </row>
    <row r="858" spans="1:9" ht="12.9">
      <c r="A858" s="1081"/>
      <c r="B858" s="1081"/>
      <c r="C858" s="336"/>
      <c r="D858" s="1566"/>
      <c r="E858" s="1566"/>
      <c r="F858" s="1566"/>
      <c r="H858" s="422"/>
      <c r="I858" s="422"/>
    </row>
    <row r="859" spans="1:9" ht="12.9">
      <c r="A859" s="1081"/>
      <c r="B859" s="1081"/>
      <c r="C859" s="336"/>
      <c r="D859" s="1566"/>
      <c r="E859" s="1566"/>
      <c r="F859" s="1566"/>
      <c r="H859" s="422"/>
      <c r="I859" s="422"/>
    </row>
    <row r="860" spans="1:9" ht="12.9">
      <c r="A860" s="1081"/>
      <c r="B860" s="1081"/>
      <c r="C860" s="336"/>
      <c r="D860" s="1566"/>
      <c r="E860" s="1566"/>
      <c r="F860" s="1566"/>
      <c r="H860" s="422"/>
      <c r="I860" s="422"/>
    </row>
    <row r="861" spans="1:9" ht="12.9">
      <c r="A861" s="1081"/>
      <c r="B861" s="1081"/>
      <c r="C861" s="336"/>
      <c r="D861" s="1566"/>
      <c r="E861" s="1566"/>
      <c r="F861" s="1566"/>
      <c r="H861" s="422"/>
      <c r="I861" s="422"/>
    </row>
    <row r="862" spans="1:9" ht="12.9">
      <c r="A862" s="1081"/>
      <c r="B862" s="1081"/>
      <c r="C862" s="336"/>
      <c r="D862" s="1566"/>
      <c r="E862" s="1566"/>
      <c r="F862" s="1566"/>
      <c r="H862" s="422"/>
      <c r="I862" s="422"/>
    </row>
    <row r="863" spans="1:9" ht="12.9">
      <c r="A863" s="1081"/>
      <c r="B863" s="1081"/>
      <c r="C863" s="336"/>
      <c r="D863" s="1566"/>
      <c r="E863" s="1566"/>
      <c r="F863" s="1566"/>
      <c r="H863" s="422"/>
      <c r="I863" s="422"/>
    </row>
    <row r="864" spans="1:9" ht="12.9">
      <c r="A864" s="1081"/>
      <c r="B864" s="1081"/>
      <c r="C864" s="336"/>
      <c r="D864" s="350"/>
      <c r="E864" s="294"/>
      <c r="F864" s="294"/>
      <c r="H864" s="422"/>
      <c r="I864" s="422"/>
    </row>
    <row r="865" spans="1:9" ht="14">
      <c r="A865" s="431"/>
      <c r="B865" s="1000" t="s">
        <v>1559</v>
      </c>
      <c r="C865" s="336"/>
      <c r="D865" s="1485" t="s">
        <v>1658</v>
      </c>
      <c r="E865" s="1485"/>
      <c r="F865" s="1485"/>
      <c r="H865" s="422"/>
      <c r="I865" s="422"/>
    </row>
    <row r="866" spans="1:9" ht="14">
      <c r="A866" s="431"/>
      <c r="B866" s="431"/>
      <c r="C866" s="336"/>
      <c r="D866" s="1485"/>
      <c r="E866" s="1485"/>
      <c r="F866" s="1485"/>
      <c r="H866" s="422"/>
      <c r="I866" s="422"/>
    </row>
    <row r="867" spans="1:9" ht="14">
      <c r="A867" s="431"/>
      <c r="B867" s="431"/>
      <c r="C867" s="336"/>
      <c r="D867" s="1485"/>
      <c r="E867" s="1485"/>
      <c r="F867" s="1485"/>
      <c r="H867" s="422"/>
      <c r="I867" s="422"/>
    </row>
    <row r="868" spans="1:9" ht="14">
      <c r="A868" s="596"/>
      <c r="B868" s="596"/>
      <c r="C868" s="423"/>
      <c r="D868" s="421"/>
      <c r="H868" s="422"/>
      <c r="I868" s="422"/>
    </row>
    <row r="869" spans="1:9" ht="12.9">
      <c r="A869" s="740"/>
      <c r="B869" s="1448" t="s">
        <v>136</v>
      </c>
      <c r="C869" s="423"/>
      <c r="D869" s="1569" t="s">
        <v>1659</v>
      </c>
      <c r="E869" s="1569"/>
      <c r="F869" s="1569"/>
      <c r="H869" s="422"/>
      <c r="I869" s="422"/>
    </row>
    <row r="870" spans="1:9" ht="12.9">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
      <c r="A872" s="596"/>
      <c r="B872" s="596"/>
      <c r="C872" s="423"/>
      <c r="D872" s="1513"/>
      <c r="E872" s="1513"/>
      <c r="F872" s="1513"/>
      <c r="H872" s="422"/>
      <c r="I872" s="422"/>
    </row>
    <row r="873" spans="1:9" ht="14">
      <c r="A873" s="596"/>
      <c r="B873" s="596"/>
      <c r="C873" s="423"/>
      <c r="D873" s="1513"/>
      <c r="E873" s="1513"/>
      <c r="F873" s="1513"/>
      <c r="H873" s="422"/>
      <c r="I873" s="422"/>
    </row>
    <row r="874" spans="1:9" ht="14">
      <c r="A874" s="596"/>
      <c r="B874" s="596"/>
      <c r="C874" s="423"/>
      <c r="D874" s="1513"/>
      <c r="E874" s="1513"/>
      <c r="F874" s="1513"/>
      <c r="H874" s="422"/>
      <c r="I874" s="422"/>
    </row>
    <row r="875" spans="1:9" ht="14">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
      <c r="A877" s="596"/>
      <c r="B877" s="596"/>
      <c r="C877" s="423"/>
      <c r="D877" s="421"/>
      <c r="H877" s="422"/>
      <c r="I877" s="422"/>
    </row>
    <row r="878" spans="1:9" ht="14">
      <c r="A878" s="596"/>
      <c r="B878" s="1448" t="s">
        <v>136</v>
      </c>
      <c r="C878" s="423"/>
      <c r="D878" s="1513" t="s">
        <v>1328</v>
      </c>
      <c r="E878" s="1513"/>
      <c r="F878" s="1513"/>
      <c r="H878" s="422"/>
      <c r="I878" s="422"/>
    </row>
    <row r="879" spans="1:9" ht="14">
      <c r="A879" s="596"/>
      <c r="B879" s="596"/>
      <c r="C879" s="423"/>
      <c r="D879" s="1513" t="s">
        <v>1329</v>
      </c>
      <c r="E879" s="1513"/>
      <c r="F879" s="1513"/>
      <c r="H879" s="422"/>
      <c r="I879" s="422"/>
    </row>
    <row r="880" spans="1:9" ht="14">
      <c r="A880" s="596"/>
      <c r="B880" s="596"/>
      <c r="C880" s="423"/>
      <c r="D880" s="344" t="s">
        <v>1623</v>
      </c>
      <c r="E880" s="1575" t="s">
        <v>1660</v>
      </c>
      <c r="F880" s="1575"/>
      <c r="H880" s="422"/>
      <c r="I880" s="422"/>
    </row>
    <row r="881" spans="1:9" ht="14">
      <c r="A881" s="596"/>
      <c r="B881" s="596"/>
      <c r="C881" s="423"/>
      <c r="D881" s="421"/>
      <c r="H881" s="422"/>
      <c r="I881" s="422"/>
    </row>
    <row r="882" spans="1:9" ht="14">
      <c r="A882" s="596"/>
      <c r="B882" s="1448" t="s">
        <v>136</v>
      </c>
      <c r="C882" s="423"/>
      <c r="D882" s="1513" t="s">
        <v>1661</v>
      </c>
      <c r="E882" s="1513"/>
      <c r="F882" s="1513"/>
      <c r="H882" s="422"/>
      <c r="I882" s="422"/>
    </row>
    <row r="883" spans="1:9" ht="14">
      <c r="A883" s="596"/>
      <c r="B883" s="596"/>
      <c r="C883" s="423"/>
      <c r="D883" s="1513"/>
      <c r="E883" s="1513"/>
      <c r="F883" s="1513"/>
      <c r="H883" s="422"/>
      <c r="I883" s="422"/>
    </row>
    <row r="884" spans="1:9" ht="14">
      <c r="A884" s="596"/>
      <c r="B884" s="596"/>
      <c r="C884" s="423"/>
      <c r="D884" s="1513"/>
      <c r="E884" s="1513"/>
      <c r="F884" s="1513"/>
      <c r="H884" s="422"/>
      <c r="I884" s="422"/>
    </row>
    <row r="885" spans="1:9" ht="14">
      <c r="A885" s="596"/>
      <c r="B885" s="596"/>
      <c r="C885" s="423"/>
      <c r="D885" s="1513"/>
      <c r="E885" s="1513"/>
      <c r="F885" s="1513"/>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98" t="s">
        <v>1736</v>
      </c>
      <c r="E889" s="1498"/>
      <c r="F889" s="1498"/>
      <c r="G889" s="598"/>
      <c r="H889" s="422"/>
      <c r="I889" s="422"/>
    </row>
    <row r="890" spans="1:9" ht="12.9">
      <c r="A890" s="1070"/>
      <c r="B890" s="1070"/>
      <c r="C890" s="311"/>
      <c r="D890" s="1571" t="s">
        <v>2211</v>
      </c>
      <c r="E890" s="1572"/>
      <c r="F890" s="1572"/>
      <c r="G890" s="598"/>
      <c r="H890" s="422"/>
      <c r="I890" s="422"/>
    </row>
    <row r="891" spans="1:9" ht="12.9">
      <c r="A891" s="1070"/>
      <c r="B891" s="1070"/>
      <c r="C891" s="311"/>
      <c r="D891" s="1064"/>
      <c r="E891" s="1064"/>
      <c r="F891" s="1064"/>
      <c r="G891" s="598"/>
      <c r="H891" s="422"/>
      <c r="I891" s="422"/>
    </row>
    <row r="892" spans="1:9" ht="14">
      <c r="A892" s="431"/>
      <c r="B892" s="1000" t="s">
        <v>1559</v>
      </c>
      <c r="C892" s="14"/>
      <c r="D892" s="1482" t="s">
        <v>1688</v>
      </c>
      <c r="E892" s="1482"/>
      <c r="F892" s="1482"/>
      <c r="G892" s="598"/>
      <c r="H892" s="422"/>
      <c r="I892" s="422"/>
    </row>
    <row r="893" spans="1:9" ht="12.9">
      <c r="A893" s="152"/>
      <c r="B893" s="152"/>
      <c r="C893" s="14"/>
      <c r="D893" s="6" t="s">
        <v>1623</v>
      </c>
      <c r="E893" s="1570" t="s">
        <v>1660</v>
      </c>
      <c r="F893" s="1570"/>
      <c r="G893" s="598"/>
    </row>
    <row r="894" spans="1:9" ht="12.9">
      <c r="A894" s="152"/>
      <c r="B894" s="152"/>
      <c r="C894" s="14"/>
      <c r="D894" s="299"/>
      <c r="E894" s="308"/>
      <c r="F894" s="308"/>
      <c r="G894" s="598"/>
      <c r="H894" s="422"/>
      <c r="I894" s="422"/>
    </row>
    <row r="895" spans="1:9" ht="14">
      <c r="A895" s="431"/>
      <c r="B895" s="1000" t="s">
        <v>1559</v>
      </c>
      <c r="C895" s="14"/>
      <c r="D895" s="1499" t="s">
        <v>2214</v>
      </c>
      <c r="E895" s="1532"/>
      <c r="F895" s="1532"/>
    </row>
    <row r="896" spans="1:9" ht="12.65" customHeight="1">
      <c r="A896" s="152"/>
      <c r="B896" s="152"/>
      <c r="C896" s="14"/>
      <c r="D896" s="1532"/>
      <c r="E896" s="1532"/>
      <c r="F896" s="1532"/>
    </row>
    <row r="897" spans="1:9" ht="12.9">
      <c r="A897" s="152"/>
      <c r="B897" s="152"/>
      <c r="C897" s="14"/>
      <c r="D897" s="299"/>
      <c r="E897" s="294"/>
      <c r="F897" s="294"/>
    </row>
    <row r="898" spans="1:9" ht="14">
      <c r="A898" s="431"/>
      <c r="B898" s="1448" t="s">
        <v>136</v>
      </c>
      <c r="C898" s="14"/>
      <c r="D898" s="1477" t="s">
        <v>1884</v>
      </c>
      <c r="E898" s="1477"/>
      <c r="F898" s="1477"/>
      <c r="G898" s="598"/>
      <c r="H898" s="422"/>
      <c r="I898" s="422"/>
    </row>
    <row r="899" spans="1:9" ht="14">
      <c r="A899" s="431"/>
      <c r="B899" s="431"/>
      <c r="C899" s="14"/>
      <c r="D899" s="299"/>
      <c r="E899" s="308"/>
      <c r="F899" s="308"/>
      <c r="G899" s="598"/>
      <c r="H899" s="422"/>
      <c r="I899" s="422"/>
    </row>
    <row r="900" spans="1:9" ht="12.9">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
      <c r="A902" s="431"/>
      <c r="B902" s="2"/>
      <c r="C902" s="14"/>
      <c r="D902" s="1513" t="s">
        <v>1689</v>
      </c>
      <c r="E902" s="1513"/>
      <c r="F902" s="1513"/>
      <c r="G902" s="598"/>
      <c r="H902" s="422"/>
      <c r="I902" s="422"/>
    </row>
    <row r="903" spans="1:9" ht="14">
      <c r="A903" s="431"/>
      <c r="B903" s="431"/>
      <c r="C903" s="14"/>
      <c r="D903" s="1513"/>
      <c r="E903" s="1513"/>
      <c r="F903" s="1513"/>
      <c r="G903" s="598"/>
      <c r="H903" s="422"/>
      <c r="I903" s="422"/>
    </row>
    <row r="904" spans="1:9" ht="14">
      <c r="A904" s="431"/>
      <c r="B904" s="431"/>
      <c r="C904" s="14"/>
      <c r="D904" s="1513"/>
      <c r="E904" s="1513"/>
      <c r="F904" s="1513"/>
      <c r="G904" s="598"/>
      <c r="H904" s="422"/>
      <c r="I904" s="422"/>
    </row>
    <row r="905" spans="1:9" ht="14">
      <c r="A905" s="431"/>
      <c r="B905" s="431"/>
      <c r="C905" s="14"/>
      <c r="D905" s="1513"/>
      <c r="E905" s="1513"/>
      <c r="F905" s="1513"/>
      <c r="G905" s="598"/>
      <c r="H905" s="422"/>
      <c r="I905" s="422"/>
    </row>
    <row r="906" spans="1:9" ht="14">
      <c r="A906" s="431"/>
      <c r="B906" s="431"/>
      <c r="C906" s="14"/>
      <c r="D906" s="1513"/>
      <c r="E906" s="1513"/>
      <c r="F906" s="1513"/>
      <c r="G906" s="598"/>
      <c r="H906" s="422"/>
      <c r="I906" s="422"/>
    </row>
    <row r="907" spans="1:9" ht="14">
      <c r="A907" s="431"/>
      <c r="B907" s="431"/>
      <c r="C907" s="14"/>
      <c r="D907" s="1513"/>
      <c r="E907" s="1513"/>
      <c r="F907" s="1513"/>
      <c r="G907" s="598"/>
      <c r="H907" s="422"/>
      <c r="I907" s="422"/>
    </row>
    <row r="908" spans="1:9" ht="14">
      <c r="A908" s="431"/>
      <c r="B908" s="431"/>
      <c r="C908" s="14"/>
      <c r="D908" s="299"/>
      <c r="E908" s="308"/>
      <c r="F908" s="308"/>
      <c r="G908" s="598"/>
      <c r="H908" s="422"/>
      <c r="I908" s="422"/>
    </row>
    <row r="909" spans="1:9" ht="14">
      <c r="A909" s="431"/>
      <c r="B909" s="1448" t="s">
        <v>136</v>
      </c>
      <c r="C909" s="14"/>
      <c r="D909" s="1477" t="s">
        <v>1328</v>
      </c>
      <c r="E909" s="1477"/>
      <c r="F909" s="1477"/>
      <c r="G909" s="598"/>
      <c r="H909" s="422"/>
      <c r="I909" s="422"/>
    </row>
    <row r="910" spans="1:9" ht="14">
      <c r="A910" s="431"/>
      <c r="B910" s="431"/>
      <c r="C910" s="14"/>
      <c r="D910" s="1477" t="s">
        <v>1329</v>
      </c>
      <c r="E910" s="1477"/>
      <c r="F910" s="1477"/>
      <c r="G910" s="598"/>
      <c r="H910" s="422"/>
      <c r="I910" s="422"/>
    </row>
    <row r="911" spans="1:9" ht="14">
      <c r="A911" s="431"/>
      <c r="B911" s="431"/>
      <c r="C911" s="14"/>
      <c r="D911" s="6" t="s">
        <v>1690</v>
      </c>
      <c r="E911" s="1568" t="s">
        <v>1660</v>
      </c>
      <c r="F911" s="1568"/>
      <c r="G911" s="598"/>
      <c r="H911" s="422"/>
      <c r="I911" s="422"/>
    </row>
    <row r="912" spans="1:9" ht="14">
      <c r="A912" s="431"/>
      <c r="B912" s="431"/>
      <c r="C912" s="14"/>
      <c r="D912" s="299"/>
      <c r="E912" s="308"/>
      <c r="F912" s="308"/>
      <c r="G912" s="598"/>
      <c r="H912" s="422"/>
      <c r="I912" s="422"/>
    </row>
    <row r="913" spans="1:9" ht="14">
      <c r="A913" s="431"/>
      <c r="B913" s="1448" t="s">
        <v>136</v>
      </c>
      <c r="C913" s="14"/>
      <c r="D913" s="1485" t="s">
        <v>1661</v>
      </c>
      <c r="E913" s="1485"/>
      <c r="F913" s="1485"/>
      <c r="G913" s="598"/>
      <c r="H913" s="422"/>
      <c r="I913" s="422"/>
    </row>
    <row r="914" spans="1:9" ht="14">
      <c r="A914" s="431"/>
      <c r="B914" s="431"/>
      <c r="C914" s="14"/>
      <c r="D914" s="1485"/>
      <c r="E914" s="1485"/>
      <c r="F914" s="1485"/>
      <c r="G914" s="598"/>
      <c r="H914" s="422"/>
      <c r="I914" s="422"/>
    </row>
    <row r="915" spans="1:9" ht="14">
      <c r="A915" s="431"/>
      <c r="B915" s="431"/>
      <c r="C915" s="14"/>
      <c r="D915" s="1485"/>
      <c r="E915" s="1485"/>
      <c r="F915" s="1485"/>
      <c r="G915" s="598"/>
      <c r="H915" s="422"/>
      <c r="I915" s="422"/>
    </row>
    <row r="916" spans="1:9" ht="14">
      <c r="A916" s="431"/>
      <c r="B916" s="431"/>
      <c r="C916" s="14"/>
      <c r="D916" s="1485"/>
      <c r="E916" s="1485"/>
      <c r="F916" s="1485"/>
      <c r="G916" s="598"/>
      <c r="H916" s="422"/>
      <c r="I916" s="422"/>
    </row>
    <row r="917" spans="1:9" ht="12.9">
      <c r="A917" s="155"/>
      <c r="B917" s="155"/>
      <c r="C917" s="336"/>
      <c r="D917" s="308"/>
      <c r="E917" s="308"/>
      <c r="F917" s="308"/>
      <c r="G917" s="598"/>
      <c r="H917" s="422"/>
      <c r="I917" s="422"/>
    </row>
    <row r="918" spans="1:9" ht="12.9">
      <c r="A918" s="1497" t="s">
        <v>1587</v>
      </c>
      <c r="B918" s="1497"/>
      <c r="C918" s="1497"/>
      <c r="D918" s="1497"/>
      <c r="E918" s="1497"/>
      <c r="F918" s="1497"/>
      <c r="G918" s="1497"/>
      <c r="H918" s="422"/>
      <c r="I918" s="422"/>
    </row>
    <row r="919" spans="1:9" ht="12.9">
      <c r="A919" s="155"/>
      <c r="B919" s="155"/>
      <c r="C919" s="336"/>
      <c r="D919" s="308"/>
      <c r="E919" s="308"/>
      <c r="F919" s="308"/>
      <c r="G919" s="598"/>
      <c r="H919" s="422"/>
      <c r="I919" s="422"/>
    </row>
    <row r="920" spans="1:9" ht="12.9">
      <c r="A920" s="152"/>
      <c r="B920" s="152"/>
      <c r="C920" s="336"/>
      <c r="D920" s="1540" t="s">
        <v>1885</v>
      </c>
      <c r="E920" s="1540"/>
      <c r="F920" s="1540"/>
      <c r="G920" s="598"/>
      <c r="H920" s="422"/>
      <c r="I920" s="422"/>
    </row>
    <row r="921" spans="1:9" ht="12.9">
      <c r="A921" s="432"/>
      <c r="B921" s="432"/>
      <c r="C921" s="310"/>
      <c r="D921" s="1482" t="s">
        <v>1687</v>
      </c>
      <c r="E921" s="1482"/>
      <c r="F921" s="1482"/>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9">
      <c r="A924" s="432"/>
      <c r="B924" s="432"/>
      <c r="C924" s="310"/>
      <c r="D924" s="1576"/>
      <c r="E924" s="1576"/>
      <c r="F924" s="1576"/>
      <c r="G924" s="598"/>
      <c r="H924" s="422"/>
      <c r="I924" s="422"/>
    </row>
    <row r="925" spans="1:9" ht="12.9">
      <c r="A925" s="432"/>
      <c r="B925" s="432"/>
      <c r="C925" s="310"/>
      <c r="D925" s="1576"/>
      <c r="E925" s="1576"/>
      <c r="F925" s="1576"/>
      <c r="G925" s="598"/>
      <c r="H925" s="422"/>
      <c r="I925" s="422"/>
    </row>
    <row r="926" spans="1:9" ht="12.9">
      <c r="A926" s="432"/>
      <c r="B926" s="432"/>
      <c r="C926" s="310"/>
      <c r="D926" s="1576"/>
      <c r="E926" s="1576"/>
      <c r="F926" s="1576"/>
      <c r="G926" s="598"/>
      <c r="H926" s="422"/>
      <c r="I926" s="422"/>
    </row>
    <row r="927" spans="1:9" ht="12.9">
      <c r="A927" s="432"/>
      <c r="B927" s="432"/>
      <c r="C927" s="310"/>
      <c r="D927" s="1576"/>
      <c r="E927" s="1576"/>
      <c r="F927" s="1576"/>
      <c r="G927" s="598"/>
      <c r="H927" s="422"/>
      <c r="I927" s="422"/>
    </row>
    <row r="928" spans="1:9" ht="12.9">
      <c r="A928" s="433"/>
      <c r="B928" s="433"/>
      <c r="C928" s="311"/>
      <c r="D928" s="294"/>
      <c r="E928" s="294"/>
      <c r="F928" s="308"/>
      <c r="G928" s="598"/>
      <c r="H928" s="422"/>
      <c r="I928" s="422"/>
    </row>
    <row r="929" spans="1:9" ht="14.25" customHeight="1">
      <c r="A929" s="596"/>
      <c r="B929" s="1448" t="s">
        <v>136</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575" t="s">
        <v>1897</v>
      </c>
      <c r="E955" s="1575"/>
      <c r="F955" s="1575"/>
      <c r="G955" s="598"/>
      <c r="H955" s="804"/>
    </row>
    <row r="956" spans="1:9" s="741" customFormat="1" ht="14">
      <c r="A956" s="596"/>
      <c r="B956" s="596"/>
      <c r="C956" s="597"/>
      <c r="D956" s="1575"/>
      <c r="E956" s="1575"/>
      <c r="F956" s="1575"/>
      <c r="G956" s="598"/>
      <c r="H956" s="804"/>
    </row>
    <row r="957" spans="1:9" s="741" customFormat="1" ht="14">
      <c r="A957" s="596"/>
      <c r="B957" s="596"/>
      <c r="C957" s="597"/>
      <c r="D957" s="1575"/>
      <c r="E957" s="1575"/>
      <c r="F957" s="1575"/>
      <c r="G957" s="598"/>
      <c r="H957" s="804"/>
    </row>
    <row r="958" spans="1:9" s="741" customFormat="1" ht="14">
      <c r="A958" s="596"/>
      <c r="B958" s="596"/>
      <c r="C958" s="597"/>
      <c r="D958" s="1575"/>
      <c r="E958" s="1575"/>
      <c r="F958" s="1575"/>
      <c r="G958" s="598"/>
      <c r="H958" s="804"/>
    </row>
    <row r="959" spans="1:9" s="741" customFormat="1" ht="14">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
      <c r="A963" s="431"/>
      <c r="B963" s="1448" t="s">
        <v>136</v>
      </c>
      <c r="C963" s="14"/>
      <c r="D963" s="1485" t="s">
        <v>1899</v>
      </c>
      <c r="E963" s="1485"/>
      <c r="F963" s="1485"/>
    </row>
    <row r="964" spans="1:9" ht="12.9">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96" t="s">
        <v>1887</v>
      </c>
      <c r="E968" s="1496"/>
      <c r="F968" s="1496"/>
      <c r="G968" s="598"/>
      <c r="H968" s="422"/>
      <c r="I968" s="422"/>
    </row>
    <row r="969" spans="1:9" ht="12.9">
      <c r="A969" s="373"/>
      <c r="B969" s="373"/>
      <c r="C969" s="336"/>
      <c r="D969" s="1496"/>
      <c r="E969" s="1496"/>
      <c r="F969" s="1496"/>
      <c r="G969" s="598"/>
      <c r="H969" s="422"/>
      <c r="I969" s="422"/>
    </row>
    <row r="970" spans="1:9" ht="12.9">
      <c r="A970" s="373"/>
      <c r="B970" s="373"/>
      <c r="C970" s="336"/>
      <c r="D970" s="1496"/>
      <c r="E970" s="1496"/>
      <c r="F970" s="1496"/>
      <c r="G970" s="598"/>
      <c r="H970" s="422"/>
      <c r="I970" s="422"/>
    </row>
    <row r="971" spans="1:9" ht="12.9">
      <c r="A971" s="373"/>
      <c r="B971" s="373"/>
      <c r="C971" s="336"/>
      <c r="D971" s="1496"/>
      <c r="E971" s="1496"/>
      <c r="F971" s="1496"/>
      <c r="G971" s="598"/>
      <c r="H971" s="422"/>
      <c r="I971" s="422"/>
    </row>
    <row r="972" spans="1:9" ht="12.9">
      <c r="A972" s="373"/>
      <c r="B972" s="373"/>
      <c r="C972" s="336"/>
      <c r="D972" s="1496"/>
      <c r="E972" s="1496"/>
      <c r="F972" s="1496"/>
      <c r="G972" s="598"/>
      <c r="H972" s="422"/>
      <c r="I972" s="422"/>
    </row>
    <row r="973" spans="1:9" ht="12.9">
      <c r="A973" s="373"/>
      <c r="B973" s="373"/>
      <c r="C973" s="336"/>
      <c r="D973" s="1496"/>
      <c r="E973" s="1496"/>
      <c r="F973" s="1496"/>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96" t="s">
        <v>1886</v>
      </c>
      <c r="E975" s="1496"/>
      <c r="F975" s="1496"/>
      <c r="G975" s="598"/>
      <c r="H975" s="422"/>
      <c r="I975" s="422"/>
    </row>
    <row r="976" spans="1:9" ht="12.9">
      <c r="A976" s="373"/>
      <c r="B976" s="373"/>
      <c r="C976" s="336"/>
      <c r="D976" s="1496"/>
      <c r="E976" s="1496"/>
      <c r="F976" s="1496"/>
      <c r="G976" s="598"/>
      <c r="H976" s="422"/>
      <c r="I976" s="422"/>
    </row>
    <row r="977" spans="1:9" ht="12.9">
      <c r="A977" s="373"/>
      <c r="B977" s="373"/>
      <c r="C977" s="336"/>
      <c r="D977" s="1496"/>
      <c r="E977" s="1496"/>
      <c r="F977" s="1496"/>
      <c r="G977" s="598"/>
      <c r="H977" s="422"/>
      <c r="I977" s="422"/>
    </row>
    <row r="978" spans="1:9" ht="12.9">
      <c r="A978" s="373"/>
      <c r="B978" s="373"/>
      <c r="C978" s="336"/>
      <c r="D978" s="1496"/>
      <c r="E978" s="1496"/>
      <c r="F978" s="1496"/>
      <c r="G978" s="598"/>
      <c r="H978" s="422"/>
      <c r="I978" s="422"/>
    </row>
    <row r="979" spans="1:9" ht="12.9">
      <c r="A979" s="373"/>
      <c r="B979" s="373"/>
      <c r="C979" s="336"/>
      <c r="D979" s="1496"/>
      <c r="E979" s="1496"/>
      <c r="F979" s="1496"/>
      <c r="G979" s="598"/>
      <c r="H979" s="422"/>
      <c r="I979" s="422"/>
    </row>
    <row r="980" spans="1:9" ht="12.9">
      <c r="A980" s="373"/>
      <c r="B980" s="373"/>
      <c r="C980" s="336"/>
      <c r="D980" s="744"/>
      <c r="E980" s="308"/>
      <c r="F980" s="308"/>
      <c r="G980" s="598"/>
      <c r="H980" s="422"/>
      <c r="I980" s="422"/>
    </row>
    <row r="981" spans="1:9" ht="14">
      <c r="A981" s="431"/>
      <c r="B981" s="1448" t="s">
        <v>136</v>
      </c>
      <c r="C981" s="336"/>
      <c r="D981" s="1496" t="s">
        <v>1889</v>
      </c>
      <c r="E981" s="1496"/>
      <c r="F981" s="1496"/>
      <c r="G981" s="598"/>
      <c r="H981" s="422"/>
      <c r="I981" s="422"/>
    </row>
    <row r="982" spans="1:9" ht="12.9">
      <c r="A982" s="373"/>
      <c r="B982" s="373"/>
      <c r="C982" s="336"/>
      <c r="D982" s="1496"/>
      <c r="E982" s="1496"/>
      <c r="F982" s="1496"/>
      <c r="G982" s="598"/>
      <c r="H982" s="422"/>
      <c r="I982" s="422"/>
    </row>
    <row r="983" spans="1:9" ht="12.9">
      <c r="A983" s="373"/>
      <c r="B983" s="373"/>
      <c r="C983" s="336"/>
      <c r="D983" s="1496"/>
      <c r="E983" s="1496"/>
      <c r="F983" s="1496"/>
      <c r="G983" s="598"/>
      <c r="H983" s="422"/>
      <c r="I983" s="422"/>
    </row>
    <row r="984" spans="1:9" ht="12.9">
      <c r="A984" s="373"/>
      <c r="B984" s="373"/>
      <c r="C984" s="336"/>
      <c r="D984" s="1496"/>
      <c r="E984" s="1496"/>
      <c r="F984" s="1496"/>
      <c r="G984" s="598"/>
      <c r="H984" s="422"/>
      <c r="I984" s="422"/>
    </row>
    <row r="985" spans="1:9" ht="12.9">
      <c r="A985" s="373"/>
      <c r="B985" s="373"/>
      <c r="C985" s="336"/>
      <c r="D985" s="1496"/>
      <c r="E985" s="1496"/>
      <c r="F985" s="1496"/>
      <c r="G985" s="598"/>
      <c r="H985" s="422"/>
      <c r="I985" s="422"/>
    </row>
    <row r="986" spans="1:9" ht="12.9">
      <c r="A986" s="373"/>
      <c r="B986" s="373"/>
      <c r="C986" s="336"/>
      <c r="D986" s="744"/>
      <c r="E986" s="308"/>
      <c r="F986" s="308"/>
      <c r="G986" s="598"/>
      <c r="H986" s="422"/>
      <c r="I986" s="422"/>
    </row>
    <row r="987" spans="1:9" ht="14.55" customHeight="1">
      <c r="A987" s="431"/>
      <c r="B987" s="1448" t="s">
        <v>136</v>
      </c>
      <c r="C987" s="336"/>
      <c r="D987" s="1496" t="s">
        <v>1890</v>
      </c>
      <c r="E987" s="1496"/>
      <c r="F987" s="1496"/>
      <c r="G987" s="598"/>
      <c r="H987" s="422"/>
      <c r="I987" s="422"/>
    </row>
    <row r="988" spans="1:9" ht="12.9">
      <c r="A988" s="373"/>
      <c r="B988" s="373"/>
      <c r="C988" s="336"/>
      <c r="D988" s="1496"/>
      <c r="E988" s="1496"/>
      <c r="F988" s="1496"/>
      <c r="G988" s="598"/>
      <c r="H988" s="422"/>
      <c r="I988" s="422"/>
    </row>
    <row r="989" spans="1:9" ht="12.9">
      <c r="A989" s="373"/>
      <c r="B989" s="373"/>
      <c r="C989" s="336"/>
      <c r="D989" s="1496"/>
      <c r="E989" s="1496"/>
      <c r="F989" s="1496"/>
      <c r="G989" s="598"/>
      <c r="H989" s="422"/>
      <c r="I989" s="422"/>
    </row>
    <row r="990" spans="1:9" ht="12.9">
      <c r="A990" s="373"/>
      <c r="B990" s="373"/>
      <c r="C990" s="336"/>
      <c r="D990" s="1068"/>
      <c r="E990" s="1068"/>
      <c r="F990" s="1068"/>
      <c r="G990" s="598"/>
      <c r="H990" s="422"/>
      <c r="I990" s="422"/>
    </row>
    <row r="991" spans="1:9" ht="14">
      <c r="A991" s="431"/>
      <c r="B991" s="1448" t="s">
        <v>136</v>
      </c>
      <c r="C991" s="336"/>
      <c r="D991" s="1496" t="s">
        <v>1891</v>
      </c>
      <c r="E991" s="1496"/>
      <c r="F991" s="1496"/>
      <c r="G991" s="598"/>
      <c r="H991" s="422"/>
      <c r="I991" s="422"/>
    </row>
    <row r="992" spans="1:9" ht="12.9">
      <c r="A992" s="373"/>
      <c r="B992" s="373"/>
      <c r="C992" s="336"/>
      <c r="D992" s="1496"/>
      <c r="E992" s="1496"/>
      <c r="F992" s="1496"/>
      <c r="G992" s="598"/>
      <c r="H992" s="422"/>
      <c r="I992" s="422"/>
    </row>
    <row r="993" spans="1:9" ht="12.9">
      <c r="A993" s="373"/>
      <c r="B993" s="373"/>
      <c r="C993" s="336"/>
      <c r="D993" s="744"/>
      <c r="E993" s="308"/>
      <c r="F993" s="308"/>
      <c r="G993" s="598"/>
      <c r="H993" s="422"/>
      <c r="I993" s="422"/>
    </row>
    <row r="994" spans="1:9" ht="12.9">
      <c r="A994" s="373"/>
      <c r="B994" s="1448" t="s">
        <v>136</v>
      </c>
      <c r="C994" s="336"/>
      <c r="D994" s="1485" t="s">
        <v>1892</v>
      </c>
      <c r="E994" s="1485"/>
      <c r="F994" s="1485"/>
      <c r="G994" s="598"/>
      <c r="H994" s="422"/>
      <c r="I994" s="422"/>
    </row>
    <row r="995" spans="1:9" ht="12.9">
      <c r="A995" s="373"/>
      <c r="B995" s="373"/>
      <c r="C995" s="336"/>
      <c r="D995" s="1485"/>
      <c r="E995" s="1485"/>
      <c r="F995" s="1485"/>
      <c r="G995" s="598"/>
      <c r="H995" s="422"/>
      <c r="I995" s="422"/>
    </row>
    <row r="996" spans="1:9" ht="12.9">
      <c r="A996" s="373"/>
      <c r="B996" s="373"/>
      <c r="C996" s="336"/>
      <c r="D996" s="308"/>
      <c r="E996" s="308"/>
      <c r="F996" s="308"/>
      <c r="G996" s="598"/>
      <c r="H996" s="422"/>
      <c r="I996" s="422"/>
    </row>
    <row r="997" spans="1:9" ht="12.9">
      <c r="A997" s="373"/>
      <c r="B997" s="1448" t="s">
        <v>136</v>
      </c>
      <c r="C997" s="336"/>
      <c r="D997" s="1577" t="s">
        <v>2058</v>
      </c>
      <c r="E997" s="1565"/>
      <c r="F997" s="1565"/>
      <c r="G997" s="598"/>
      <c r="H997" s="422"/>
      <c r="I997" s="422"/>
    </row>
    <row r="998" spans="1:9" ht="12.9">
      <c r="A998" s="373"/>
      <c r="B998" s="373"/>
      <c r="C998" s="336"/>
      <c r="D998" s="1577"/>
      <c r="E998" s="1565"/>
      <c r="F998" s="1565"/>
      <c r="G998" s="598"/>
      <c r="H998" s="422"/>
      <c r="I998" s="422"/>
    </row>
    <row r="999" spans="1:9" ht="12.9">
      <c r="A999" s="373"/>
      <c r="B999" s="373"/>
      <c r="C999" s="336"/>
      <c r="D999" s="1577"/>
      <c r="E999" s="1565"/>
      <c r="F999" s="1565"/>
      <c r="G999" s="598"/>
      <c r="H999" s="422"/>
      <c r="I999" s="422"/>
    </row>
    <row r="1000" spans="1:9" ht="12.9">
      <c r="A1000" s="373"/>
      <c r="B1000" s="373"/>
      <c r="C1000" s="336"/>
      <c r="D1000" s="1565"/>
      <c r="E1000" s="1565"/>
      <c r="F1000" s="1565"/>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2" t="s">
        <v>1261</v>
      </c>
      <c r="E1002" s="1482"/>
      <c r="F1002" s="1482"/>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2" t="s">
        <v>1262</v>
      </c>
      <c r="E1004" s="1482"/>
      <c r="F1004" s="1482"/>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98" t="s">
        <v>1691</v>
      </c>
      <c r="E1006" s="1498"/>
      <c r="F1006" s="1498"/>
      <c r="G1006" s="598"/>
      <c r="H1006" s="422"/>
      <c r="I1006" s="422"/>
    </row>
    <row r="1007" spans="1:9" ht="12.9">
      <c r="A1007" s="373"/>
      <c r="B1007" s="14"/>
      <c r="C1007" s="336"/>
      <c r="D1007" s="1066"/>
      <c r="E1007" s="308"/>
      <c r="F1007" s="308"/>
      <c r="G1007" s="598"/>
      <c r="H1007" s="422"/>
      <c r="I1007" s="422"/>
    </row>
    <row r="1008" spans="1:9" ht="14">
      <c r="A1008" s="431"/>
      <c r="B1008" s="1448" t="s">
        <v>136</v>
      </c>
      <c r="C1008" s="336"/>
      <c r="D1008" s="1513" t="s">
        <v>1893</v>
      </c>
      <c r="E1008" s="1513"/>
      <c r="F1008" s="1513"/>
      <c r="G1008" s="598"/>
      <c r="H1008" s="422"/>
      <c r="I1008" s="422"/>
    </row>
    <row r="1009" spans="1:9" ht="12.9">
      <c r="A1009" s="373"/>
      <c r="B1009" s="373"/>
      <c r="C1009" s="336"/>
      <c r="D1009" s="1513"/>
      <c r="E1009" s="1513"/>
      <c r="F1009" s="1513"/>
      <c r="G1009" s="598"/>
      <c r="H1009" s="422"/>
      <c r="I1009" s="422"/>
    </row>
    <row r="1010" spans="1:9" ht="12.9">
      <c r="A1010" s="373"/>
      <c r="B1010" s="373"/>
      <c r="C1010" s="336"/>
      <c r="D1010" s="1513"/>
      <c r="E1010" s="1513"/>
      <c r="F1010" s="1513"/>
      <c r="G1010" s="598"/>
      <c r="H1010" s="422"/>
      <c r="I1010" s="422"/>
    </row>
    <row r="1011" spans="1:9" ht="12.9">
      <c r="A1011" s="373"/>
      <c r="B1011" s="373"/>
      <c r="C1011" s="336"/>
      <c r="D1011" s="1513"/>
      <c r="E1011" s="1513"/>
      <c r="F1011" s="1513"/>
      <c r="G1011" s="598"/>
      <c r="H1011" s="422"/>
      <c r="I1011" s="422"/>
    </row>
    <row r="1012" spans="1:9" ht="12.9">
      <c r="A1012" s="373"/>
      <c r="B1012" s="373"/>
      <c r="C1012" s="336"/>
      <c r="D1012" s="1513"/>
      <c r="E1012" s="1513"/>
      <c r="F1012" s="1513"/>
      <c r="G1012" s="598"/>
      <c r="H1012" s="422"/>
      <c r="I1012" s="422"/>
    </row>
    <row r="1013" spans="1:9" ht="12.9">
      <c r="A1013" s="373"/>
      <c r="B1013" s="373"/>
      <c r="C1013" s="336"/>
      <c r="E1013" s="294"/>
      <c r="F1013" s="294"/>
      <c r="G1013" s="598"/>
      <c r="H1013" s="422"/>
      <c r="I1013" s="422"/>
    </row>
    <row r="1014" spans="1:9" ht="14">
      <c r="A1014" s="431"/>
      <c r="B1014" s="1448" t="s">
        <v>136</v>
      </c>
      <c r="C1014" s="336"/>
      <c r="D1014" s="1513" t="s">
        <v>1894</v>
      </c>
      <c r="E1014" s="1513"/>
      <c r="F1014" s="1513"/>
      <c r="G1014" s="598"/>
      <c r="H1014" s="422"/>
      <c r="I1014" s="422"/>
    </row>
    <row r="1015" spans="1:9" ht="12.9">
      <c r="A1015" s="373"/>
      <c r="B1015" s="373"/>
      <c r="C1015" s="336"/>
      <c r="D1015" s="1513"/>
      <c r="E1015" s="1513"/>
      <c r="F1015" s="1513"/>
      <c r="G1015" s="598"/>
      <c r="H1015" s="422"/>
      <c r="I1015" s="422"/>
    </row>
    <row r="1016" spans="1:9" ht="12.9">
      <c r="A1016" s="373"/>
      <c r="B1016" s="373"/>
      <c r="C1016" s="336"/>
      <c r="D1016" s="1513"/>
      <c r="E1016" s="1513"/>
      <c r="F1016" s="1513"/>
      <c r="G1016" s="598"/>
      <c r="H1016" s="422"/>
      <c r="I1016" s="422"/>
    </row>
    <row r="1017" spans="1:9" ht="12.9">
      <c r="A1017" s="373"/>
      <c r="B1017" s="373"/>
      <c r="C1017" s="336"/>
      <c r="D1017" s="1513"/>
      <c r="E1017" s="1513"/>
      <c r="F1017" s="1513"/>
      <c r="G1017" s="598"/>
      <c r="H1017" s="422"/>
      <c r="I1017" s="422"/>
    </row>
    <row r="1018" spans="1:9" ht="12.9">
      <c r="A1018" s="373"/>
      <c r="B1018" s="373"/>
      <c r="C1018" s="336"/>
      <c r="D1018" s="1513"/>
      <c r="E1018" s="1513"/>
      <c r="F1018" s="1513"/>
      <c r="G1018" s="598"/>
      <c r="H1018" s="422"/>
      <c r="I1018" s="422"/>
    </row>
    <row r="1019" spans="1:9" ht="12.9">
      <c r="A1019" s="373"/>
      <c r="B1019" s="373"/>
      <c r="C1019" s="336"/>
      <c r="D1019" s="308"/>
      <c r="E1019" s="308"/>
      <c r="F1019" s="308"/>
      <c r="G1019" s="598"/>
      <c r="H1019" s="422"/>
      <c r="I1019" s="422"/>
    </row>
    <row r="1020" spans="1:9" ht="12.9">
      <c r="A1020" s="373"/>
      <c r="B1020" s="373"/>
      <c r="C1020" s="336"/>
      <c r="D1020" s="1498" t="s">
        <v>1692</v>
      </c>
      <c r="E1020" s="1498"/>
      <c r="F1020" s="1498"/>
      <c r="G1020" s="598"/>
      <c r="H1020" s="422"/>
      <c r="I1020" s="422"/>
    </row>
    <row r="1021" spans="1:9" ht="12.9">
      <c r="A1021" s="373"/>
      <c r="B1021" s="373"/>
      <c r="C1021" s="336"/>
      <c r="D1021" s="1066"/>
      <c r="E1021" s="308"/>
      <c r="F1021" s="308"/>
      <c r="G1021" s="598"/>
      <c r="H1021" s="422"/>
      <c r="I1021" s="422"/>
    </row>
    <row r="1022" spans="1:9" ht="14">
      <c r="A1022" s="431"/>
      <c r="B1022" s="1448" t="s">
        <v>136</v>
      </c>
      <c r="C1022" s="336"/>
      <c r="D1022" s="1513" t="s">
        <v>1900</v>
      </c>
      <c r="E1022" s="1513"/>
      <c r="F1022" s="1513"/>
      <c r="G1022" s="598"/>
      <c r="H1022" s="422"/>
      <c r="I1022" s="422"/>
    </row>
    <row r="1023" spans="1:9" ht="12.9">
      <c r="A1023" s="373"/>
      <c r="B1023" s="373"/>
      <c r="C1023" s="336"/>
      <c r="D1023" s="1513"/>
      <c r="E1023" s="1513"/>
      <c r="F1023" s="1513"/>
      <c r="G1023" s="598"/>
      <c r="H1023" s="422"/>
      <c r="I1023" s="422"/>
    </row>
    <row r="1024" spans="1:9" ht="12.9">
      <c r="A1024" s="373"/>
      <c r="B1024" s="373"/>
      <c r="C1024" s="336"/>
      <c r="D1024" s="1513"/>
      <c r="E1024" s="1513"/>
      <c r="F1024" s="1513"/>
      <c r="G1024" s="598"/>
      <c r="H1024" s="422"/>
      <c r="I1024" s="422"/>
    </row>
    <row r="1025" spans="1:9" ht="12.9">
      <c r="A1025" s="373"/>
      <c r="B1025" s="373"/>
      <c r="C1025" s="336"/>
      <c r="E1025" s="294"/>
      <c r="F1025" s="294"/>
      <c r="G1025" s="598"/>
      <c r="H1025" s="422"/>
      <c r="I1025" s="422"/>
    </row>
    <row r="1026" spans="1:9" ht="14">
      <c r="A1026" s="431"/>
      <c r="B1026" s="1448" t="s">
        <v>136</v>
      </c>
      <c r="C1026" s="336"/>
      <c r="D1026" s="1513" t="s">
        <v>1901</v>
      </c>
      <c r="E1026" s="1513"/>
      <c r="F1026" s="1513"/>
      <c r="G1026" s="598"/>
      <c r="H1026" s="422"/>
      <c r="I1026" s="422"/>
    </row>
    <row r="1027" spans="1:9" ht="12.9">
      <c r="A1027" s="373"/>
      <c r="B1027" s="373"/>
      <c r="C1027" s="336"/>
      <c r="D1027" s="1513"/>
      <c r="E1027" s="1513"/>
      <c r="F1027" s="1513"/>
      <c r="G1027" s="598"/>
      <c r="H1027" s="422"/>
      <c r="I1027" s="422"/>
    </row>
    <row r="1028" spans="1:9" ht="12.9">
      <c r="A1028" s="373"/>
      <c r="B1028" s="373"/>
      <c r="C1028" s="336"/>
      <c r="D1028" s="1513"/>
      <c r="E1028" s="1513"/>
      <c r="F1028" s="1513"/>
      <c r="G1028" s="598"/>
      <c r="H1028" s="422"/>
      <c r="I1028" s="422"/>
    </row>
    <row r="1029" spans="1:9" ht="12.9">
      <c r="A1029" s="373"/>
      <c r="B1029" s="373"/>
      <c r="C1029" s="336"/>
      <c r="D1029" s="299"/>
      <c r="E1029" s="308"/>
      <c r="F1029" s="308"/>
      <c r="G1029" s="598"/>
      <c r="H1029" s="422"/>
      <c r="I1029" s="422"/>
    </row>
    <row r="1030" spans="1:9" ht="12.9">
      <c r="A1030" s="373"/>
      <c r="B1030" s="373"/>
      <c r="C1030" s="336"/>
      <c r="D1030" s="1498" t="s">
        <v>1693</v>
      </c>
      <c r="E1030" s="1498"/>
      <c r="F1030" s="1498"/>
      <c r="G1030" s="598"/>
      <c r="H1030" s="422"/>
      <c r="I1030" s="422"/>
    </row>
    <row r="1031" spans="1:9" ht="12.9">
      <c r="A1031" s="373"/>
      <c r="B1031" s="373"/>
      <c r="C1031" s="336"/>
      <c r="D1031" s="1066"/>
      <c r="E1031" s="308"/>
      <c r="F1031" s="308"/>
      <c r="G1031" s="598"/>
      <c r="H1031" s="422"/>
      <c r="I1031" s="422"/>
    </row>
    <row r="1032" spans="1:9" ht="14.25" customHeight="1">
      <c r="A1032" s="431"/>
      <c r="B1032" s="1448" t="s">
        <v>136</v>
      </c>
      <c r="C1032" s="336"/>
      <c r="D1032" s="1526" t="s">
        <v>1903</v>
      </c>
      <c r="E1032" s="1526"/>
      <c r="F1032" s="1526"/>
      <c r="G1032" s="495"/>
      <c r="H1032" s="498"/>
      <c r="I1032" s="498"/>
    </row>
    <row r="1033" spans="1:9" ht="12.9">
      <c r="A1033" s="373"/>
      <c r="B1033" s="373"/>
      <c r="C1033" s="336"/>
      <c r="D1033" s="1526"/>
      <c r="E1033" s="1526"/>
      <c r="F1033" s="1526"/>
      <c r="G1033" s="495"/>
      <c r="H1033" s="498"/>
      <c r="I1033" s="498"/>
    </row>
    <row r="1034" spans="1:9" ht="12.9">
      <c r="A1034" s="373"/>
      <c r="B1034" s="373"/>
      <c r="C1034" s="336"/>
      <c r="D1034" s="1526"/>
      <c r="E1034" s="1526"/>
      <c r="F1034" s="1526"/>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526" t="s">
        <v>1902</v>
      </c>
      <c r="E1036" s="1526"/>
      <c r="F1036" s="1526"/>
      <c r="G1036" s="498"/>
      <c r="H1036" s="422"/>
      <c r="I1036" s="422"/>
    </row>
    <row r="1037" spans="1:9" ht="12.9">
      <c r="A1037" s="373"/>
      <c r="B1037" s="373"/>
      <c r="C1037" s="336"/>
      <c r="D1037" s="1526"/>
      <c r="E1037" s="1526"/>
      <c r="F1037" s="1526"/>
      <c r="G1037" s="498"/>
      <c r="H1037" s="422"/>
      <c r="I1037" s="422"/>
    </row>
    <row r="1038" spans="1:9" ht="12.9">
      <c r="A1038" s="373"/>
      <c r="B1038" s="373"/>
      <c r="C1038" s="336"/>
      <c r="D1038" s="1526"/>
      <c r="E1038" s="1526"/>
      <c r="F1038" s="1526"/>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578" t="s">
        <v>1904</v>
      </c>
      <c r="E1040" s="1578"/>
      <c r="F1040" s="1578"/>
      <c r="G1040" s="590"/>
      <c r="H1040" s="422"/>
      <c r="I1040" s="422"/>
    </row>
    <row r="1041" spans="1:9" ht="12.9">
      <c r="A1041" s="373"/>
      <c r="B1041" s="373"/>
      <c r="C1041" s="336"/>
      <c r="D1041" s="1578"/>
      <c r="E1041" s="1578"/>
      <c r="F1041" s="1578"/>
      <c r="G1041" s="590"/>
      <c r="H1041" s="422"/>
      <c r="I1041" s="422"/>
    </row>
    <row r="1042" spans="1:9" ht="12.9">
      <c r="A1042" s="373"/>
      <c r="B1042" s="373"/>
      <c r="C1042" s="336"/>
      <c r="D1042" s="1578"/>
      <c r="E1042" s="1578"/>
      <c r="F1042" s="1578"/>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526" t="s">
        <v>1905</v>
      </c>
      <c r="E1044" s="1526"/>
      <c r="F1044" s="1526"/>
      <c r="G1044" s="590"/>
      <c r="H1044" s="590"/>
      <c r="I1044" s="590"/>
    </row>
    <row r="1045" spans="1:9" ht="12.9">
      <c r="A1045" s="373"/>
      <c r="B1045" s="373"/>
      <c r="C1045" s="336"/>
      <c r="D1045" s="1526"/>
      <c r="E1045" s="1526"/>
      <c r="F1045" s="1526"/>
      <c r="G1045" s="590"/>
      <c r="H1045" s="590"/>
      <c r="I1045" s="590"/>
    </row>
    <row r="1046" spans="1:9" ht="12.9">
      <c r="A1046" s="373"/>
      <c r="B1046" s="373"/>
      <c r="C1046" s="336"/>
      <c r="D1046" s="1526"/>
      <c r="E1046" s="1526"/>
      <c r="F1046" s="1526"/>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526" t="s">
        <v>1906</v>
      </c>
      <c r="E1048" s="1526"/>
      <c r="F1048" s="1526"/>
      <c r="G1048" s="590"/>
      <c r="H1048" s="590"/>
      <c r="I1048" s="590"/>
    </row>
    <row r="1049" spans="1:9" ht="12.9">
      <c r="A1049" s="373"/>
      <c r="B1049" s="373"/>
      <c r="C1049" s="336"/>
      <c r="D1049" s="1526"/>
      <c r="E1049" s="1526"/>
      <c r="F1049" s="1526"/>
      <c r="G1049" s="590"/>
      <c r="H1049" s="590"/>
      <c r="I1049" s="590"/>
    </row>
    <row r="1050" spans="1:9" ht="12.9">
      <c r="A1050" s="373"/>
      <c r="B1050" s="373"/>
      <c r="C1050" s="336"/>
      <c r="D1050" s="1526"/>
      <c r="E1050" s="1526"/>
      <c r="F1050" s="1526"/>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526" t="s">
        <v>1694</v>
      </c>
      <c r="E1052" s="1526"/>
      <c r="F1052" s="1526"/>
      <c r="G1052" s="495"/>
      <c r="H1052" s="422"/>
      <c r="I1052" s="422"/>
    </row>
    <row r="1053" spans="1:9" ht="12.9">
      <c r="A1053" s="373"/>
      <c r="B1053" s="373"/>
      <c r="C1053" s="336"/>
      <c r="D1053" s="1526"/>
      <c r="E1053" s="1526"/>
      <c r="F1053" s="1526"/>
      <c r="G1053" s="495"/>
      <c r="H1053" s="422"/>
      <c r="I1053" s="422"/>
    </row>
    <row r="1054" spans="1:9" ht="12.9">
      <c r="A1054" s="373"/>
      <c r="B1054" s="373"/>
      <c r="C1054" s="336"/>
      <c r="D1054" s="1526"/>
      <c r="E1054" s="1526"/>
      <c r="F1054" s="1526"/>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526" t="s">
        <v>1695</v>
      </c>
      <c r="E1056" s="1526"/>
      <c r="F1056" s="1526"/>
      <c r="G1056" s="495"/>
      <c r="H1056" s="422"/>
      <c r="I1056" s="422"/>
    </row>
    <row r="1057" spans="1:9" ht="12.9">
      <c r="A1057" s="373"/>
      <c r="B1057" s="373"/>
      <c r="C1057" s="336"/>
      <c r="D1057" s="1526"/>
      <c r="E1057" s="1526"/>
      <c r="F1057" s="1526"/>
      <c r="G1057" s="495"/>
      <c r="H1057" s="422"/>
      <c r="I1057" s="422"/>
    </row>
    <row r="1058" spans="1:9" ht="12.9">
      <c r="A1058" s="373"/>
      <c r="B1058" s="373"/>
      <c r="C1058" s="336"/>
      <c r="D1058" s="1526"/>
      <c r="E1058" s="1526"/>
      <c r="F1058" s="1526"/>
      <c r="G1058" s="495"/>
      <c r="H1058" s="422"/>
      <c r="I1058" s="422"/>
    </row>
    <row r="1059" spans="1:9" ht="12.9">
      <c r="A1059" s="373"/>
      <c r="B1059" s="373"/>
      <c r="C1059" s="336"/>
      <c r="D1059" s="501"/>
      <c r="E1059" s="501"/>
      <c r="F1059" s="501"/>
      <c r="G1059" s="531"/>
      <c r="H1059" s="422"/>
      <c r="I1059" s="422"/>
    </row>
    <row r="1060" spans="1:9" ht="12.8" customHeight="1">
      <c r="A1060" s="605"/>
      <c r="B1060" s="1448" t="s">
        <v>136</v>
      </c>
      <c r="C1060" s="423"/>
      <c r="D1060" s="1527" t="s">
        <v>1273</v>
      </c>
      <c r="E1060" s="1527"/>
      <c r="F1060" s="1527"/>
      <c r="G1060" s="998"/>
      <c r="H1060" s="422"/>
      <c r="I1060" s="422"/>
    </row>
    <row r="1061" spans="1:9" ht="12.9">
      <c r="A1061" s="605"/>
      <c r="B1061" s="605"/>
      <c r="C1061" s="423"/>
      <c r="D1061" s="1527"/>
      <c r="E1061" s="1527"/>
      <c r="F1061" s="1527"/>
      <c r="G1061" s="998"/>
      <c r="H1061" s="422"/>
      <c r="I1061" s="422"/>
    </row>
    <row r="1062" spans="1:9" ht="12.9">
      <c r="A1062" s="605"/>
      <c r="B1062" s="605"/>
      <c r="C1062" s="423"/>
      <c r="D1062" s="1527"/>
      <c r="E1062" s="1527"/>
      <c r="F1062" s="1527"/>
      <c r="G1062" s="998"/>
      <c r="H1062" s="422"/>
      <c r="I1062" s="422"/>
    </row>
    <row r="1063" spans="1:9" ht="12.9">
      <c r="A1063" s="605"/>
      <c r="B1063" s="605"/>
      <c r="C1063" s="423"/>
      <c r="D1063" s="1527"/>
      <c r="E1063" s="1527"/>
      <c r="F1063" s="1527"/>
      <c r="G1063" s="998"/>
      <c r="H1063" s="422"/>
      <c r="I1063" s="422"/>
    </row>
    <row r="1064" spans="1:9" ht="12.9">
      <c r="A1064" s="605"/>
      <c r="B1064" s="605"/>
      <c r="C1064" s="423"/>
      <c r="D1064" s="1527"/>
      <c r="E1064" s="1527"/>
      <c r="F1064" s="1527"/>
      <c r="G1064" s="998"/>
      <c r="H1064" s="422"/>
      <c r="I1064" s="422"/>
    </row>
    <row r="1065" spans="1:9" ht="12.9">
      <c r="A1065" s="605"/>
      <c r="B1065" s="605"/>
      <c r="C1065" s="423"/>
      <c r="D1065" s="1527"/>
      <c r="E1065" s="1527"/>
      <c r="F1065" s="1527"/>
      <c r="G1065" s="998"/>
      <c r="H1065" s="422"/>
      <c r="I1065" s="422"/>
    </row>
    <row r="1066" spans="1:9" ht="12.9">
      <c r="A1066" s="605"/>
      <c r="B1066" s="605"/>
      <c r="C1066" s="423"/>
      <c r="D1066" s="1527"/>
      <c r="E1066" s="1527"/>
      <c r="F1066" s="1527"/>
      <c r="G1066" s="998"/>
      <c r="H1066" s="422"/>
      <c r="I1066" s="422"/>
    </row>
    <row r="1067" spans="1:9" ht="12.9">
      <c r="A1067" s="605"/>
      <c r="B1067" s="605"/>
      <c r="C1067" s="423"/>
      <c r="D1067" s="1527"/>
      <c r="E1067" s="1527"/>
      <c r="F1067" s="1527"/>
      <c r="G1067" s="998"/>
      <c r="H1067" s="422"/>
      <c r="I1067" s="422"/>
    </row>
    <row r="1068" spans="1:9" ht="12.9">
      <c r="A1068" s="605"/>
      <c r="B1068" s="605"/>
      <c r="C1068" s="423"/>
      <c r="D1068" s="1527"/>
      <c r="E1068" s="1527"/>
      <c r="F1068" s="1527"/>
      <c r="G1068" s="998"/>
      <c r="H1068" s="422"/>
      <c r="I1068" s="422"/>
    </row>
    <row r="1069" spans="1:9" ht="12.9">
      <c r="A1069" s="605"/>
      <c r="B1069" s="605"/>
      <c r="C1069" s="423"/>
      <c r="D1069" s="1527"/>
      <c r="E1069" s="1527"/>
      <c r="F1069" s="1527"/>
      <c r="G1069" s="998"/>
      <c r="H1069" s="422"/>
      <c r="I1069" s="422"/>
    </row>
    <row r="1070" spans="1:9" ht="27.55" customHeight="1">
      <c r="A1070" s="605"/>
      <c r="B1070" s="605"/>
      <c r="C1070" s="423"/>
      <c r="D1070" s="1527"/>
      <c r="E1070" s="1527"/>
      <c r="F1070" s="1527"/>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98" t="s">
        <v>1696</v>
      </c>
      <c r="E1072" s="1498"/>
      <c r="F1072" s="1498"/>
      <c r="G1072" s="692"/>
      <c r="H1072" s="422"/>
      <c r="I1072" s="422"/>
    </row>
    <row r="1073" spans="1:9" ht="12.8" customHeight="1">
      <c r="A1073" s="373"/>
      <c r="B1073" s="373"/>
      <c r="C1073" s="336"/>
      <c r="D1073" s="1066"/>
      <c r="E1073" s="1063"/>
      <c r="F1073" s="1063"/>
      <c r="G1073" s="692"/>
      <c r="H1073" s="422"/>
      <c r="I1073" s="422"/>
    </row>
    <row r="1074" spans="1:9" ht="14">
      <c r="A1074" s="431"/>
      <c r="B1074" s="1448" t="s">
        <v>136</v>
      </c>
      <c r="C1074" s="336"/>
      <c r="D1074" s="1485" t="s">
        <v>1907</v>
      </c>
      <c r="E1074" s="1485"/>
      <c r="F1074" s="1485"/>
      <c r="G1074" s="598"/>
      <c r="H1074" s="422"/>
      <c r="I1074" s="422"/>
    </row>
    <row r="1075" spans="1:9" ht="12.9">
      <c r="A1075" s="373"/>
      <c r="B1075" s="373"/>
      <c r="C1075" s="336"/>
      <c r="D1075" s="1485"/>
      <c r="E1075" s="1485"/>
      <c r="F1075" s="1485"/>
      <c r="G1075" s="598"/>
      <c r="H1075" s="422"/>
      <c r="I1075" s="422"/>
    </row>
    <row r="1076" spans="1:9" ht="12.9">
      <c r="A1076" s="373"/>
      <c r="B1076" s="373"/>
      <c r="C1076" s="336"/>
      <c r="D1076" s="1485"/>
      <c r="E1076" s="1485"/>
      <c r="F1076" s="1485"/>
      <c r="G1076" s="598"/>
      <c r="H1076" s="422"/>
      <c r="I1076" s="422"/>
    </row>
    <row r="1077" spans="1:9" ht="12.9">
      <c r="A1077" s="373"/>
      <c r="B1077" s="373"/>
      <c r="C1077" s="336"/>
      <c r="D1077" s="1485"/>
      <c r="E1077" s="1485"/>
      <c r="F1077" s="1485"/>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85" t="s">
        <v>1908</v>
      </c>
      <c r="E1079" s="1485"/>
      <c r="F1079" s="1485"/>
      <c r="G1079" s="598"/>
      <c r="H1079" s="422"/>
      <c r="I1079" s="422"/>
    </row>
    <row r="1080" spans="1:9" ht="12.9">
      <c r="A1080" s="373"/>
      <c r="B1080" s="373"/>
      <c r="C1080" s="336"/>
      <c r="D1080" s="1485"/>
      <c r="E1080" s="1485"/>
      <c r="F1080" s="1485"/>
      <c r="G1080" s="598"/>
      <c r="H1080" s="422"/>
      <c r="I1080" s="422"/>
    </row>
    <row r="1081" spans="1:9" ht="12.9">
      <c r="A1081" s="373"/>
      <c r="B1081" s="373"/>
      <c r="C1081" s="336"/>
      <c r="D1081" s="1485"/>
      <c r="E1081" s="1485"/>
      <c r="F1081" s="1485"/>
      <c r="G1081" s="598"/>
      <c r="H1081" s="422"/>
      <c r="I1081" s="422"/>
    </row>
    <row r="1082" spans="1:9" ht="12.9">
      <c r="A1082" s="373"/>
      <c r="B1082" s="373"/>
      <c r="C1082" s="336"/>
      <c r="D1082" s="1485"/>
      <c r="E1082" s="1485"/>
      <c r="F1082" s="1485"/>
      <c r="G1082" s="598"/>
      <c r="H1082" s="422"/>
      <c r="I1082" s="422"/>
    </row>
    <row r="1083" spans="1:9" ht="12.9">
      <c r="A1083" s="373"/>
      <c r="B1083" s="373"/>
      <c r="C1083" s="336"/>
      <c r="D1083" s="308"/>
      <c r="E1083" s="308"/>
      <c r="F1083" s="308"/>
      <c r="G1083" s="598"/>
    </row>
    <row r="1084" spans="1:9" ht="12.9">
      <c r="A1084" s="373"/>
      <c r="B1084" s="1448" t="s">
        <v>136</v>
      </c>
      <c r="C1084" s="336"/>
      <c r="D1084" s="1544" t="s">
        <v>1909</v>
      </c>
      <c r="E1084" s="1544"/>
      <c r="F1084" s="1544"/>
      <c r="G1084" s="598"/>
    </row>
    <row r="1085" spans="1:9" ht="12.9">
      <c r="A1085" s="373"/>
      <c r="B1085" s="373"/>
      <c r="C1085" s="336"/>
      <c r="D1085" s="1544"/>
      <c r="E1085" s="1544"/>
      <c r="F1085" s="1544"/>
      <c r="G1085" s="598"/>
    </row>
    <row r="1086" spans="1:9" ht="12.9">
      <c r="A1086" s="373"/>
      <c r="B1086" s="373"/>
      <c r="C1086" s="336"/>
      <c r="D1086" s="1544"/>
      <c r="E1086" s="1544"/>
      <c r="F1086" s="1544"/>
      <c r="G1086" s="598"/>
    </row>
    <row r="1087" spans="1:9" ht="12.9">
      <c r="A1087" s="373"/>
      <c r="B1087" s="373"/>
      <c r="C1087" s="336"/>
      <c r="D1087" s="308"/>
      <c r="E1087" s="308"/>
      <c r="F1087" s="308"/>
      <c r="G1087" s="598"/>
    </row>
    <row r="1088" spans="1:9" ht="14">
      <c r="A1088" s="431"/>
      <c r="B1088" s="1448" t="s">
        <v>136</v>
      </c>
      <c r="C1088" s="708"/>
      <c r="D1088" s="1545" t="s">
        <v>1910</v>
      </c>
      <c r="E1088" s="1545"/>
      <c r="F1088" s="1545"/>
      <c r="G1088" s="746"/>
    </row>
    <row r="1089" spans="1:7" ht="12.9">
      <c r="A1089" s="707"/>
      <c r="B1089" s="707"/>
      <c r="C1089" s="708"/>
      <c r="D1089" s="1545"/>
      <c r="E1089" s="1545"/>
      <c r="F1089" s="1545"/>
      <c r="G1089" s="746"/>
    </row>
    <row r="1090" spans="1:7" ht="12.9">
      <c r="A1090" s="707"/>
      <c r="B1090" s="707"/>
      <c r="C1090" s="708"/>
      <c r="D1090" s="1545"/>
      <c r="E1090" s="1545"/>
      <c r="F1090" s="1545"/>
      <c r="G1090" s="746"/>
    </row>
    <row r="1091" spans="1:7" ht="12.9">
      <c r="A1091" s="373"/>
      <c r="B1091" s="373"/>
      <c r="C1091" s="336"/>
      <c r="D1091" s="308"/>
      <c r="E1091" s="308"/>
      <c r="F1091" s="308"/>
      <c r="G1091" s="598"/>
    </row>
    <row r="1092" spans="1:7" ht="12.9">
      <c r="A1092" s="14"/>
      <c r="B1092" s="14"/>
      <c r="C1092" s="336"/>
      <c r="D1092" s="1498" t="s">
        <v>1697</v>
      </c>
      <c r="E1092" s="1498"/>
      <c r="F1092" s="1498"/>
      <c r="G1092" s="598"/>
    </row>
    <row r="1093" spans="1:7" ht="12.9">
      <c r="A1093" s="14"/>
      <c r="B1093" s="14"/>
      <c r="C1093" s="336"/>
      <c r="D1093" s="1066"/>
      <c r="E1093" s="308"/>
      <c r="F1093" s="308"/>
      <c r="G1093" s="598"/>
    </row>
    <row r="1094" spans="1:7" ht="12.9">
      <c r="A1094" s="373"/>
      <c r="B1094" s="1448" t="s">
        <v>136</v>
      </c>
      <c r="C1094" s="336"/>
      <c r="D1094" s="1513" t="s">
        <v>1911</v>
      </c>
      <c r="E1094" s="1513"/>
      <c r="F1094" s="1513"/>
      <c r="G1094" s="598"/>
    </row>
    <row r="1095" spans="1:7" ht="12.9">
      <c r="A1095" s="373"/>
      <c r="B1095" s="373"/>
      <c r="C1095" s="336"/>
      <c r="D1095" s="1513"/>
      <c r="E1095" s="1513"/>
      <c r="F1095" s="1513"/>
      <c r="G1095" s="598"/>
    </row>
    <row r="1096" spans="1:7" ht="12.9">
      <c r="A1096" s="373"/>
      <c r="B1096" s="373"/>
      <c r="C1096" s="336"/>
      <c r="D1096" s="1513"/>
      <c r="E1096" s="1513"/>
      <c r="F1096" s="1513"/>
      <c r="G1096" s="598"/>
    </row>
    <row r="1097" spans="1:7" ht="12.9">
      <c r="A1097" s="373"/>
      <c r="B1097" s="373"/>
      <c r="C1097" s="336"/>
      <c r="D1097" s="598"/>
      <c r="E1097" s="308"/>
      <c r="F1097" s="308"/>
      <c r="G1097" s="598"/>
    </row>
    <row r="1098" spans="1:7" ht="14">
      <c r="A1098" s="431"/>
      <c r="B1098" s="1448" t="s">
        <v>136</v>
      </c>
      <c r="C1098" s="336"/>
      <c r="D1098" s="1513" t="s">
        <v>1912</v>
      </c>
      <c r="E1098" s="1513"/>
      <c r="F1098" s="1513"/>
      <c r="G1098" s="598"/>
    </row>
    <row r="1099" spans="1:7" ht="12.9">
      <c r="A1099" s="373"/>
      <c r="B1099" s="373"/>
      <c r="C1099" s="336"/>
      <c r="D1099" s="1513"/>
      <c r="E1099" s="1513"/>
      <c r="F1099" s="1513"/>
      <c r="G1099" s="598"/>
    </row>
    <row r="1100" spans="1:7" ht="12.9">
      <c r="A1100" s="373"/>
      <c r="B1100" s="373"/>
      <c r="C1100" s="336"/>
      <c r="D1100" s="1513"/>
      <c r="E1100" s="1513"/>
      <c r="F1100" s="1513"/>
      <c r="G1100" s="598"/>
    </row>
    <row r="1101" spans="1:7" ht="12.9">
      <c r="A1101" s="373"/>
      <c r="B1101" s="373"/>
      <c r="C1101" s="336"/>
      <c r="D1101" s="308"/>
      <c r="E1101" s="308"/>
      <c r="F1101" s="308"/>
      <c r="G1101" s="598"/>
    </row>
    <row r="1102" spans="1:7" ht="12.9">
      <c r="A1102" s="373"/>
      <c r="B1102" s="373"/>
      <c r="C1102" s="336"/>
      <c r="D1102" s="1498" t="s">
        <v>1263</v>
      </c>
      <c r="E1102" s="1498"/>
      <c r="F1102" s="1498"/>
      <c r="G1102" s="598"/>
    </row>
    <row r="1103" spans="1:7" ht="12.9">
      <c r="A1103" s="373"/>
      <c r="B1103" s="373"/>
      <c r="C1103" s="336"/>
      <c r="D1103" s="1482" t="s">
        <v>1698</v>
      </c>
      <c r="E1103" s="1482"/>
      <c r="F1103" s="1482"/>
      <c r="G1103" s="598"/>
    </row>
    <row r="1104" spans="1:7" ht="12.9">
      <c r="A1104" s="373"/>
      <c r="B1104" s="373"/>
      <c r="C1104" s="336"/>
      <c r="D1104" s="1067"/>
      <c r="E1104" s="308"/>
      <c r="F1104" s="308"/>
      <c r="G1104" s="598"/>
    </row>
    <row r="1105" spans="1:7" ht="14">
      <c r="A1105" s="431"/>
      <c r="B1105" s="1448" t="s">
        <v>136</v>
      </c>
      <c r="C1105" s="336"/>
      <c r="D1105" s="1485" t="s">
        <v>1913</v>
      </c>
      <c r="E1105" s="1485"/>
      <c r="F1105" s="1485"/>
      <c r="G1105" s="598"/>
    </row>
    <row r="1106" spans="1:7" ht="12.9">
      <c r="A1106" s="373"/>
      <c r="B1106" s="373"/>
      <c r="C1106" s="336"/>
      <c r="D1106" s="1485"/>
      <c r="E1106" s="1485"/>
      <c r="F1106" s="1485"/>
      <c r="G1106" s="598"/>
    </row>
    <row r="1107" spans="1:7" ht="12.9">
      <c r="A1107" s="373"/>
      <c r="B1107" s="373"/>
      <c r="C1107" s="336"/>
      <c r="D1107" s="308"/>
      <c r="E1107" s="308"/>
      <c r="F1107" s="308"/>
      <c r="G1107" s="598"/>
    </row>
    <row r="1108" spans="1:7" ht="14">
      <c r="A1108" s="431"/>
      <c r="B1108" s="1448" t="s">
        <v>136</v>
      </c>
      <c r="C1108" s="336"/>
      <c r="D1108" s="1485" t="s">
        <v>1914</v>
      </c>
      <c r="E1108" s="1485"/>
      <c r="F1108" s="1485"/>
      <c r="G1108" s="598"/>
    </row>
    <row r="1109" spans="1:7" ht="12.9">
      <c r="A1109" s="373"/>
      <c r="B1109" s="373"/>
      <c r="C1109" s="336"/>
      <c r="D1109" s="1485"/>
      <c r="E1109" s="1485"/>
      <c r="F1109" s="1485"/>
      <c r="G1109" s="598"/>
    </row>
    <row r="1110" spans="1:7" ht="12.9">
      <c r="A1110" s="373"/>
      <c r="B1110" s="373"/>
      <c r="C1110" s="336"/>
      <c r="D1110" s="294"/>
      <c r="E1110" s="308"/>
      <c r="F1110" s="308"/>
      <c r="G1110" s="598"/>
    </row>
    <row r="1111" spans="1:7" ht="12.9">
      <c r="A1111" s="373"/>
      <c r="B1111" s="373"/>
      <c r="C1111" s="336"/>
      <c r="D1111" s="1498" t="s">
        <v>1699</v>
      </c>
      <c r="E1111" s="1498"/>
      <c r="F1111" s="1498"/>
      <c r="G1111" s="598"/>
    </row>
    <row r="1112" spans="1:7" ht="12.9">
      <c r="A1112" s="373"/>
      <c r="B1112" s="373"/>
      <c r="C1112" s="336"/>
      <c r="D1112" s="1066"/>
      <c r="E1112" s="308"/>
      <c r="F1112" s="308"/>
      <c r="G1112" s="598"/>
    </row>
    <row r="1113" spans="1:7" ht="14">
      <c r="A1113" s="431"/>
      <c r="B1113" s="1448" t="s">
        <v>136</v>
      </c>
      <c r="C1113" s="336"/>
      <c r="D1113" s="1485" t="s">
        <v>1915</v>
      </c>
      <c r="E1113" s="1485"/>
      <c r="F1113" s="1485"/>
      <c r="G1113" s="598"/>
    </row>
    <row r="1114" spans="1:7" ht="12.9">
      <c r="A1114" s="373"/>
      <c r="B1114" s="373"/>
      <c r="C1114" s="336"/>
      <c r="D1114" s="1485"/>
      <c r="E1114" s="1485"/>
      <c r="F1114" s="1485"/>
      <c r="G1114" s="598"/>
    </row>
    <row r="1115" spans="1:7" ht="12.9">
      <c r="A1115" s="373"/>
      <c r="B1115" s="373"/>
      <c r="C1115" s="336"/>
      <c r="D1115" s="1485"/>
      <c r="E1115" s="1485"/>
      <c r="F1115" s="1485"/>
      <c r="G1115" s="598"/>
    </row>
    <row r="1116" spans="1:7" ht="12.9">
      <c r="A1116" s="373"/>
      <c r="B1116" s="373"/>
      <c r="C1116" s="336"/>
      <c r="D1116" s="1485"/>
      <c r="E1116" s="1485"/>
      <c r="F1116" s="1485"/>
      <c r="G1116" s="598"/>
    </row>
    <row r="1117" spans="1:7" ht="12.9">
      <c r="A1117" s="373"/>
      <c r="B1117" s="373"/>
      <c r="C1117" s="336"/>
      <c r="D1117" s="1485"/>
      <c r="E1117" s="1485"/>
      <c r="F1117" s="1485"/>
      <c r="G1117" s="598"/>
    </row>
    <row r="1118" spans="1:7" ht="12.9">
      <c r="A1118" s="373"/>
      <c r="B1118" s="373"/>
      <c r="C1118" s="336"/>
      <c r="D1118" s="1485"/>
      <c r="E1118" s="1485"/>
      <c r="F1118" s="1485"/>
      <c r="G1118" s="598"/>
    </row>
    <row r="1119" spans="1:7" ht="12.9">
      <c r="A1119" s="373"/>
      <c r="B1119" s="373"/>
      <c r="C1119" s="336"/>
      <c r="D1119" s="1485"/>
      <c r="E1119" s="1485"/>
      <c r="F1119" s="1485"/>
      <c r="G1119" s="598"/>
    </row>
    <row r="1120" spans="1:7" ht="12.9">
      <c r="A1120" s="373"/>
      <c r="B1120" s="373"/>
      <c r="C1120" s="336"/>
      <c r="D1120" s="308"/>
      <c r="E1120" s="308"/>
      <c r="F1120" s="308"/>
      <c r="G1120" s="598"/>
    </row>
    <row r="1121" spans="1:7" ht="14">
      <c r="A1121" s="431"/>
      <c r="B1121" s="1448" t="s">
        <v>136</v>
      </c>
      <c r="C1121" s="336"/>
      <c r="D1121" s="1485" t="s">
        <v>1916</v>
      </c>
      <c r="E1121" s="1485"/>
      <c r="F1121" s="1485"/>
      <c r="G1121" s="598"/>
    </row>
    <row r="1122" spans="1:7" ht="12.9">
      <c r="A1122" s="373"/>
      <c r="B1122" s="373"/>
      <c r="C1122" s="336"/>
      <c r="D1122" s="1485"/>
      <c r="E1122" s="1485"/>
      <c r="F1122" s="1485"/>
      <c r="G1122" s="598"/>
    </row>
    <row r="1123" spans="1:7" ht="12.9">
      <c r="A1123" s="373"/>
      <c r="B1123" s="373"/>
      <c r="C1123" s="336"/>
      <c r="D1123" s="1485"/>
      <c r="E1123" s="1485"/>
      <c r="F1123" s="1485"/>
      <c r="G1123" s="598"/>
    </row>
    <row r="1124" spans="1:7" ht="12.9">
      <c r="A1124" s="373"/>
      <c r="B1124" s="373"/>
      <c r="C1124" s="336"/>
      <c r="D1124" s="1485"/>
      <c r="E1124" s="1485"/>
      <c r="F1124" s="1485"/>
      <c r="G1124" s="598"/>
    </row>
    <row r="1125" spans="1:7" ht="12.9">
      <c r="A1125" s="373"/>
      <c r="B1125" s="373"/>
      <c r="C1125" s="336"/>
      <c r="D1125" s="1485"/>
      <c r="E1125" s="1485"/>
      <c r="F1125" s="1485"/>
      <c r="G1125" s="598"/>
    </row>
    <row r="1126" spans="1:7" ht="12.9">
      <c r="A1126" s="373"/>
      <c r="B1126" s="373"/>
      <c r="C1126" s="336"/>
      <c r="D1126" s="1485"/>
      <c r="E1126" s="1485"/>
      <c r="F1126" s="1485"/>
      <c r="G1126" s="598"/>
    </row>
    <row r="1127" spans="1:7" ht="12.9">
      <c r="A1127" s="373"/>
      <c r="B1127" s="373"/>
      <c r="C1127" s="336"/>
      <c r="D1127" s="1485"/>
      <c r="E1127" s="1485"/>
      <c r="F1127" s="1485"/>
      <c r="G1127" s="598"/>
    </row>
    <row r="1128" spans="1:7" ht="12.9">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9">
      <c r="A1131" s="373"/>
      <c r="B1131" s="373"/>
      <c r="C1131" s="336"/>
      <c r="D1131" s="1544"/>
      <c r="E1131" s="1544"/>
      <c r="F1131" s="1544"/>
      <c r="G1131" s="598"/>
    </row>
    <row r="1132" spans="1:7" ht="12.9">
      <c r="A1132" s="373"/>
      <c r="B1132" s="373"/>
      <c r="C1132" s="336"/>
      <c r="D1132" s="1182"/>
      <c r="E1132" s="1182"/>
      <c r="F1132" s="1182"/>
      <c r="G1132" s="598"/>
    </row>
    <row r="1133" spans="1:7" ht="12.9">
      <c r="A1133" s="152"/>
      <c r="B1133" s="152"/>
      <c r="C1133" s="14"/>
      <c r="D1133" s="1498" t="s">
        <v>1700</v>
      </c>
      <c r="E1133" s="1498"/>
      <c r="F1133" s="1498"/>
    </row>
    <row r="1134" spans="1:7" ht="12.9">
      <c r="A1134" s="1070"/>
      <c r="B1134" s="1070"/>
      <c r="C1134" s="14"/>
      <c r="D1134" s="1066"/>
      <c r="E1134" s="294"/>
      <c r="F1134" s="294"/>
    </row>
    <row r="1135" spans="1:7" ht="14">
      <c r="A1135" s="431"/>
      <c r="B1135" s="1448" t="s">
        <v>136</v>
      </c>
      <c r="C1135" s="14"/>
      <c r="D1135" s="1513" t="s">
        <v>1917</v>
      </c>
      <c r="E1135" s="1513"/>
      <c r="F1135" s="1513"/>
    </row>
    <row r="1136" spans="1:7" ht="12.9">
      <c r="A1136" s="152"/>
      <c r="B1136" s="152"/>
      <c r="C1136" s="14"/>
      <c r="D1136" s="1513"/>
      <c r="E1136" s="1513"/>
      <c r="F1136" s="1513"/>
    </row>
    <row r="1137" spans="1:7" ht="12.9">
      <c r="A1137" s="152"/>
      <c r="B1137" s="152"/>
      <c r="C1137" s="14"/>
      <c r="E1137" s="294"/>
      <c r="F1137" s="294"/>
    </row>
    <row r="1138" spans="1:7" ht="14">
      <c r="A1138" s="431"/>
      <c r="B1138" s="1448" t="s">
        <v>136</v>
      </c>
      <c r="C1138" s="14"/>
      <c r="D1138" s="1513" t="s">
        <v>1918</v>
      </c>
      <c r="E1138" s="1513"/>
      <c r="F1138" s="1513"/>
    </row>
    <row r="1139" spans="1:7" ht="12.9">
      <c r="A1139" s="152"/>
      <c r="B1139" s="152"/>
      <c r="C1139" s="14"/>
      <c r="D1139" s="1513"/>
      <c r="E1139" s="1513"/>
      <c r="F1139" s="1513"/>
    </row>
    <row r="1140" spans="1:7" ht="12.9">
      <c r="A1140" s="152"/>
      <c r="B1140" s="152"/>
      <c r="C1140" s="14"/>
      <c r="D1140" s="294"/>
      <c r="E1140" s="294"/>
      <c r="F1140" s="294"/>
    </row>
    <row r="1141" spans="1:7" ht="12.9">
      <c r="A1141" s="152"/>
      <c r="B1141" s="152"/>
      <c r="C1141" s="14"/>
      <c r="D1141" s="1498" t="s">
        <v>1701</v>
      </c>
      <c r="E1141" s="1498"/>
      <c r="F1141" s="1498"/>
    </row>
    <row r="1142" spans="1:7" ht="12.9">
      <c r="A1142" s="1070"/>
      <c r="B1142" s="1070"/>
      <c r="C1142" s="14"/>
      <c r="D1142" s="1066"/>
      <c r="E1142" s="294"/>
      <c r="F1142" s="294"/>
    </row>
    <row r="1143" spans="1:7" ht="14">
      <c r="A1143" s="431"/>
      <c r="B1143" s="1448" t="s">
        <v>136</v>
      </c>
      <c r="C1143" s="14"/>
      <c r="D1143" s="1482" t="s">
        <v>1919</v>
      </c>
      <c r="E1143" s="1482"/>
      <c r="F1143" s="1482"/>
    </row>
    <row r="1144" spans="1:7" ht="12.9">
      <c r="A1144" s="152"/>
      <c r="B1144" s="152"/>
      <c r="C1144" s="14"/>
      <c r="D1144" s="294"/>
      <c r="E1144" s="294"/>
      <c r="F1144" s="294"/>
    </row>
    <row r="1145" spans="1:7" ht="14">
      <c r="A1145" s="431"/>
      <c r="B1145" s="1448" t="s">
        <v>136</v>
      </c>
      <c r="C1145" s="14"/>
      <c r="D1145" s="1485" t="s">
        <v>1920</v>
      </c>
      <c r="E1145" s="1485"/>
      <c r="F1145" s="1485"/>
    </row>
    <row r="1146" spans="1:7" ht="14">
      <c r="A1146" s="431"/>
      <c r="B1146" s="431"/>
      <c r="C1146" s="14"/>
      <c r="D1146" s="1485"/>
      <c r="E1146" s="1485"/>
      <c r="F1146" s="1485"/>
    </row>
    <row r="1147" spans="1:7" ht="14">
      <c r="A1147" s="431"/>
      <c r="B1147" s="431"/>
      <c r="C1147" s="14"/>
      <c r="D1147" s="1074"/>
      <c r="E1147" s="1074"/>
      <c r="F1147" s="1074"/>
      <c r="G1147" s="2"/>
    </row>
    <row r="1148" spans="1:7" ht="12.9">
      <c r="A1148" s="1076"/>
      <c r="B1148" s="1076"/>
      <c r="C1148" s="14"/>
      <c r="D1148" s="1498" t="s">
        <v>1935</v>
      </c>
      <c r="E1148" s="1498"/>
      <c r="F1148" s="1498"/>
      <c r="G1148" s="2"/>
    </row>
    <row r="1149" spans="1:7" ht="12.9">
      <c r="A1149" s="1076"/>
      <c r="B1149" s="1076"/>
      <c r="C1149" s="14"/>
      <c r="D1149" s="1075"/>
      <c r="E1149" s="294"/>
      <c r="F1149" s="294"/>
      <c r="G1149" s="2"/>
    </row>
    <row r="1150" spans="1:7" ht="14.55" customHeight="1">
      <c r="A1150" s="431"/>
      <c r="B1150" s="1448" t="s">
        <v>136</v>
      </c>
      <c r="C1150" s="14"/>
      <c r="D1150" s="1499" t="s">
        <v>2038</v>
      </c>
      <c r="E1150" s="1485"/>
      <c r="F1150" s="1485"/>
      <c r="G1150" s="2"/>
    </row>
    <row r="1151" spans="1:7" ht="14">
      <c r="A1151" s="431"/>
      <c r="B1151" s="431"/>
      <c r="C1151" s="14"/>
      <c r="D1151" s="1485"/>
      <c r="E1151" s="1485"/>
      <c r="F1151" s="1485"/>
      <c r="G1151" s="2"/>
    </row>
    <row r="1152" spans="1:7" ht="14">
      <c r="A1152" s="431"/>
      <c r="B1152" s="431"/>
      <c r="C1152" s="14"/>
      <c r="D1152" s="1485"/>
      <c r="E1152" s="1485"/>
      <c r="F1152" s="1485"/>
      <c r="G1152" s="2"/>
    </row>
    <row r="1153" spans="1:7" ht="14">
      <c r="A1153" s="431"/>
      <c r="B1153" s="431"/>
      <c r="C1153" s="14"/>
      <c r="D1153" s="1485"/>
      <c r="E1153" s="1485"/>
      <c r="F1153" s="1485"/>
      <c r="G1153" s="2"/>
    </row>
    <row r="1154" spans="1:7" ht="14">
      <c r="A1154" s="431"/>
      <c r="B1154" s="431"/>
      <c r="C1154" s="14"/>
      <c r="D1154" s="1485"/>
      <c r="E1154" s="1485"/>
      <c r="F1154" s="1485"/>
      <c r="G1154" s="2"/>
    </row>
    <row r="1155" spans="1:7" ht="14">
      <c r="A1155" s="431"/>
      <c r="B1155" s="431"/>
      <c r="C1155" s="14"/>
      <c r="D1155" s="1485"/>
      <c r="E1155" s="1485"/>
      <c r="F1155" s="1485"/>
      <c r="G1155" s="2"/>
    </row>
    <row r="1156" spans="1:7" ht="14">
      <c r="A1156" s="431"/>
      <c r="B1156" s="431"/>
      <c r="C1156" s="14"/>
      <c r="D1156" s="1485"/>
      <c r="E1156" s="1485"/>
      <c r="F1156" s="1485"/>
      <c r="G1156" s="2"/>
    </row>
    <row r="1157" spans="1:7" ht="14">
      <c r="A1157" s="431"/>
      <c r="B1157" s="431"/>
      <c r="C1157" s="14"/>
      <c r="D1157" s="1485"/>
      <c r="E1157" s="1485"/>
      <c r="F1157" s="1485"/>
      <c r="G1157" s="2"/>
    </row>
    <row r="1158" spans="1:7" ht="14">
      <c r="A1158" s="431"/>
      <c r="B1158" s="431"/>
      <c r="C1158" s="14"/>
      <c r="D1158" s="1485"/>
      <c r="E1158" s="1485"/>
      <c r="F1158" s="1485"/>
      <c r="G1158" s="2"/>
    </row>
    <row r="1159" spans="1:7" ht="14">
      <c r="A1159" s="431"/>
      <c r="B1159" s="431"/>
      <c r="C1159" s="14"/>
      <c r="D1159" s="1485"/>
      <c r="E1159" s="1485"/>
      <c r="F1159" s="1485"/>
      <c r="G1159" s="2"/>
    </row>
    <row r="1160" spans="1:7" ht="14">
      <c r="A1160" s="431"/>
      <c r="B1160" s="431"/>
      <c r="C1160" s="14"/>
      <c r="D1160" s="1485"/>
      <c r="E1160" s="1485"/>
      <c r="F1160" s="1485"/>
      <c r="G1160" s="2"/>
    </row>
    <row r="1161" spans="1:7" ht="14">
      <c r="A1161" s="431"/>
      <c r="B1161" s="431"/>
      <c r="C1161" s="14"/>
      <c r="D1161" s="1485"/>
      <c r="E1161" s="1485"/>
      <c r="F1161" s="1485"/>
      <c r="G1161" s="2"/>
    </row>
    <row r="1162" spans="1:7" ht="14">
      <c r="A1162" s="431"/>
      <c r="B1162" s="431"/>
      <c r="C1162" s="14"/>
      <c r="D1162" s="1485"/>
      <c r="E1162" s="1485"/>
      <c r="F1162" s="1485"/>
      <c r="G1162" s="2"/>
    </row>
    <row r="1163" spans="1:7" ht="14">
      <c r="A1163" s="431"/>
      <c r="B1163" s="431"/>
      <c r="C1163" s="14"/>
      <c r="D1163" s="1485"/>
      <c r="E1163" s="1485"/>
      <c r="F1163" s="1485"/>
    </row>
    <row r="1164" spans="1:7" ht="12.9">
      <c r="A1164" s="152"/>
      <c r="B1164" s="152"/>
      <c r="C1164" s="14"/>
      <c r="D1164" s="294"/>
      <c r="E1164" s="294"/>
      <c r="F1164" s="294"/>
    </row>
    <row r="1165" spans="1:7" ht="12.9">
      <c r="A1165" s="1497" t="s">
        <v>1588</v>
      </c>
      <c r="B1165" s="1497"/>
      <c r="C1165" s="1497"/>
      <c r="D1165" s="1497"/>
      <c r="E1165" s="1497"/>
      <c r="F1165" s="1497"/>
      <c r="G1165" s="1497"/>
    </row>
    <row r="1166" spans="1:7" ht="12.9">
      <c r="A1166" s="155"/>
      <c r="B1166" s="155"/>
      <c r="C1166" s="14"/>
      <c r="D1166" s="294"/>
      <c r="E1166" s="294"/>
      <c r="F1166" s="294"/>
    </row>
    <row r="1167" spans="1:7" ht="12.9">
      <c r="A1167" s="152"/>
      <c r="B1167" s="152"/>
      <c r="C1167" s="336"/>
      <c r="D1167" s="1498" t="s">
        <v>1921</v>
      </c>
      <c r="E1167" s="1498"/>
      <c r="F1167" s="1498"/>
    </row>
    <row r="1168" spans="1:7" ht="12.9">
      <c r="A1168" s="432"/>
      <c r="B1168" s="432"/>
      <c r="C1168" s="310"/>
      <c r="D1168" s="1580" t="s">
        <v>1707</v>
      </c>
      <c r="E1168" s="1482"/>
      <c r="F1168" s="1482"/>
    </row>
    <row r="1169" spans="1:7" ht="12.9">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9">
      <c r="A1171" s="152"/>
      <c r="B1171" s="152"/>
      <c r="C1171" s="14"/>
      <c r="D1171" s="1546"/>
      <c r="E1171" s="1546"/>
      <c r="F1171" s="1546"/>
      <c r="G1171" s="2"/>
    </row>
    <row r="1172" spans="1:7" ht="12.9">
      <c r="A1172" s="152"/>
      <c r="B1172" s="152"/>
      <c r="C1172" s="14"/>
      <c r="D1172" s="1546"/>
      <c r="E1172" s="1546"/>
      <c r="F1172" s="1546"/>
      <c r="G1172" s="2"/>
    </row>
    <row r="1173" spans="1:7" ht="12.9">
      <c r="A1173" s="162"/>
      <c r="B1173" s="162"/>
      <c r="D1173" s="1546"/>
      <c r="E1173" s="1546"/>
      <c r="F1173" s="1546"/>
      <c r="G1173" s="2"/>
    </row>
    <row r="1174" spans="1:7" ht="12.9">
      <c r="A1174" s="162"/>
      <c r="B1174" s="162"/>
      <c r="D1174" s="1546"/>
      <c r="E1174" s="1546"/>
      <c r="F1174" s="1546"/>
      <c r="G1174" s="2"/>
    </row>
    <row r="1175" spans="1:7" ht="12.9">
      <c r="A1175" s="433"/>
      <c r="B1175" s="433"/>
      <c r="C1175" s="311"/>
      <c r="D1175" s="1546"/>
      <c r="E1175" s="1546"/>
      <c r="F1175" s="1546"/>
      <c r="G1175" s="2"/>
    </row>
    <row r="1176" spans="1:7" ht="14.55" customHeight="1">
      <c r="A1176" s="433"/>
      <c r="B1176" s="433"/>
      <c r="C1176" s="311"/>
      <c r="D1176" s="1546"/>
      <c r="E1176" s="1546"/>
      <c r="F1176" s="1546"/>
      <c r="G1176" s="2"/>
    </row>
    <row r="1177" spans="1:7" ht="12.9">
      <c r="A1177" s="433"/>
      <c r="B1177" s="433"/>
      <c r="C1177" s="311"/>
      <c r="D1177" s="1065"/>
      <c r="E1177" s="1065"/>
      <c r="F1177" s="1065"/>
      <c r="G1177" s="2"/>
    </row>
    <row r="1178" spans="1:7" ht="12.9">
      <c r="A1178" s="433"/>
      <c r="B1178" s="1448" t="s">
        <v>136</v>
      </c>
      <c r="C1178" s="311"/>
      <c r="D1178" s="1513" t="s">
        <v>1937</v>
      </c>
      <c r="E1178" s="1513"/>
      <c r="F1178" s="1513"/>
      <c r="G1178" s="2"/>
    </row>
    <row r="1179" spans="1:7" ht="12.9">
      <c r="A1179" s="433"/>
      <c r="B1179" s="433"/>
      <c r="C1179" s="311"/>
      <c r="D1179" s="1513"/>
      <c r="E1179" s="1513"/>
      <c r="F1179" s="1513"/>
      <c r="G1179" s="2"/>
    </row>
    <row r="1180" spans="1:7" ht="12.9">
      <c r="A1180" s="433"/>
      <c r="B1180" s="433"/>
      <c r="C1180" s="311"/>
      <c r="D1180" s="1513"/>
      <c r="E1180" s="1513"/>
      <c r="F1180" s="1513"/>
      <c r="G1180" s="2"/>
    </row>
    <row r="1181" spans="1:7" ht="12.9">
      <c r="A1181" s="433"/>
      <c r="B1181" s="433"/>
      <c r="C1181" s="311"/>
      <c r="D1181" s="1513"/>
      <c r="E1181" s="1513"/>
      <c r="F1181" s="1513"/>
      <c r="G1181" s="2"/>
    </row>
    <row r="1182" spans="1:7" ht="12.9">
      <c r="A1182" s="433"/>
      <c r="B1182" s="433"/>
      <c r="C1182" s="311"/>
      <c r="D1182" s="1149"/>
      <c r="E1182" s="1149"/>
      <c r="F1182" s="1149"/>
      <c r="G1182" s="2"/>
    </row>
    <row r="1183" spans="1:7" ht="12.9">
      <c r="A1183" s="433"/>
      <c r="B1183" s="1448" t="s">
        <v>136</v>
      </c>
      <c r="C1183" s="311"/>
      <c r="D1183" s="1512" t="s">
        <v>2040</v>
      </c>
      <c r="E1183" s="1513"/>
      <c r="F1183" s="1513"/>
      <c r="G1183" s="2"/>
    </row>
    <row r="1184" spans="1:7" ht="12.9">
      <c r="A1184" s="433"/>
      <c r="B1184" s="433"/>
      <c r="C1184" s="311"/>
      <c r="D1184" s="1513"/>
      <c r="E1184" s="1513"/>
      <c r="F1184" s="1513"/>
      <c r="G1184" s="2"/>
    </row>
    <row r="1185" spans="1:7" ht="12.9">
      <c r="A1185" s="433"/>
      <c r="B1185" s="433"/>
      <c r="C1185" s="311"/>
      <c r="D1185" s="1149"/>
      <c r="E1185" s="1149"/>
      <c r="F1185" s="1149"/>
      <c r="G1185" s="2"/>
    </row>
    <row r="1186" spans="1:7" ht="14">
      <c r="A1186" s="431"/>
      <c r="B1186" s="1448" t="s">
        <v>136</v>
      </c>
      <c r="C1186" s="14"/>
      <c r="D1186" s="1482" t="s">
        <v>1922</v>
      </c>
      <c r="E1186" s="1482"/>
      <c r="F1186" s="1482"/>
      <c r="G1186" s="2"/>
    </row>
    <row r="1187" spans="1:7" ht="12.9">
      <c r="A1187" s="152"/>
      <c r="B1187" s="152"/>
      <c r="C1187" s="14"/>
      <c r="D1187" s="294"/>
      <c r="E1187" s="294"/>
      <c r="F1187" s="294"/>
      <c r="G1187" s="2"/>
    </row>
    <row r="1188" spans="1:7" ht="14">
      <c r="A1188" s="431"/>
      <c r="B1188" s="1448" t="s">
        <v>136</v>
      </c>
      <c r="C1188" s="14"/>
      <c r="D1188" s="1482" t="s">
        <v>1923</v>
      </c>
      <c r="E1188" s="1482"/>
      <c r="F1188" s="1482"/>
      <c r="G1188" s="2"/>
    </row>
    <row r="1189" spans="1:7" ht="12.9">
      <c r="A1189" s="152"/>
      <c r="B1189" s="152"/>
      <c r="C1189" s="14"/>
      <c r="D1189" s="299"/>
      <c r="E1189" s="294"/>
      <c r="F1189" s="294"/>
      <c r="G1189" s="2"/>
    </row>
    <row r="1190" spans="1:7" ht="14">
      <c r="A1190" s="431"/>
      <c r="B1190" s="1000" t="s">
        <v>1559</v>
      </c>
      <c r="C1190" s="14"/>
      <c r="D1190" s="1482" t="s">
        <v>1924</v>
      </c>
      <c r="E1190" s="1482"/>
      <c r="F1190" s="1482"/>
      <c r="G1190" s="2"/>
    </row>
    <row r="1191" spans="1:7" ht="12.9">
      <c r="A1191" s="152"/>
      <c r="B1191" s="152"/>
      <c r="C1191" s="14"/>
      <c r="D1191" s="299"/>
      <c r="E1191" s="294"/>
      <c r="F1191" s="294"/>
      <c r="G1191" s="2"/>
    </row>
    <row r="1192" spans="1:7" ht="14">
      <c r="A1192" s="431"/>
      <c r="B1192" s="1000" t="s">
        <v>1559</v>
      </c>
      <c r="C1192" s="14"/>
      <c r="D1192" s="1485" t="s">
        <v>1925</v>
      </c>
      <c r="E1192" s="1485"/>
      <c r="F1192" s="1485"/>
      <c r="G1192" s="2"/>
    </row>
    <row r="1193" spans="1:7" ht="14">
      <c r="A1193" s="431"/>
      <c r="B1193" s="431"/>
      <c r="C1193" s="14"/>
      <c r="D1193" s="1485"/>
      <c r="E1193" s="1485"/>
      <c r="F1193" s="1485"/>
      <c r="G1193" s="2"/>
    </row>
    <row r="1194" spans="1:7" ht="14">
      <c r="A1194" s="431"/>
      <c r="B1194" s="431"/>
      <c r="C1194" s="14"/>
      <c r="D1194" s="299"/>
      <c r="E1194" s="294"/>
      <c r="F1194" s="294"/>
    </row>
    <row r="1195" spans="1:7" s="741" customFormat="1" ht="14">
      <c r="A1195" s="482"/>
      <c r="B1195" s="1448" t="s">
        <v>136</v>
      </c>
      <c r="C1195" s="483"/>
      <c r="D1195" s="1531" t="s">
        <v>1926</v>
      </c>
      <c r="E1195" s="1531"/>
      <c r="F1195" s="1531"/>
      <c r="G1195" s="742"/>
    </row>
    <row r="1196" spans="1:7" s="741" customFormat="1" ht="12.9">
      <c r="A1196" s="483"/>
      <c r="B1196" s="483"/>
      <c r="C1196" s="483"/>
      <c r="D1196" s="1531"/>
      <c r="E1196" s="1531"/>
      <c r="F1196" s="1531"/>
      <c r="G1196" s="742"/>
    </row>
    <row r="1197" spans="1:7" s="741" customFormat="1" ht="12.9">
      <c r="A1197" s="483"/>
      <c r="B1197" s="483"/>
      <c r="C1197" s="483"/>
      <c r="D1197" s="484"/>
      <c r="E1197" s="485"/>
      <c r="F1197" s="485"/>
      <c r="G1197" s="742"/>
    </row>
    <row r="1198" spans="1:7" s="741" customFormat="1" ht="14">
      <c r="A1198" s="482"/>
      <c r="B1198" s="1448" t="s">
        <v>136</v>
      </c>
      <c r="C1198" s="483"/>
      <c r="D1198" s="1579" t="s">
        <v>1927</v>
      </c>
      <c r="E1198" s="1579"/>
      <c r="F1198" s="1579"/>
      <c r="G1198" s="742"/>
    </row>
    <row r="1199" spans="1:7" s="741" customFormat="1" ht="12.9">
      <c r="A1199" s="483"/>
      <c r="B1199" s="483"/>
      <c r="C1199" s="483"/>
      <c r="D1199" s="484"/>
      <c r="E1199" s="485"/>
      <c r="F1199" s="485"/>
      <c r="G1199" s="742"/>
    </row>
    <row r="1200" spans="1:7" ht="14">
      <c r="A1200" s="431"/>
      <c r="B1200" s="1448" t="s">
        <v>136</v>
      </c>
      <c r="C1200" s="14"/>
      <c r="D1200" s="1482" t="s">
        <v>1928</v>
      </c>
      <c r="E1200" s="1482"/>
      <c r="F1200" s="1482"/>
    </row>
    <row r="1201" spans="1:7" ht="14">
      <c r="A1201" s="431"/>
      <c r="B1201" s="431"/>
      <c r="C1201" s="14"/>
      <c r="D1201" s="299"/>
      <c r="E1201" s="294"/>
      <c r="F1201" s="294"/>
    </row>
    <row r="1202" spans="1:7" ht="14">
      <c r="A1202" s="431"/>
      <c r="B1202" s="1448" t="s">
        <v>136</v>
      </c>
      <c r="C1202" s="14"/>
      <c r="D1202" s="1485" t="s">
        <v>1929</v>
      </c>
      <c r="E1202" s="1485"/>
      <c r="F1202" s="1485"/>
    </row>
    <row r="1203" spans="1:7" ht="14">
      <c r="A1203" s="431"/>
      <c r="B1203" s="431"/>
      <c r="C1203" s="14"/>
      <c r="D1203" s="1485"/>
      <c r="E1203" s="1485"/>
      <c r="F1203" s="1485"/>
    </row>
    <row r="1204" spans="1:7" ht="12.9">
      <c r="A1204" s="152"/>
      <c r="B1204" s="152"/>
      <c r="C1204" s="14"/>
      <c r="D1204" s="294"/>
      <c r="E1204" s="294"/>
      <c r="F1204" s="294"/>
    </row>
    <row r="1205" spans="1:7" ht="12.9">
      <c r="A1205" s="1497" t="s">
        <v>1589</v>
      </c>
      <c r="B1205" s="1497"/>
      <c r="C1205" s="1497"/>
      <c r="D1205" s="1497"/>
      <c r="E1205" s="1497"/>
      <c r="F1205" s="1497"/>
      <c r="G1205" s="1497"/>
    </row>
    <row r="1206" spans="1:7" ht="12.9">
      <c r="A1206" s="155"/>
      <c r="B1206" s="155"/>
      <c r="C1206" s="14"/>
      <c r="D1206" s="294"/>
      <c r="E1206" s="294"/>
      <c r="F1206" s="294"/>
    </row>
    <row r="1207" spans="1:7" ht="12.9">
      <c r="A1207" s="152"/>
      <c r="B1207" s="152"/>
      <c r="C1207" s="14"/>
      <c r="D1207" s="1498" t="s">
        <v>1930</v>
      </c>
      <c r="E1207" s="1498"/>
      <c r="F1207" s="1498"/>
    </row>
    <row r="1208" spans="1:7" ht="12.9">
      <c r="A1208" s="432"/>
      <c r="B1208" s="432"/>
      <c r="C1208" s="310"/>
      <c r="D1208" s="1482" t="s">
        <v>1601</v>
      </c>
      <c r="E1208" s="1482"/>
      <c r="F1208" s="1482"/>
    </row>
    <row r="1209" spans="1:7" ht="12.9">
      <c r="A1209" s="433"/>
      <c r="B1209" s="433"/>
      <c r="C1209" s="311"/>
      <c r="D1209" s="294"/>
      <c r="E1209" s="294"/>
      <c r="F1209" s="294"/>
      <c r="G1209" s="2"/>
    </row>
    <row r="1210" spans="1:7" ht="14">
      <c r="A1210" s="431"/>
      <c r="B1210" s="1448" t="s">
        <v>136</v>
      </c>
      <c r="C1210" s="14"/>
      <c r="D1210" s="1499" t="s">
        <v>2005</v>
      </c>
      <c r="E1210" s="1485"/>
      <c r="F1210" s="1485"/>
      <c r="G1210" s="2"/>
    </row>
    <row r="1211" spans="1:7" ht="12.9">
      <c r="A1211" s="152"/>
      <c r="B1211" s="152"/>
      <c r="C1211" s="14"/>
      <c r="D1211" s="1485"/>
      <c r="E1211" s="1485"/>
      <c r="F1211" s="1485"/>
      <c r="G1211" s="2"/>
    </row>
    <row r="1212" spans="1:7" ht="12.9">
      <c r="A1212" s="152"/>
      <c r="B1212" s="152"/>
      <c r="C1212" s="14"/>
      <c r="D1212" s="1485"/>
      <c r="E1212" s="1485"/>
      <c r="F1212" s="1485"/>
      <c r="G1212" s="2"/>
    </row>
    <row r="1213" spans="1:7" ht="12.9">
      <c r="A1213" s="152"/>
      <c r="B1213" s="152"/>
      <c r="C1213" s="14"/>
      <c r="D1213" s="6"/>
      <c r="E1213" s="294"/>
      <c r="F1213" s="294"/>
      <c r="G1213" s="2"/>
    </row>
    <row r="1214" spans="1:7" ht="14">
      <c r="A1214" s="596"/>
      <c r="B1214" s="1448" t="s">
        <v>136</v>
      </c>
      <c r="C1214" s="597"/>
      <c r="D1214" s="1512" t="s">
        <v>2266</v>
      </c>
      <c r="E1214" s="1513"/>
      <c r="F1214" s="1513"/>
      <c r="G1214" s="2"/>
    </row>
    <row r="1215" spans="1:7" ht="14">
      <c r="A1215" s="596"/>
      <c r="B1215" s="596"/>
      <c r="C1215" s="597"/>
      <c r="D1215" s="1513"/>
      <c r="E1215" s="1513"/>
      <c r="F1215" s="1513"/>
      <c r="G1215" s="2"/>
    </row>
    <row r="1216" spans="1:7" ht="14">
      <c r="A1216" s="596"/>
      <c r="B1216" s="596"/>
      <c r="C1216" s="597"/>
      <c r="D1216" s="1513"/>
      <c r="E1216" s="1513"/>
      <c r="F1216" s="1513"/>
      <c r="G1216" s="2"/>
    </row>
    <row r="1217" spans="1:7" ht="14">
      <c r="A1217" s="596"/>
      <c r="B1217" s="596"/>
      <c r="C1217" s="597"/>
      <c r="D1217" s="1513"/>
      <c r="E1217" s="1513"/>
      <c r="F1217" s="1513"/>
      <c r="G1217" s="2"/>
    </row>
    <row r="1218" spans="1:7" ht="12.9">
      <c r="A1218" s="599"/>
      <c r="B1218" s="599"/>
      <c r="C1218" s="597"/>
      <c r="D1218" s="421"/>
      <c r="G1218" s="2"/>
    </row>
    <row r="1219" spans="1:7" ht="14">
      <c r="A1219" s="596"/>
      <c r="B1219" s="1448" t="s">
        <v>136</v>
      </c>
      <c r="C1219" s="597"/>
      <c r="D1219" s="1513" t="s">
        <v>1931</v>
      </c>
      <c r="E1219" s="1513"/>
      <c r="F1219" s="1513"/>
      <c r="G1219" s="2"/>
    </row>
    <row r="1220" spans="1:7" ht="12.9">
      <c r="A1220" s="599"/>
      <c r="B1220" s="599"/>
      <c r="C1220" s="597"/>
      <c r="D1220" s="1513"/>
      <c r="E1220" s="1513"/>
      <c r="F1220" s="1513"/>
      <c r="G1220" s="2"/>
    </row>
    <row r="1221" spans="1:7" ht="12.9">
      <c r="A1221" s="599"/>
      <c r="B1221" s="599"/>
      <c r="C1221" s="597"/>
      <c r="D1221" s="1513"/>
      <c r="E1221" s="1513"/>
      <c r="F1221" s="1513"/>
      <c r="G1221" s="2"/>
    </row>
    <row r="1222" spans="1:7" ht="12.9">
      <c r="A1222" s="599"/>
      <c r="B1222" s="599"/>
      <c r="C1222" s="597"/>
      <c r="D1222" s="1513"/>
      <c r="E1222" s="1513"/>
      <c r="F1222" s="1513"/>
      <c r="G1222" s="2"/>
    </row>
    <row r="1223" spans="1:7" ht="12.9">
      <c r="A1223" s="599"/>
      <c r="B1223" s="599"/>
      <c r="C1223" s="597"/>
      <c r="D1223" s="1513"/>
      <c r="E1223" s="1513"/>
      <c r="F1223" s="1513"/>
      <c r="G1223" s="2"/>
    </row>
    <row r="1224" spans="1:7" ht="12.9">
      <c r="A1224" s="599"/>
      <c r="B1224" s="599"/>
      <c r="C1224" s="597"/>
      <c r="D1224" s="421"/>
      <c r="G1224" s="2"/>
    </row>
    <row r="1225" spans="1:7" ht="12.9">
      <c r="A1225" s="599"/>
      <c r="B1225" s="1448" t="s">
        <v>136</v>
      </c>
      <c r="C1225" s="597"/>
      <c r="D1225" s="1537" t="s">
        <v>1932</v>
      </c>
      <c r="E1225" s="1537"/>
      <c r="F1225" s="1537"/>
      <c r="G1225" s="2"/>
    </row>
    <row r="1226" spans="1:7" ht="12.9">
      <c r="A1226" s="599"/>
      <c r="B1226" s="599"/>
      <c r="C1226" s="597"/>
      <c r="D1226" s="1537"/>
      <c r="E1226" s="1537"/>
      <c r="F1226" s="1537"/>
      <c r="G1226" s="2"/>
    </row>
    <row r="1227" spans="1:7" ht="12.9">
      <c r="A1227" s="599"/>
      <c r="B1227" s="599"/>
      <c r="C1227" s="597"/>
      <c r="D1227" s="1537"/>
      <c r="E1227" s="1537"/>
      <c r="F1227" s="1537"/>
      <c r="G1227" s="2"/>
    </row>
    <row r="1228" spans="1:7" ht="12.9">
      <c r="A1228" s="599"/>
      <c r="B1228" s="599"/>
      <c r="C1228" s="597"/>
      <c r="D1228" s="1537"/>
      <c r="E1228" s="1537"/>
      <c r="F1228" s="1537"/>
      <c r="G1228" s="2"/>
    </row>
    <row r="1229" spans="1:7" ht="12.9">
      <c r="A1229" s="599"/>
      <c r="B1229" s="599"/>
      <c r="C1229" s="597"/>
      <c r="D1229" s="1537"/>
      <c r="E1229" s="1537"/>
      <c r="F1229" s="1537"/>
      <c r="G1229" s="2"/>
    </row>
    <row r="1230" spans="1:7" ht="12.9">
      <c r="A1230" s="599"/>
      <c r="B1230" s="599"/>
      <c r="C1230" s="597"/>
      <c r="D1230" s="1537"/>
      <c r="E1230" s="1537"/>
      <c r="F1230" s="1537"/>
      <c r="G1230" s="2"/>
    </row>
    <row r="1231" spans="1:7" ht="12.9">
      <c r="A1231" s="599"/>
      <c r="B1231" s="599"/>
      <c r="C1231" s="597"/>
      <c r="D1231" s="1537"/>
      <c r="E1231" s="1537"/>
      <c r="F1231" s="1537"/>
      <c r="G1231" s="2"/>
    </row>
    <row r="1232" spans="1:7" ht="12.9">
      <c r="A1232" s="599"/>
      <c r="B1232" s="599"/>
      <c r="C1232" s="597"/>
      <c r="D1232" s="1537"/>
      <c r="E1232" s="1537"/>
      <c r="F1232" s="1537"/>
      <c r="G1232" s="2"/>
    </row>
    <row r="1233" spans="1:7" ht="12.9">
      <c r="A1233" s="599"/>
      <c r="B1233" s="599"/>
      <c r="C1233" s="597"/>
      <c r="D1233" s="1537"/>
      <c r="E1233" s="1537"/>
      <c r="F1233" s="1537"/>
      <c r="G1233" s="2"/>
    </row>
    <row r="1234" spans="1:7" ht="12.9">
      <c r="A1234" s="599"/>
      <c r="B1234" s="599"/>
      <c r="C1234" s="597"/>
      <c r="D1234" s="736"/>
      <c r="G1234" s="2"/>
    </row>
    <row r="1235" spans="1:7" ht="14">
      <c r="A1235" s="596"/>
      <c r="B1235" s="1448" t="s">
        <v>136</v>
      </c>
      <c r="C1235" s="597"/>
      <c r="D1235" s="1513" t="s">
        <v>1933</v>
      </c>
      <c r="E1235" s="1513"/>
      <c r="F1235" s="1513"/>
      <c r="G1235" s="2"/>
    </row>
    <row r="1236" spans="1:7" ht="12.9">
      <c r="A1236" s="599"/>
      <c r="B1236" s="599"/>
      <c r="C1236" s="597"/>
      <c r="D1236" s="1513"/>
      <c r="E1236" s="1513"/>
      <c r="F1236" s="1513"/>
      <c r="G1236" s="2"/>
    </row>
    <row r="1237" spans="1:7" ht="12.9">
      <c r="A1237" s="599"/>
      <c r="B1237" s="599"/>
      <c r="C1237" s="597"/>
      <c r="D1237" s="1513"/>
      <c r="E1237" s="1513"/>
      <c r="F1237" s="1513"/>
      <c r="G1237" s="2"/>
    </row>
    <row r="1238" spans="1:7" ht="12.9">
      <c r="A1238" s="599"/>
      <c r="B1238" s="599"/>
      <c r="C1238" s="597"/>
      <c r="D1238" s="1513"/>
      <c r="E1238" s="1513"/>
      <c r="F1238" s="1513"/>
      <c r="G1238" s="2"/>
    </row>
    <row r="1239" spans="1:7" ht="12.9">
      <c r="A1239" s="599"/>
      <c r="B1239" s="599"/>
      <c r="C1239" s="597"/>
      <c r="D1239" s="736"/>
      <c r="G1239" s="2"/>
    </row>
    <row r="1240" spans="1:7" ht="14.55" customHeight="1">
      <c r="A1240" s="431"/>
      <c r="B1240" s="1448" t="s">
        <v>136</v>
      </c>
      <c r="C1240" s="14"/>
      <c r="D1240" s="1496" t="s">
        <v>1934</v>
      </c>
      <c r="E1240" s="1496"/>
      <c r="F1240" s="1496"/>
    </row>
    <row r="1241" spans="1:7" ht="12.9">
      <c r="A1241" s="152"/>
      <c r="B1241" s="152"/>
      <c r="C1241" s="14"/>
      <c r="D1241" s="1496"/>
      <c r="E1241" s="1496"/>
      <c r="F1241" s="1496"/>
    </row>
    <row r="1242" spans="1:7" ht="12.9">
      <c r="A1242" s="1070"/>
      <c r="B1242" s="1070"/>
      <c r="C1242" s="14"/>
      <c r="D1242" s="1496"/>
      <c r="E1242" s="1496"/>
      <c r="F1242" s="1496"/>
    </row>
    <row r="1243" spans="1:7" ht="12.9">
      <c r="A1243" s="152"/>
      <c r="B1243" s="152"/>
      <c r="C1243" s="14"/>
      <c r="D1243" s="294"/>
      <c r="E1243" s="294"/>
      <c r="F1243" s="294"/>
    </row>
    <row r="1244" spans="1:7" ht="12.9">
      <c r="A1244" s="1497" t="s">
        <v>1590</v>
      </c>
      <c r="B1244" s="1497"/>
      <c r="C1244" s="1497"/>
      <c r="D1244" s="1497"/>
      <c r="E1244" s="1497"/>
      <c r="F1244" s="1497"/>
      <c r="G1244" s="1497"/>
    </row>
    <row r="1245" spans="1:7" ht="12.9">
      <c r="A1245" s="152"/>
      <c r="B1245" s="152"/>
      <c r="C1245" s="14"/>
      <c r="D1245" s="294"/>
      <c r="E1245" s="294"/>
      <c r="F1245" s="294"/>
    </row>
    <row r="1246" spans="1:7" ht="12.9">
      <c r="A1246" s="162"/>
      <c r="B1246" s="162"/>
      <c r="D1246" s="1540" t="s">
        <v>1727</v>
      </c>
      <c r="E1246" s="1540"/>
      <c r="F1246" s="1540"/>
    </row>
    <row r="1247" spans="1:7" ht="12.9">
      <c r="A1247" s="162"/>
      <c r="B1247" s="162"/>
      <c r="D1247" s="1541" t="s">
        <v>2263</v>
      </c>
      <c r="E1247" s="1542"/>
      <c r="F1247" s="1542"/>
    </row>
    <row r="1248" spans="1:7" ht="12.9">
      <c r="A1248" s="448"/>
      <c r="B1248" s="448"/>
      <c r="C1248" s="424"/>
    </row>
    <row r="1249" spans="1:7" ht="14">
      <c r="A1249" s="431"/>
      <c r="B1249" s="431"/>
      <c r="C1249" s="311"/>
      <c r="D1249" s="1540" t="s">
        <v>1728</v>
      </c>
      <c r="E1249" s="1540"/>
      <c r="F1249" s="1540"/>
    </row>
    <row r="1250" spans="1:7" ht="12.9">
      <c r="A1250" s="152"/>
      <c r="B1250" s="1448" t="s">
        <v>136</v>
      </c>
      <c r="C1250" s="14"/>
      <c r="D1250" s="1542" t="s">
        <v>1729</v>
      </c>
      <c r="E1250" s="1542"/>
      <c r="F1250" s="1542"/>
    </row>
    <row r="1251" spans="1:7" ht="12.9">
      <c r="A1251" s="152"/>
      <c r="B1251" s="152"/>
      <c r="C1251" s="14"/>
      <c r="D1251" s="1541" t="s">
        <v>2264</v>
      </c>
      <c r="E1251" s="1542"/>
      <c r="F1251" s="1542"/>
    </row>
    <row r="1252" spans="1:7" ht="12.9">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583" t="s">
        <v>2265</v>
      </c>
      <c r="E1254" s="1583"/>
      <c r="F1254" s="1583"/>
      <c r="G1254" s="2"/>
    </row>
    <row r="1255" spans="1:7" ht="14">
      <c r="A1255" s="596"/>
      <c r="B1255" s="1416"/>
      <c r="D1255" s="1583"/>
      <c r="E1255" s="1583"/>
      <c r="F1255" s="1583"/>
      <c r="G1255" s="2"/>
    </row>
    <row r="1256" spans="1:7" ht="12.9">
      <c r="A1256" s="162"/>
      <c r="B1256" s="1416"/>
      <c r="D1256" s="1583"/>
      <c r="E1256" s="1583"/>
      <c r="F1256" s="1583"/>
      <c r="G1256" s="2"/>
    </row>
    <row r="1257" spans="1:7" ht="12.9">
      <c r="A1257" s="1416"/>
      <c r="B1257" s="1416"/>
      <c r="D1257" s="1583"/>
      <c r="E1257" s="1583"/>
      <c r="F1257" s="1583"/>
      <c r="G1257" s="2"/>
    </row>
    <row r="1258" spans="1:7" ht="12.8" hidden="1" customHeight="1">
      <c r="A1258" s="1416"/>
      <c r="B1258" s="1416"/>
      <c r="D1258" s="1583"/>
      <c r="E1258" s="1583"/>
      <c r="F1258" s="1583"/>
      <c r="G1258" s="2"/>
    </row>
    <row r="1259" spans="1:7" ht="12.9">
      <c r="A1259" s="162"/>
      <c r="B1259" s="162"/>
      <c r="D1259" s="1583"/>
      <c r="E1259" s="1583"/>
      <c r="F1259" s="1583"/>
      <c r="G1259" s="2"/>
    </row>
    <row r="1260" spans="1:7" ht="12.9">
      <c r="A1260" s="162"/>
      <c r="B1260" s="162"/>
      <c r="D1260" s="1582" t="s">
        <v>2262</v>
      </c>
      <c r="E1260" s="1582"/>
      <c r="F1260" s="1582"/>
      <c r="G1260" s="2"/>
    </row>
    <row r="1261" spans="1:7" ht="12.9">
      <c r="A1261" s="162"/>
      <c r="D1261" s="1582"/>
      <c r="E1261" s="1582"/>
      <c r="F1261" s="1582"/>
      <c r="G1261" s="2"/>
    </row>
    <row r="1262" spans="1:7" ht="13.7" customHeight="1">
      <c r="A1262" s="596"/>
      <c r="D1262" s="1582"/>
      <c r="E1262" s="1582"/>
      <c r="F1262" s="1582"/>
      <c r="G1262" s="2"/>
    </row>
    <row r="1263" spans="1:7" ht="12.9">
      <c r="A1263" s="162"/>
      <c r="B1263" s="162"/>
      <c r="G1263" s="2"/>
    </row>
    <row r="1264" spans="1:7" ht="12.9">
      <c r="A1264" s="162"/>
      <c r="B1264" s="1448" t="s">
        <v>136</v>
      </c>
      <c r="D1264" s="1479" t="s">
        <v>2140</v>
      </c>
      <c r="E1264" s="1562"/>
      <c r="F1264" s="1562"/>
      <c r="G1264" s="2"/>
    </row>
    <row r="1265" spans="1:7" ht="12.9">
      <c r="A1265" s="162"/>
      <c r="B1265" s="162"/>
      <c r="D1265" s="1562"/>
      <c r="E1265" s="1562"/>
      <c r="F1265" s="1562"/>
      <c r="G1265" s="2"/>
    </row>
    <row r="1266" spans="1:7" ht="12.9">
      <c r="A1266" s="162"/>
      <c r="B1266" s="162"/>
      <c r="G1266" s="2"/>
    </row>
    <row r="1267" spans="1:7" ht="12.8" customHeight="1">
      <c r="A1267" s="162"/>
      <c r="B1267" s="162"/>
    </row>
    <row r="1268" spans="1:7" ht="12.9">
      <c r="A1268" s="1528" t="s">
        <v>1592</v>
      </c>
      <c r="B1268" s="1528"/>
      <c r="C1268" s="1528"/>
      <c r="D1268" s="1528"/>
      <c r="E1268" s="1528"/>
      <c r="F1268" s="1528"/>
      <c r="G1268" s="1528"/>
    </row>
    <row r="1269" spans="1:7" ht="12.9">
      <c r="A1269" s="76"/>
      <c r="B1269" s="76"/>
      <c r="C1269" s="297"/>
      <c r="D1269" s="300"/>
      <c r="E1269" s="300"/>
      <c r="F1269" s="300"/>
      <c r="G1269" s="300"/>
    </row>
    <row r="1270" spans="1:7" ht="12.8" customHeight="1">
      <c r="A1270" s="76"/>
      <c r="B1270" s="76"/>
      <c r="C1270" s="297"/>
      <c r="D1270" s="1539" t="s">
        <v>1591</v>
      </c>
      <c r="E1270" s="1539"/>
      <c r="F1270" s="1539"/>
      <c r="G1270" s="300"/>
    </row>
    <row r="1271" spans="1:7" ht="12.8" customHeight="1">
      <c r="A1271" s="76"/>
      <c r="B1271" s="76"/>
      <c r="C1271" s="297"/>
      <c r="D1271" s="1514" t="s">
        <v>1602</v>
      </c>
      <c r="E1271" s="1514"/>
      <c r="F1271" s="1514"/>
      <c r="G1271" s="300"/>
    </row>
    <row r="1272" spans="1:7" ht="12.8" customHeight="1">
      <c r="A1272" s="76"/>
      <c r="B1272" s="76"/>
      <c r="C1272" s="297"/>
      <c r="D1272" s="300"/>
      <c r="E1272" s="300"/>
      <c r="F1272" s="300"/>
      <c r="G1272" s="300"/>
    </row>
    <row r="1273" spans="1:7" ht="14">
      <c r="A1273" s="431"/>
      <c r="B1273" s="1448" t="s">
        <v>136</v>
      </c>
      <c r="C1273" s="14"/>
      <c r="D1273" s="1477" t="s">
        <v>1145</v>
      </c>
      <c r="E1273" s="1477"/>
      <c r="F1273" s="1477"/>
    </row>
    <row r="1274" spans="1:7" ht="12.9">
      <c r="A1274" s="152"/>
      <c r="B1274" s="152"/>
      <c r="C1274" s="14"/>
      <c r="D1274" s="1482" t="s">
        <v>1282</v>
      </c>
      <c r="E1274" s="1482"/>
      <c r="F1274" s="1482"/>
    </row>
    <row r="1275" spans="1:7" ht="12.9">
      <c r="A1275" s="152"/>
      <c r="B1275" s="152"/>
      <c r="C1275" s="14"/>
      <c r="D1275" s="294"/>
      <c r="E1275" s="1502" t="s">
        <v>1731</v>
      </c>
      <c r="F1275" s="1502"/>
    </row>
    <row r="1276" spans="1:7" ht="12.9">
      <c r="A1276" s="152"/>
      <c r="B1276" s="152"/>
      <c r="C1276" s="14"/>
      <c r="D1276" s="6"/>
      <c r="E1276" s="294"/>
      <c r="F1276" s="294"/>
    </row>
    <row r="1277" spans="1:7" ht="12.9">
      <c r="A1277" s="152"/>
      <c r="B1277" s="152"/>
      <c r="C1277" s="14"/>
      <c r="D1277" s="1538" t="s">
        <v>1435</v>
      </c>
      <c r="E1277" s="1538"/>
      <c r="F1277" s="1538"/>
    </row>
    <row r="1278" spans="1:7" ht="12.9">
      <c r="A1278" s="152"/>
      <c r="B1278" s="1448" t="s">
        <v>136</v>
      </c>
      <c r="C1278" s="152"/>
      <c r="D1278" s="1485" t="s">
        <v>1732</v>
      </c>
      <c r="E1278" s="1485"/>
      <c r="F1278" s="1485"/>
      <c r="G1278" s="2"/>
    </row>
    <row r="1279" spans="1:7" ht="12.9">
      <c r="A1279" s="152"/>
      <c r="B1279" s="152"/>
      <c r="C1279" s="14"/>
      <c r="D1279" s="1485"/>
      <c r="E1279" s="1485"/>
      <c r="F1279" s="1485"/>
      <c r="G1279" s="2"/>
    </row>
    <row r="1280" spans="1:7" ht="12.9">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9">
      <c r="A1282" s="152"/>
      <c r="B1282" s="152"/>
      <c r="C1282" s="14"/>
      <c r="D1282" s="1485"/>
      <c r="E1282" s="1485"/>
      <c r="F1282" s="1485"/>
      <c r="G1282" s="2"/>
    </row>
    <row r="1283" spans="1:7" ht="12.9">
      <c r="A1283" s="152"/>
      <c r="B1283" s="152"/>
      <c r="C1283" s="14"/>
      <c r="D1283" s="1485"/>
      <c r="E1283" s="1485"/>
      <c r="F1283" s="1485"/>
      <c r="G1283" s="2"/>
    </row>
    <row r="1284" spans="1:7" ht="12.9">
      <c r="A1284" s="152"/>
      <c r="B1284" s="152"/>
      <c r="C1284" s="14"/>
      <c r="D1284" s="1485"/>
      <c r="E1284" s="1485"/>
      <c r="F1284" s="1485"/>
      <c r="G1284" s="2"/>
    </row>
    <row r="1285" spans="1:7" ht="12.9">
      <c r="A1285" s="152"/>
      <c r="B1285" s="152"/>
      <c r="C1285" s="14"/>
      <c r="D1285" s="1502" t="s">
        <v>1148</v>
      </c>
      <c r="E1285" s="1502"/>
      <c r="F1285" s="1502"/>
      <c r="G1285" s="2"/>
    </row>
    <row r="1286" spans="1:7" ht="12.9">
      <c r="A1286" s="152"/>
      <c r="B1286" s="1448" t="s">
        <v>136</v>
      </c>
      <c r="C1286" s="152"/>
      <c r="D1286" s="1477" t="s">
        <v>1436</v>
      </c>
      <c r="E1286" s="1477"/>
      <c r="F1286" s="1477"/>
      <c r="G1286" s="2"/>
    </row>
    <row r="1287" spans="1:7" ht="12.9">
      <c r="A1287" s="152"/>
      <c r="B1287" s="152"/>
      <c r="C1287" s="14"/>
      <c r="D1287" s="294"/>
      <c r="E1287" s="2"/>
      <c r="F1287" s="2"/>
      <c r="G1287" s="2"/>
    </row>
    <row r="1288" spans="1:7" ht="12.9">
      <c r="A1288" s="152"/>
      <c r="B1288" s="152"/>
      <c r="C1288" s="14"/>
      <c r="D1288" s="1509" t="s">
        <v>1437</v>
      </c>
      <c r="E1288" s="1509"/>
      <c r="F1288" s="1509"/>
      <c r="G1288" s="2"/>
    </row>
    <row r="1289" spans="1:7" ht="12.9">
      <c r="A1289" s="152"/>
      <c r="B1289" s="152"/>
      <c r="C1289" s="14"/>
      <c r="D1289" s="6" t="s">
        <v>1146</v>
      </c>
      <c r="E1289" s="2"/>
      <c r="F1289" s="2"/>
      <c r="G1289" s="2"/>
    </row>
    <row r="1290" spans="1:7" ht="14.55" customHeight="1">
      <c r="A1290" s="431"/>
      <c r="B1290" s="1448" t="s">
        <v>136</v>
      </c>
      <c r="C1290" s="152"/>
      <c r="D1290" s="1485" t="s">
        <v>1734</v>
      </c>
      <c r="E1290" s="1485"/>
      <c r="F1290" s="1485"/>
      <c r="G1290" s="2"/>
    </row>
    <row r="1291" spans="1:7" ht="14">
      <c r="A1291" s="431"/>
      <c r="B1291" s="431"/>
      <c r="C1291" s="152"/>
      <c r="D1291" s="1485"/>
      <c r="E1291" s="1485"/>
      <c r="F1291" s="1485"/>
      <c r="G1291" s="2"/>
    </row>
    <row r="1292" spans="1:7" ht="14">
      <c r="A1292" s="431"/>
      <c r="B1292" s="431"/>
      <c r="C1292" s="152"/>
      <c r="D1292" s="1485"/>
      <c r="E1292" s="1485"/>
      <c r="F1292" s="1485"/>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448" t="s">
        <v>136</v>
      </c>
      <c r="C1295" s="14"/>
      <c r="D1295" s="1485" t="s">
        <v>1735</v>
      </c>
      <c r="E1295" s="1485"/>
      <c r="F1295" s="1485"/>
    </row>
    <row r="1296" spans="1:7" ht="14">
      <c r="A1296" s="431"/>
      <c r="B1296" s="431"/>
      <c r="C1296" s="14"/>
      <c r="D1296" s="1485"/>
      <c r="E1296" s="1485"/>
      <c r="F1296" s="1485"/>
    </row>
    <row r="1297" spans="1:7" ht="14">
      <c r="A1297" s="431"/>
      <c r="B1297" s="431"/>
      <c r="C1297" s="14"/>
      <c r="D1297" s="1485"/>
      <c r="E1297" s="1485"/>
      <c r="F1297" s="1485"/>
    </row>
    <row r="1298" spans="1:7" ht="14">
      <c r="A1298" s="431"/>
      <c r="B1298" s="431"/>
      <c r="C1298" s="14"/>
      <c r="D1298" s="1485"/>
      <c r="E1298" s="1485"/>
      <c r="F1298" s="1485"/>
    </row>
    <row r="1299" spans="1:7" ht="14">
      <c r="A1299" s="431"/>
      <c r="B1299" s="431"/>
      <c r="C1299" s="14"/>
      <c r="D1299" s="1485"/>
      <c r="E1299" s="1485"/>
      <c r="F1299" s="1485"/>
    </row>
    <row r="1300" spans="1:7" ht="12.8" customHeight="1">
      <c r="A1300" s="76"/>
      <c r="B1300" s="76"/>
      <c r="C1300" s="297"/>
      <c r="D1300" s="300"/>
      <c r="E1300" s="300"/>
      <c r="F1300" s="300"/>
      <c r="G1300" s="300"/>
    </row>
    <row r="1301" spans="1:7" ht="12.9">
      <c r="A1301" s="1528" t="s">
        <v>1636</v>
      </c>
      <c r="B1301" s="1528"/>
      <c r="C1301" s="1528"/>
      <c r="D1301" s="1528"/>
      <c r="E1301" s="1528"/>
      <c r="F1301" s="1528"/>
      <c r="G1301" s="1528"/>
    </row>
    <row r="1302" spans="1:7" ht="12.9">
      <c r="A1302" s="76"/>
      <c r="B1302" s="76"/>
      <c r="C1302" s="297"/>
      <c r="D1302" s="300"/>
      <c r="E1302" s="300"/>
      <c r="F1302" s="300"/>
      <c r="G1302" s="300"/>
    </row>
    <row r="1303" spans="1:7" ht="12.9">
      <c r="A1303" s="76"/>
      <c r="B1303" s="76"/>
      <c r="C1303" s="297"/>
      <c r="D1303" s="1524" t="s">
        <v>1637</v>
      </c>
      <c r="E1303" s="1524"/>
      <c r="F1303" s="1524"/>
      <c r="G1303" s="300"/>
    </row>
    <row r="1304" spans="1:7" ht="12.9">
      <c r="A1304" s="437"/>
      <c r="B1304" s="437"/>
      <c r="C1304" s="425"/>
      <c r="D1304" s="1525" t="s">
        <v>1654</v>
      </c>
      <c r="E1304" s="1525"/>
      <c r="F1304" s="1525"/>
      <c r="G1304" s="426"/>
    </row>
    <row r="1305" spans="1:7" ht="10.5" customHeight="1">
      <c r="A1305" s="162"/>
      <c r="B1305" s="162"/>
    </row>
    <row r="1306" spans="1:7" ht="14">
      <c r="A1306" s="431"/>
      <c r="B1306" s="1448" t="s">
        <v>136</v>
      </c>
      <c r="D1306" s="1477" t="s">
        <v>1283</v>
      </c>
      <c r="E1306" s="1477"/>
      <c r="F1306" s="1477"/>
    </row>
    <row r="1307" spans="1:7" ht="12.9">
      <c r="A1307" s="162"/>
      <c r="B1307" s="162"/>
      <c r="D1307" s="294"/>
      <c r="E1307" s="1509" t="s">
        <v>1560</v>
      </c>
      <c r="F1307" s="150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0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9">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9">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8"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772" t="s">
        <v>2401</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8" customHeight="1"/>
    <row r="17" spans="1:40" ht="12.8" customHeight="1">
      <c r="A17" s="154" t="s">
        <v>876</v>
      </c>
      <c r="C17" s="8"/>
      <c r="D17" s="8"/>
      <c r="E17" s="8"/>
      <c r="F17" s="8"/>
      <c r="G17" s="8"/>
      <c r="H17" s="1592" t="s">
        <v>2402</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8" customHeight="1"/>
    <row r="19" spans="1:40" ht="15.0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05">
        <f>'Basis &amp; Credits'!AB55</f>
        <v>4310877</v>
      </c>
      <c r="N25" s="1805"/>
      <c r="O25" s="1805"/>
      <c r="P25" s="1805"/>
      <c r="Q25" s="1805"/>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592" t="s">
        <v>2403</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8" customHeight="1">
      <c r="D161" s="768" t="s">
        <v>610</v>
      </c>
      <c r="F161" s="42"/>
      <c r="G161" s="42"/>
      <c r="H161" s="42"/>
      <c r="I161" s="42"/>
      <c r="J161" s="42"/>
      <c r="K161" s="42"/>
      <c r="L161" s="42"/>
      <c r="M161" s="42"/>
      <c r="N161" s="42"/>
      <c r="O161" s="1787" t="s">
        <v>2404</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8" customHeight="1">
      <c r="D162" s="17" t="s">
        <v>611</v>
      </c>
      <c r="F162" s="17"/>
      <c r="G162" s="17"/>
      <c r="H162" s="17"/>
      <c r="I162" s="17"/>
      <c r="J162" s="17"/>
      <c r="K162" s="17"/>
      <c r="L162" s="17"/>
      <c r="M162" s="17"/>
      <c r="N162" s="17"/>
      <c r="O162" s="1795" t="s">
        <v>2434</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8" customHeight="1">
      <c r="D163" s="42" t="s">
        <v>720</v>
      </c>
      <c r="F163" s="42"/>
      <c r="G163" s="42"/>
      <c r="H163" s="42"/>
      <c r="I163" s="42"/>
      <c r="J163" s="42"/>
      <c r="K163" s="42"/>
      <c r="L163" s="42"/>
      <c r="M163" s="42"/>
      <c r="N163" s="42"/>
      <c r="O163" s="1592" t="s">
        <v>2405</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8" customHeight="1">
      <c r="D164" s="42" t="s">
        <v>721</v>
      </c>
      <c r="F164" s="42"/>
      <c r="G164" s="42"/>
      <c r="H164" s="42"/>
      <c r="I164" s="42"/>
      <c r="J164" s="42"/>
      <c r="K164" s="42"/>
      <c r="L164" s="42"/>
      <c r="M164" s="42"/>
      <c r="N164" s="42"/>
      <c r="O164" s="1592" t="s">
        <v>2406</v>
      </c>
      <c r="P164" s="1593"/>
      <c r="Q164" s="1593"/>
      <c r="R164" s="1593"/>
      <c r="S164" s="1593"/>
      <c r="T164" s="1593"/>
      <c r="U164" s="1593"/>
      <c r="V164" s="1593"/>
      <c r="W164" s="1593"/>
      <c r="X164" s="1593"/>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809">
        <v>94503</v>
      </c>
      <c r="P165" s="1809"/>
      <c r="Q165" s="1809"/>
      <c r="R165" s="1809"/>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586" t="s">
        <v>2435</v>
      </c>
      <c r="P166" s="1587"/>
      <c r="Q166" s="1587"/>
      <c r="R166" s="1587"/>
      <c r="S166" s="1587"/>
      <c r="T166" s="1587"/>
      <c r="V166" s="283" t="s">
        <v>12</v>
      </c>
      <c r="W166" s="1810"/>
      <c r="X166" s="1810"/>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586"/>
      <c r="P167" s="1587"/>
      <c r="Q167" s="1587"/>
      <c r="R167" s="1587"/>
      <c r="S167" s="1587"/>
      <c r="T167" s="1587"/>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590" t="s">
        <v>2407</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8" customHeight="1"/>
    <row r="173" spans="1:59" ht="12.9">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8"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820"/>
      <c r="V179" s="1820"/>
      <c r="W179" s="4" t="s">
        <v>260</v>
      </c>
      <c r="X179" s="1808"/>
      <c r="Y179" s="1808"/>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9">
      <c r="A185" s="35"/>
      <c r="C185" s="55"/>
      <c r="D185" s="3" t="s">
        <v>612</v>
      </c>
      <c r="O185" s="625"/>
      <c r="P185" s="827"/>
      <c r="Q185" s="625"/>
      <c r="R185" s="625"/>
      <c r="Y185" s="1625" t="s">
        <v>536</v>
      </c>
      <c r="Z185" s="1811"/>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98" t="str">
        <f>H17</f>
        <v>Lemos Pointe at Watson Ranch</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9">
      <c r="A192" s="35"/>
      <c r="C192" s="58"/>
      <c r="D192" s="35" t="s">
        <v>483</v>
      </c>
      <c r="E192" s="35"/>
      <c r="F192" s="35"/>
      <c r="G192" s="35"/>
      <c r="H192" s="35"/>
      <c r="I192" s="1787"/>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987" t="s">
        <v>2408</v>
      </c>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9">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9">
      <c r="A196" s="35"/>
      <c r="C196" s="58"/>
      <c r="D196" s="35" t="s">
        <v>484</v>
      </c>
      <c r="E196" s="35"/>
      <c r="I196" s="1592" t="s">
        <v>2406</v>
      </c>
      <c r="J196" s="1595"/>
      <c r="K196" s="1595"/>
      <c r="L196" s="1595"/>
      <c r="M196" s="1595"/>
      <c r="N196" s="1595"/>
      <c r="O196" s="1595"/>
      <c r="P196" s="1595"/>
      <c r="Q196" s="35" t="s">
        <v>486</v>
      </c>
      <c r="T196" s="1592" t="s">
        <v>463</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9">
      <c r="A197" s="35"/>
      <c r="C197" s="59"/>
      <c r="D197" s="35" t="s">
        <v>487</v>
      </c>
      <c r="E197" s="35"/>
      <c r="F197" s="35"/>
      <c r="G197" s="35"/>
      <c r="I197" s="1719">
        <v>94503</v>
      </c>
      <c r="J197" s="1719"/>
      <c r="K197" s="1719"/>
      <c r="L197" s="1719"/>
      <c r="M197" s="1719"/>
      <c r="N197" s="1719"/>
      <c r="O197" s="35" t="s">
        <v>489</v>
      </c>
      <c r="P197" s="35"/>
      <c r="Q197" s="35"/>
      <c r="R197" s="35"/>
      <c r="S197" s="35"/>
      <c r="T197" s="1821">
        <v>2010.03</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986" t="s">
        <v>2409</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625" t="s">
        <v>119</v>
      </c>
      <c r="U200" s="1625"/>
      <c r="W200" s="72" t="s">
        <v>2221</v>
      </c>
      <c r="AA200" s="1584">
        <v>2020</v>
      </c>
      <c r="AB200" s="1584"/>
      <c r="AC200" s="1584"/>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9">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9">
      <c r="A204" s="35"/>
      <c r="C204" s="59"/>
      <c r="D204" s="72" t="s">
        <v>2222</v>
      </c>
      <c r="T204" s="1625" t="s">
        <v>536</v>
      </c>
      <c r="U204" s="1625"/>
      <c r="AJ204" s="3"/>
      <c r="AK204" s="3"/>
      <c r="AL204" s="3"/>
      <c r="AM204" s="35" t="s">
        <v>132</v>
      </c>
      <c r="AP204" s="8" t="s">
        <v>1306</v>
      </c>
      <c r="BA204" s="47" t="s">
        <v>641</v>
      </c>
      <c r="BG204" s="16" t="s">
        <v>463</v>
      </c>
    </row>
    <row r="205" spans="1:59" ht="12.8"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98" t="str">
        <f>IF(AND(M25&gt;0,M27&gt;0),"Federal and State","Federal Only")</f>
        <v>Federal Only</v>
      </c>
      <c r="E210" s="1798"/>
      <c r="F210" s="1798"/>
      <c r="G210" s="1798"/>
      <c r="H210" s="1798"/>
      <c r="I210" s="1798"/>
      <c r="J210" s="1798"/>
      <c r="K210" s="1798"/>
      <c r="L210" s="1798"/>
      <c r="M210" s="1798"/>
      <c r="P210" s="1989">
        <f>M25</f>
        <v>4310877</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9">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9">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9">
      <c r="C218" s="58"/>
      <c r="D218" s="1593" t="s">
        <v>1303</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9">
      <c r="D222" s="64"/>
      <c r="E222" s="8" t="s">
        <v>1630</v>
      </c>
      <c r="AE222" s="1981">
        <v>0</v>
      </c>
      <c r="AF222" s="1981"/>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592" t="s">
        <v>1632</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625">
        <v>5</v>
      </c>
      <c r="P230" s="1625"/>
      <c r="AP230" s="284" t="s">
        <v>152</v>
      </c>
      <c r="BA230" s="47" t="s">
        <v>4</v>
      </c>
      <c r="BG230" s="69" t="s">
        <v>903</v>
      </c>
    </row>
    <row r="231" spans="1:66" ht="11.95" customHeight="1">
      <c r="D231" s="35" t="s">
        <v>625</v>
      </c>
      <c r="E231" s="35"/>
      <c r="F231" s="35"/>
      <c r="G231" s="35"/>
      <c r="H231" s="35"/>
      <c r="I231" s="35"/>
      <c r="J231" s="35"/>
      <c r="K231" s="35"/>
      <c r="L231" s="35"/>
      <c r="M231" s="35"/>
      <c r="N231" s="35"/>
      <c r="O231" s="1625">
        <v>4</v>
      </c>
      <c r="P231" s="1625"/>
      <c r="AP231" s="285" t="s">
        <v>1635</v>
      </c>
      <c r="BA231" s="47" t="s">
        <v>21</v>
      </c>
      <c r="BG231" s="69" t="s">
        <v>22</v>
      </c>
    </row>
    <row r="232" spans="1:66" ht="12.9">
      <c r="D232" s="35" t="s">
        <v>626</v>
      </c>
      <c r="E232" s="35"/>
      <c r="F232" s="35"/>
      <c r="G232" s="35"/>
      <c r="H232" s="35"/>
      <c r="I232" s="35"/>
      <c r="J232" s="35"/>
      <c r="K232" s="35"/>
      <c r="L232" s="35"/>
      <c r="M232" s="35"/>
      <c r="N232" s="35"/>
      <c r="O232" s="1625">
        <v>3</v>
      </c>
      <c r="P232" s="1625"/>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4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806" t="str">
        <f>H15</f>
        <v>American Canyon Pacific Associates,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9">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9">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9">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9">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9">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9">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0</v>
      </c>
      <c r="BB246" s="75"/>
    </row>
    <row r="247" spans="1:56" ht="12.9">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2</v>
      </c>
      <c r="BD249" s="75"/>
    </row>
    <row r="250" spans="1:56" ht="12.9">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9">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9">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772" t="s">
        <v>2382</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2318</v>
      </c>
      <c r="AG258" s="1773"/>
      <c r="AH258" s="1773"/>
      <c r="AI258" s="1773"/>
      <c r="AJ258" s="1773"/>
      <c r="AK258" s="1773"/>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592" t="s">
        <v>2383</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9">
      <c r="A260" s="39"/>
      <c r="B260" s="8"/>
      <c r="C260" s="8"/>
      <c r="D260" s="71" t="s">
        <v>484</v>
      </c>
      <c r="E260" s="71"/>
      <c r="M260" s="1592" t="s">
        <v>459</v>
      </c>
      <c r="N260" s="1593"/>
      <c r="O260" s="1593"/>
      <c r="P260" s="1593"/>
      <c r="Q260" s="1593"/>
      <c r="R260" s="1593"/>
      <c r="S260" s="1593"/>
      <c r="T260" s="1593"/>
      <c r="V260" s="73" t="s">
        <v>423</v>
      </c>
      <c r="W260" s="1787" t="s">
        <v>2319</v>
      </c>
      <c r="X260" s="1596"/>
      <c r="Y260" s="71" t="s">
        <v>487</v>
      </c>
      <c r="AC260" s="1593">
        <v>95348</v>
      </c>
      <c r="AD260" s="1593"/>
      <c r="AE260" s="1593"/>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592" t="s">
        <v>2384</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588" t="s">
        <v>2385</v>
      </c>
      <c r="N262" s="1589"/>
      <c r="O262" s="1589"/>
      <c r="P262" s="1589"/>
      <c r="Q262" s="1589"/>
      <c r="R262" s="1589"/>
      <c r="S262" s="8" t="s">
        <v>907</v>
      </c>
      <c r="T262" s="8"/>
      <c r="U262" s="1596"/>
      <c r="V262" s="1596"/>
      <c r="W262" s="1596"/>
      <c r="X262" s="8" t="s">
        <v>426</v>
      </c>
      <c r="Z262" s="1588" t="s">
        <v>2386</v>
      </c>
      <c r="AA262" s="1589"/>
      <c r="AB262" s="1589"/>
      <c r="AC262" s="1589"/>
      <c r="AD262" s="1589"/>
      <c r="AE262" s="1589"/>
      <c r="BA262" s="35"/>
      <c r="BB262" s="35"/>
    </row>
    <row r="263" spans="1:58" ht="12.9">
      <c r="A263" s="39"/>
      <c r="B263" s="8"/>
      <c r="C263" s="8"/>
      <c r="D263" s="74" t="s">
        <v>427</v>
      </c>
      <c r="E263" s="8"/>
      <c r="F263" s="8"/>
      <c r="M263" s="1590" t="s">
        <v>2387</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719" t="s">
        <v>707</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9">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9">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9">
      <c r="A270" s="33"/>
      <c r="B270" s="8"/>
      <c r="C270" s="8"/>
      <c r="D270" s="74" t="s">
        <v>425</v>
      </c>
      <c r="E270" s="8"/>
      <c r="F270" s="8"/>
      <c r="M270" s="1589"/>
      <c r="N270" s="1589"/>
      <c r="O270" s="1589"/>
      <c r="P270" s="1589"/>
      <c r="Q270" s="1589"/>
      <c r="R270" s="1589"/>
      <c r="S270" s="8" t="s">
        <v>907</v>
      </c>
      <c r="T270" s="8"/>
      <c r="U270" s="1596"/>
      <c r="V270" s="1596"/>
      <c r="W270" s="1596"/>
      <c r="X270" s="8" t="s">
        <v>426</v>
      </c>
      <c r="Z270" s="1589"/>
      <c r="AA270" s="1589"/>
      <c r="AB270" s="1589"/>
      <c r="AC270" s="1589"/>
      <c r="AD270" s="1589"/>
      <c r="AE270" s="1589"/>
      <c r="AL270" s="72"/>
      <c r="BA270" s="75"/>
    </row>
    <row r="271" spans="1:58" ht="12.9">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9">
      <c r="A272" s="33"/>
      <c r="B272" s="8"/>
      <c r="C272" s="159"/>
      <c r="D272" s="74" t="s">
        <v>708</v>
      </c>
      <c r="E272" s="8"/>
      <c r="F272" s="8"/>
      <c r="G272" s="8"/>
      <c r="H272" s="8"/>
      <c r="I272" s="8"/>
      <c r="J272" s="8"/>
      <c r="K272" s="8"/>
      <c r="L272" s="8"/>
      <c r="M272" s="1719" t="s">
        <v>86</v>
      </c>
      <c r="N272" s="1719"/>
      <c r="O272" s="1719"/>
      <c r="P272" s="1719"/>
      <c r="Q272" s="1719"/>
      <c r="R272" s="1719"/>
      <c r="S272" s="1719"/>
      <c r="T272" s="1719"/>
      <c r="U272" s="8" t="s">
        <v>1293</v>
      </c>
      <c r="AA272" s="1591"/>
      <c r="AB272" s="1591"/>
      <c r="AC272" s="1591"/>
      <c r="AD272" s="1591"/>
      <c r="AE272" s="1591"/>
      <c r="AF272" s="1591"/>
      <c r="AG272" s="1591"/>
      <c r="AH272" s="1591"/>
      <c r="AI272" s="1591"/>
      <c r="AJ272" s="1591"/>
      <c r="AK272" s="1591"/>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593" t="s">
        <v>1005</v>
      </c>
      <c r="E277" s="1593"/>
      <c r="F277" s="1593"/>
      <c r="G277" s="1593"/>
      <c r="H277" s="1593"/>
      <c r="J277" s="16" t="s">
        <v>1004</v>
      </c>
      <c r="X277" s="1594"/>
      <c r="Y277" s="1594"/>
      <c r="Z277" s="1594"/>
      <c r="AA277" s="1594"/>
      <c r="AB277" s="1594"/>
      <c r="AC277" s="1594"/>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9">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9">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9">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9">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9">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9">
      <c r="D287" s="72" t="s">
        <v>204</v>
      </c>
      <c r="E287" s="72"/>
      <c r="F287" s="72"/>
      <c r="G287" s="72"/>
      <c r="H287" s="72"/>
      <c r="I287" s="72"/>
      <c r="L287" s="1787" t="s">
        <v>2324</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9">
      <c r="L288" s="46" t="s">
        <v>205</v>
      </c>
      <c r="BA288" s="75"/>
    </row>
    <row r="289" spans="1:53" ht="12.9">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4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2410</v>
      </c>
      <c r="AB294" s="1595"/>
      <c r="AC294" s="1595"/>
      <c r="AD294" s="1595"/>
      <c r="AE294" s="1595"/>
      <c r="AF294" s="1595"/>
      <c r="AG294" s="1595"/>
      <c r="AH294" s="1595"/>
      <c r="AI294" s="1595"/>
      <c r="AJ294" s="1595"/>
      <c r="AK294" s="1595"/>
      <c r="BA294" s="75"/>
    </row>
    <row r="295" spans="1:53" ht="12.9">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2310</v>
      </c>
      <c r="AB295" s="1719"/>
      <c r="AC295" s="1719"/>
      <c r="AD295" s="1719"/>
      <c r="AE295" s="1719"/>
      <c r="AF295" s="1719"/>
      <c r="AG295" s="1719"/>
      <c r="AH295" s="1719"/>
      <c r="AI295" s="1719"/>
      <c r="AJ295" s="1719"/>
      <c r="AK295" s="1719"/>
      <c r="BA295" s="75"/>
    </row>
    <row r="296" spans="1:53" ht="12.9">
      <c r="B296" s="72" t="s">
        <v>774</v>
      </c>
      <c r="C296" s="72"/>
      <c r="D296" s="72"/>
      <c r="E296" s="72"/>
      <c r="F296" s="72"/>
      <c r="H296" s="1719" t="s">
        <v>2325</v>
      </c>
      <c r="I296" s="1719"/>
      <c r="J296" s="1719"/>
      <c r="K296" s="1719"/>
      <c r="L296" s="1719"/>
      <c r="M296" s="1719"/>
      <c r="N296" s="1719"/>
      <c r="O296" s="1719"/>
      <c r="P296" s="1719"/>
      <c r="Q296" s="1719"/>
      <c r="R296" s="1719"/>
      <c r="T296" s="72" t="s">
        <v>773</v>
      </c>
      <c r="V296" s="72"/>
      <c r="W296" s="72"/>
      <c r="X296" s="72"/>
      <c r="Y296" s="72"/>
      <c r="AA296" s="1719" t="s">
        <v>2325</v>
      </c>
      <c r="AB296" s="1719"/>
      <c r="AC296" s="1719"/>
      <c r="AD296" s="1719"/>
      <c r="AE296" s="1719"/>
      <c r="AF296" s="1719"/>
      <c r="AG296" s="1719"/>
      <c r="AH296" s="1719"/>
      <c r="AI296" s="1719"/>
      <c r="AJ296" s="1719"/>
      <c r="AK296" s="1719"/>
      <c r="BA296" s="75"/>
    </row>
    <row r="297" spans="1:53" ht="12.8"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2436</v>
      </c>
      <c r="AB297" s="1719"/>
      <c r="AC297" s="1719"/>
      <c r="AD297" s="1719"/>
      <c r="AE297" s="1719"/>
      <c r="AF297" s="1719"/>
      <c r="AG297" s="1719"/>
      <c r="AH297" s="1719"/>
      <c r="AI297" s="1719"/>
      <c r="AJ297" s="1719"/>
      <c r="AK297" s="1719"/>
      <c r="BA297" s="75"/>
    </row>
    <row r="298" spans="1:53" ht="12.9">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2312</v>
      </c>
      <c r="AB298" s="1591"/>
      <c r="AC298" s="1591"/>
      <c r="AD298" s="1591"/>
      <c r="AE298" s="1591"/>
      <c r="AF298" s="1591"/>
      <c r="AG298" s="8" t="s">
        <v>907</v>
      </c>
      <c r="AH298" s="8"/>
      <c r="AI298" s="1593">
        <v>3021</v>
      </c>
      <c r="AJ298" s="1593"/>
      <c r="AK298" s="1593"/>
      <c r="BA298" s="75"/>
    </row>
    <row r="299" spans="1:53" ht="12.9">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t="s">
        <v>2326</v>
      </c>
      <c r="AB299" s="1589"/>
      <c r="AC299" s="1589"/>
      <c r="AD299" s="1589"/>
      <c r="AE299" s="1589"/>
      <c r="AF299" s="1589"/>
      <c r="AG299" s="74"/>
      <c r="AH299" s="74"/>
      <c r="AI299" s="76"/>
      <c r="AJ299" s="76"/>
      <c r="AK299" s="76"/>
      <c r="BA299" s="75"/>
    </row>
    <row r="300" spans="1:53" ht="12.9">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2411</v>
      </c>
      <c r="AB300" s="1719"/>
      <c r="AC300" s="1719"/>
      <c r="AD300" s="1719"/>
      <c r="AE300" s="1719"/>
      <c r="AF300" s="1719"/>
      <c r="AG300" s="1595"/>
      <c r="AH300" s="1595"/>
      <c r="AI300" s="1595"/>
      <c r="AJ300" s="1595"/>
      <c r="AK300" s="1595"/>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595" t="s">
        <v>2327</v>
      </c>
      <c r="I302" s="1595"/>
      <c r="J302" s="1595"/>
      <c r="K302" s="1595"/>
      <c r="L302" s="1595"/>
      <c r="M302" s="1595"/>
      <c r="N302" s="1595"/>
      <c r="O302" s="1595"/>
      <c r="P302" s="1595"/>
      <c r="Q302" s="1595"/>
      <c r="R302" s="1595"/>
      <c r="T302" s="72" t="s">
        <v>40</v>
      </c>
      <c r="V302" s="72"/>
      <c r="W302" s="72"/>
      <c r="X302" s="72"/>
      <c r="Y302" s="72"/>
      <c r="AA302" s="1595" t="s">
        <v>2328</v>
      </c>
      <c r="AB302" s="1595"/>
      <c r="AC302" s="1595"/>
      <c r="AD302" s="1595"/>
      <c r="AE302" s="1595"/>
      <c r="AF302" s="1595"/>
      <c r="AG302" s="1595"/>
      <c r="AH302" s="1595"/>
      <c r="AI302" s="1595"/>
      <c r="AJ302" s="1595"/>
      <c r="AK302" s="1595"/>
      <c r="BA302" s="75"/>
    </row>
    <row r="303" spans="1:53" ht="12.9">
      <c r="B303" s="72" t="s">
        <v>772</v>
      </c>
      <c r="C303" s="72"/>
      <c r="D303" s="72"/>
      <c r="E303" s="72"/>
      <c r="F303" s="72"/>
      <c r="H303" s="1719" t="s">
        <v>2329</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9">
      <c r="B304" s="72" t="s">
        <v>774</v>
      </c>
      <c r="C304" s="72"/>
      <c r="D304" s="72"/>
      <c r="E304" s="72"/>
      <c r="F304" s="72"/>
      <c r="H304" s="1719" t="s">
        <v>2325</v>
      </c>
      <c r="I304" s="1719"/>
      <c r="J304" s="1719"/>
      <c r="K304" s="1719"/>
      <c r="L304" s="1719"/>
      <c r="M304" s="1719"/>
      <c r="N304" s="1719"/>
      <c r="O304" s="1719"/>
      <c r="P304" s="1719"/>
      <c r="Q304" s="1719"/>
      <c r="R304" s="1719"/>
      <c r="T304" s="72" t="s">
        <v>773</v>
      </c>
      <c r="V304" s="72"/>
      <c r="W304" s="72"/>
      <c r="X304" s="72"/>
      <c r="Y304" s="72"/>
      <c r="AA304" s="1719" t="s">
        <v>2325</v>
      </c>
      <c r="AB304" s="1719"/>
      <c r="AC304" s="1719"/>
      <c r="AD304" s="1719"/>
      <c r="AE304" s="1719"/>
      <c r="AF304" s="1719"/>
      <c r="AG304" s="1719"/>
      <c r="AH304" s="1719"/>
      <c r="AI304" s="1719"/>
      <c r="AJ304" s="1719"/>
      <c r="AK304" s="1719"/>
      <c r="BA304" s="75"/>
    </row>
    <row r="305" spans="2:53" ht="12.8" customHeight="1">
      <c r="B305" s="72" t="s">
        <v>424</v>
      </c>
      <c r="C305" s="72"/>
      <c r="D305" s="72"/>
      <c r="E305" s="72"/>
      <c r="F305" s="72"/>
      <c r="H305" s="1719" t="s">
        <v>2330</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9">
      <c r="B306" s="72" t="s">
        <v>425</v>
      </c>
      <c r="C306" s="72"/>
      <c r="D306" s="72"/>
      <c r="E306" s="72"/>
      <c r="F306" s="72"/>
      <c r="G306" s="72"/>
      <c r="H306" s="1586" t="s">
        <v>2331</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9">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2326</v>
      </c>
      <c r="AB307" s="1589"/>
      <c r="AC307" s="1589"/>
      <c r="AD307" s="1589"/>
      <c r="AE307" s="1589"/>
      <c r="AF307" s="1589"/>
      <c r="AG307" s="74"/>
      <c r="AH307" s="74"/>
      <c r="AI307" s="76"/>
      <c r="AJ307" s="76"/>
      <c r="AK307" s="76"/>
      <c r="BA307" s="75"/>
    </row>
    <row r="308" spans="2:53" ht="12.9">
      <c r="B308" s="72" t="s">
        <v>775</v>
      </c>
      <c r="C308" s="72"/>
      <c r="D308" s="72"/>
      <c r="E308" s="72"/>
      <c r="F308" s="72"/>
      <c r="G308" s="72"/>
      <c r="H308" s="1719" t="s">
        <v>2332</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8" customHeight="1">
      <c r="BA309" s="75"/>
    </row>
    <row r="310" spans="2:53" ht="12.8" customHeight="1">
      <c r="B310" s="72" t="s">
        <v>776</v>
      </c>
      <c r="C310" s="72"/>
      <c r="D310" s="72"/>
      <c r="E310" s="72"/>
      <c r="F310" s="72"/>
      <c r="H310" s="1595" t="s">
        <v>2333</v>
      </c>
      <c r="I310" s="1595"/>
      <c r="J310" s="1595"/>
      <c r="K310" s="1595"/>
      <c r="L310" s="1595"/>
      <c r="M310" s="1595"/>
      <c r="N310" s="1595"/>
      <c r="O310" s="1595"/>
      <c r="P310" s="1595"/>
      <c r="Q310" s="1595"/>
      <c r="R310" s="1595"/>
      <c r="T310" s="8" t="s">
        <v>1248</v>
      </c>
      <c r="V310" s="72"/>
      <c r="W310" s="72"/>
      <c r="X310" s="72"/>
      <c r="Y310" s="72"/>
      <c r="AA310" s="1595" t="s">
        <v>2388</v>
      </c>
      <c r="AB310" s="1595"/>
      <c r="AC310" s="1595"/>
      <c r="AD310" s="1595"/>
      <c r="AE310" s="1595"/>
      <c r="AF310" s="1595"/>
      <c r="AG310" s="1595"/>
      <c r="AH310" s="1595"/>
      <c r="AI310" s="1595"/>
      <c r="AJ310" s="1595"/>
      <c r="AK310" s="1595"/>
      <c r="BA310" s="75"/>
    </row>
    <row r="311" spans="2:53" ht="12.8" customHeight="1">
      <c r="B311" s="72" t="s">
        <v>772</v>
      </c>
      <c r="C311" s="72"/>
      <c r="D311" s="72"/>
      <c r="E311" s="72"/>
      <c r="F311" s="72"/>
      <c r="H311" s="1719" t="s">
        <v>2334</v>
      </c>
      <c r="I311" s="1719"/>
      <c r="J311" s="1719"/>
      <c r="K311" s="1719"/>
      <c r="L311" s="1719"/>
      <c r="M311" s="1719"/>
      <c r="N311" s="1719"/>
      <c r="O311" s="1719"/>
      <c r="P311" s="1719"/>
      <c r="Q311" s="1719"/>
      <c r="R311" s="1719"/>
      <c r="T311" s="72" t="s">
        <v>772</v>
      </c>
      <c r="V311" s="72"/>
      <c r="W311" s="72"/>
      <c r="X311" s="72"/>
      <c r="Y311" s="72"/>
      <c r="AA311" s="1719" t="s">
        <v>2389</v>
      </c>
      <c r="AB311" s="1719"/>
      <c r="AC311" s="1719"/>
      <c r="AD311" s="1719"/>
      <c r="AE311" s="1719"/>
      <c r="AF311" s="1719"/>
      <c r="AG311" s="1719"/>
      <c r="AH311" s="1719"/>
      <c r="AI311" s="1719"/>
      <c r="AJ311" s="1719"/>
      <c r="AK311" s="1719"/>
      <c r="BA311" s="75"/>
    </row>
    <row r="312" spans="2:53" ht="12.8" customHeight="1">
      <c r="B312" s="72" t="s">
        <v>774</v>
      </c>
      <c r="C312" s="72"/>
      <c r="D312" s="72"/>
      <c r="E312" s="72"/>
      <c r="F312" s="72"/>
      <c r="H312" s="1719" t="s">
        <v>2335</v>
      </c>
      <c r="I312" s="1719"/>
      <c r="J312" s="1719"/>
      <c r="K312" s="1719"/>
      <c r="L312" s="1719"/>
      <c r="M312" s="1719"/>
      <c r="N312" s="1719"/>
      <c r="O312" s="1719"/>
      <c r="P312" s="1719"/>
      <c r="Q312" s="1719"/>
      <c r="R312" s="1719"/>
      <c r="T312" s="72" t="s">
        <v>773</v>
      </c>
      <c r="V312" s="72"/>
      <c r="W312" s="72"/>
      <c r="X312" s="72"/>
      <c r="Y312" s="72"/>
      <c r="AA312" s="1719" t="s">
        <v>2390</v>
      </c>
      <c r="AB312" s="1719"/>
      <c r="AC312" s="1719"/>
      <c r="AD312" s="1719"/>
      <c r="AE312" s="1719"/>
      <c r="AF312" s="1719"/>
      <c r="AG312" s="1719"/>
      <c r="AH312" s="1719"/>
      <c r="AI312" s="1719"/>
      <c r="AJ312" s="1719"/>
      <c r="AK312" s="1719"/>
      <c r="BA312" s="75"/>
    </row>
    <row r="313" spans="2:53" ht="12.9">
      <c r="B313" s="72" t="s">
        <v>424</v>
      </c>
      <c r="C313" s="72"/>
      <c r="D313" s="72"/>
      <c r="E313" s="72"/>
      <c r="F313" s="72"/>
      <c r="H313" s="1719" t="s">
        <v>2336</v>
      </c>
      <c r="I313" s="1719"/>
      <c r="J313" s="1719"/>
      <c r="K313" s="1719"/>
      <c r="L313" s="1719"/>
      <c r="M313" s="1719"/>
      <c r="N313" s="1719"/>
      <c r="O313" s="1719"/>
      <c r="P313" s="1719"/>
      <c r="Q313" s="1719"/>
      <c r="R313" s="1719"/>
      <c r="T313" s="72" t="s">
        <v>424</v>
      </c>
      <c r="V313" s="72"/>
      <c r="W313" s="72"/>
      <c r="X313" s="72"/>
      <c r="Y313" s="72"/>
      <c r="AA313" s="1719" t="s">
        <v>2391</v>
      </c>
      <c r="AB313" s="1719"/>
      <c r="AC313" s="1719"/>
      <c r="AD313" s="1719"/>
      <c r="AE313" s="1719"/>
      <c r="AF313" s="1719"/>
      <c r="AG313" s="1719"/>
      <c r="AH313" s="1719"/>
      <c r="AI313" s="1719"/>
      <c r="AJ313" s="1719"/>
      <c r="AK313" s="1719"/>
      <c r="BA313" s="75"/>
    </row>
    <row r="314" spans="2:53" ht="12.9">
      <c r="B314" s="72" t="s">
        <v>425</v>
      </c>
      <c r="C314" s="72"/>
      <c r="D314" s="72"/>
      <c r="E314" s="72"/>
      <c r="F314" s="72"/>
      <c r="G314" s="72"/>
      <c r="H314" s="1586" t="s">
        <v>2337</v>
      </c>
      <c r="I314" s="1591"/>
      <c r="J314" s="1591"/>
      <c r="K314" s="1591"/>
      <c r="L314" s="1591"/>
      <c r="M314" s="1591"/>
      <c r="N314" s="8" t="s">
        <v>907</v>
      </c>
      <c r="O314" s="8"/>
      <c r="P314" s="1593"/>
      <c r="Q314" s="1593"/>
      <c r="R314" s="1593"/>
      <c r="S314" s="72"/>
      <c r="T314" s="72" t="s">
        <v>425</v>
      </c>
      <c r="V314" s="72"/>
      <c r="W314" s="72"/>
      <c r="X314" s="72"/>
      <c r="Y314" s="72"/>
      <c r="AA314" s="1586" t="s">
        <v>2392</v>
      </c>
      <c r="AB314" s="1591"/>
      <c r="AC314" s="1591"/>
      <c r="AD314" s="1591"/>
      <c r="AE314" s="1591"/>
      <c r="AF314" s="1591"/>
      <c r="AG314" s="8" t="s">
        <v>907</v>
      </c>
      <c r="AH314" s="8"/>
      <c r="AI314" s="1593"/>
      <c r="AJ314" s="1593"/>
      <c r="AK314" s="1593"/>
      <c r="BA314" s="75"/>
    </row>
    <row r="315" spans="2:53" ht="12.9">
      <c r="B315" s="72" t="s">
        <v>426</v>
      </c>
      <c r="C315" s="72"/>
      <c r="D315" s="72"/>
      <c r="E315" s="72"/>
      <c r="F315" s="72"/>
      <c r="G315" s="72"/>
      <c r="H315" s="1588" t="s">
        <v>2338</v>
      </c>
      <c r="I315" s="1589"/>
      <c r="J315" s="1589"/>
      <c r="K315" s="1589"/>
      <c r="L315" s="1589"/>
      <c r="M315" s="1589"/>
      <c r="N315" s="74"/>
      <c r="O315" s="74"/>
      <c r="P315" s="76"/>
      <c r="Q315" s="76"/>
      <c r="R315" s="76"/>
      <c r="S315" s="72"/>
      <c r="T315" s="72" t="s">
        <v>426</v>
      </c>
      <c r="V315" s="72"/>
      <c r="W315" s="72"/>
      <c r="X315" s="72"/>
      <c r="Y315" s="72"/>
      <c r="AA315" s="1588" t="s">
        <v>2393</v>
      </c>
      <c r="AB315" s="1589"/>
      <c r="AC315" s="1589"/>
      <c r="AD315" s="1589"/>
      <c r="AE315" s="1589"/>
      <c r="AF315" s="1589"/>
      <c r="AG315" s="74"/>
      <c r="AH315" s="74"/>
      <c r="AI315" s="76"/>
      <c r="AJ315" s="76"/>
      <c r="AK315" s="76"/>
      <c r="BA315" s="75"/>
    </row>
    <row r="316" spans="2:53" ht="12.9">
      <c r="B316" s="72" t="s">
        <v>775</v>
      </c>
      <c r="C316" s="72"/>
      <c r="D316" s="72"/>
      <c r="E316" s="72"/>
      <c r="F316" s="72"/>
      <c r="G316" s="72"/>
      <c r="H316" s="1719" t="s">
        <v>2339</v>
      </c>
      <c r="I316" s="1719"/>
      <c r="J316" s="1719"/>
      <c r="K316" s="1719"/>
      <c r="L316" s="1719"/>
      <c r="M316" s="1719"/>
      <c r="N316" s="1595"/>
      <c r="O316" s="1595"/>
      <c r="P316" s="1595"/>
      <c r="Q316" s="1595"/>
      <c r="R316" s="1595"/>
      <c r="S316" s="72"/>
      <c r="T316" s="72" t="s">
        <v>775</v>
      </c>
      <c r="V316" s="72"/>
      <c r="W316" s="72"/>
      <c r="X316" s="72"/>
      <c r="Y316" s="72"/>
      <c r="AA316" s="1719" t="s">
        <v>2394</v>
      </c>
      <c r="AB316" s="1719"/>
      <c r="AC316" s="1719"/>
      <c r="AD316" s="1719"/>
      <c r="AE316" s="1719"/>
      <c r="AF316" s="1719"/>
      <c r="AG316" s="1595"/>
      <c r="AH316" s="1595"/>
      <c r="AI316" s="1595"/>
      <c r="AJ316" s="1595"/>
      <c r="AK316" s="1595"/>
      <c r="BA316" s="75"/>
    </row>
    <row r="317" spans="2:53" ht="12.9">
      <c r="BA317" s="75"/>
    </row>
    <row r="318" spans="2:53" ht="12.9">
      <c r="B318" s="8" t="s">
        <v>1295</v>
      </c>
      <c r="C318" s="72"/>
      <c r="D318" s="72"/>
      <c r="E318" s="72"/>
      <c r="F318" s="72"/>
      <c r="H318" s="1595" t="s">
        <v>2340</v>
      </c>
      <c r="I318" s="1595"/>
      <c r="J318" s="1595"/>
      <c r="K318" s="1595"/>
      <c r="L318" s="1595"/>
      <c r="M318" s="1595"/>
      <c r="N318" s="1595"/>
      <c r="O318" s="1595"/>
      <c r="P318" s="1595"/>
      <c r="Q318" s="1595"/>
      <c r="R318" s="1595"/>
      <c r="T318" s="72" t="s">
        <v>41</v>
      </c>
      <c r="V318" s="72"/>
      <c r="W318" s="72"/>
      <c r="X318" s="72"/>
      <c r="Y318" s="72"/>
      <c r="AA318" s="1595" t="s">
        <v>2341</v>
      </c>
      <c r="AB318" s="1595"/>
      <c r="AC318" s="1595"/>
      <c r="AD318" s="1595"/>
      <c r="AE318" s="1595"/>
      <c r="AF318" s="1595"/>
      <c r="AG318" s="1595"/>
      <c r="AH318" s="1595"/>
      <c r="AI318" s="1595"/>
      <c r="AJ318" s="1595"/>
      <c r="AK318" s="1595"/>
      <c r="BA318" s="75"/>
    </row>
    <row r="319" spans="2:53" ht="12.8" customHeight="1">
      <c r="B319" s="72" t="s">
        <v>772</v>
      </c>
      <c r="C319" s="72"/>
      <c r="D319" s="72"/>
      <c r="E319" s="72"/>
      <c r="F319" s="72"/>
      <c r="H319" s="1719" t="s">
        <v>2342</v>
      </c>
      <c r="I319" s="1719"/>
      <c r="J319" s="1719"/>
      <c r="K319" s="1719"/>
      <c r="L319" s="1719"/>
      <c r="M319" s="1719"/>
      <c r="N319" s="1719"/>
      <c r="O319" s="1719"/>
      <c r="P319" s="1719"/>
      <c r="Q319" s="1719"/>
      <c r="R319" s="1719"/>
      <c r="T319" s="72" t="s">
        <v>772</v>
      </c>
      <c r="V319" s="72"/>
      <c r="W319" s="72"/>
      <c r="X319" s="72"/>
      <c r="Y319" s="72"/>
      <c r="AA319" s="1719" t="s">
        <v>2343</v>
      </c>
      <c r="AB319" s="1719"/>
      <c r="AC319" s="1719"/>
      <c r="AD319" s="1719"/>
      <c r="AE319" s="1719"/>
      <c r="AF319" s="1719"/>
      <c r="AG319" s="1719"/>
      <c r="AH319" s="1719"/>
      <c r="AI319" s="1719"/>
      <c r="AJ319" s="1719"/>
      <c r="AK319" s="1719"/>
      <c r="BA319" s="75"/>
    </row>
    <row r="320" spans="2:53" ht="12.8" customHeight="1">
      <c r="B320" s="72" t="s">
        <v>774</v>
      </c>
      <c r="C320" s="72"/>
      <c r="D320" s="72"/>
      <c r="E320" s="72"/>
      <c r="F320" s="72"/>
      <c r="H320" s="1719" t="s">
        <v>2344</v>
      </c>
      <c r="I320" s="1719"/>
      <c r="J320" s="1719"/>
      <c r="K320" s="1719"/>
      <c r="L320" s="1719"/>
      <c r="M320" s="1719"/>
      <c r="N320" s="1719"/>
      <c r="O320" s="1719"/>
      <c r="P320" s="1719"/>
      <c r="Q320" s="1719"/>
      <c r="R320" s="1719"/>
      <c r="T320" s="72" t="s">
        <v>773</v>
      </c>
      <c r="V320" s="72"/>
      <c r="W320" s="72"/>
      <c r="X320" s="72"/>
      <c r="Y320" s="72"/>
      <c r="AA320" s="1719" t="s">
        <v>2345</v>
      </c>
      <c r="AB320" s="1719"/>
      <c r="AC320" s="1719"/>
      <c r="AD320" s="1719"/>
      <c r="AE320" s="1719"/>
      <c r="AF320" s="1719"/>
      <c r="AG320" s="1719"/>
      <c r="AH320" s="1719"/>
      <c r="AI320" s="1719"/>
      <c r="AJ320" s="1719"/>
      <c r="AK320" s="1719"/>
      <c r="BA320" s="75"/>
    </row>
    <row r="321" spans="1:53" ht="12.8" customHeight="1">
      <c r="A321" s="50"/>
      <c r="B321" s="72" t="s">
        <v>424</v>
      </c>
      <c r="C321" s="72"/>
      <c r="D321" s="72"/>
      <c r="E321" s="72"/>
      <c r="F321" s="72"/>
      <c r="H321" s="1719" t="s">
        <v>2346</v>
      </c>
      <c r="I321" s="1719"/>
      <c r="J321" s="1719"/>
      <c r="K321" s="1719"/>
      <c r="L321" s="1719"/>
      <c r="M321" s="1719"/>
      <c r="N321" s="1719"/>
      <c r="O321" s="1719"/>
      <c r="P321" s="1719"/>
      <c r="Q321" s="1719"/>
      <c r="R321" s="1719"/>
      <c r="T321" s="72" t="s">
        <v>424</v>
      </c>
      <c r="V321" s="72"/>
      <c r="W321" s="72"/>
      <c r="X321" s="72"/>
      <c r="Y321" s="72"/>
      <c r="AA321" s="1719" t="s">
        <v>2347</v>
      </c>
      <c r="AB321" s="1719"/>
      <c r="AC321" s="1719"/>
      <c r="AD321" s="1719"/>
      <c r="AE321" s="1719"/>
      <c r="AF321" s="1719"/>
      <c r="AG321" s="1719"/>
      <c r="AH321" s="1719"/>
      <c r="AI321" s="1719"/>
      <c r="AJ321" s="1719"/>
      <c r="AK321" s="1719"/>
      <c r="AL321" s="50"/>
      <c r="BA321" s="75"/>
    </row>
    <row r="322" spans="1:53" ht="12.8" customHeight="1">
      <c r="A322" s="50"/>
      <c r="B322" s="72" t="s">
        <v>425</v>
      </c>
      <c r="C322" s="72"/>
      <c r="D322" s="72"/>
      <c r="E322" s="72"/>
      <c r="F322" s="72"/>
      <c r="G322" s="72"/>
      <c r="H322" s="1586" t="s">
        <v>2348</v>
      </c>
      <c r="I322" s="1591"/>
      <c r="J322" s="1591"/>
      <c r="K322" s="1591"/>
      <c r="L322" s="1591"/>
      <c r="M322" s="1591"/>
      <c r="N322" s="8" t="s">
        <v>907</v>
      </c>
      <c r="O322" s="8"/>
      <c r="P322" s="1593"/>
      <c r="Q322" s="1593"/>
      <c r="R322" s="1593"/>
      <c r="S322" s="72"/>
      <c r="T322" s="72" t="s">
        <v>425</v>
      </c>
      <c r="V322" s="72"/>
      <c r="W322" s="72"/>
      <c r="X322" s="72"/>
      <c r="Y322" s="72"/>
      <c r="AA322" s="1586" t="s">
        <v>2349</v>
      </c>
      <c r="AB322" s="1591"/>
      <c r="AC322" s="1591"/>
      <c r="AD322" s="1591"/>
      <c r="AE322" s="1591"/>
      <c r="AF322" s="1591"/>
      <c r="AG322" s="8" t="s">
        <v>907</v>
      </c>
      <c r="AH322" s="8"/>
      <c r="AI322" s="1593"/>
      <c r="AJ322" s="1593"/>
      <c r="AK322" s="1593"/>
      <c r="AL322" s="50"/>
      <c r="BA322" s="75"/>
    </row>
    <row r="323" spans="1:53" ht="12.9">
      <c r="A323" s="50"/>
      <c r="B323" s="72" t="s">
        <v>426</v>
      </c>
      <c r="C323" s="72"/>
      <c r="D323" s="72"/>
      <c r="E323" s="72"/>
      <c r="F323" s="72"/>
      <c r="G323" s="72"/>
      <c r="H323" s="1588" t="s">
        <v>2350</v>
      </c>
      <c r="I323" s="1589"/>
      <c r="J323" s="1589"/>
      <c r="K323" s="1589"/>
      <c r="L323" s="1589"/>
      <c r="M323" s="1589"/>
      <c r="N323" s="74"/>
      <c r="O323" s="74"/>
      <c r="P323" s="76"/>
      <c r="Q323" s="76"/>
      <c r="R323" s="76"/>
      <c r="S323" s="72"/>
      <c r="T323" s="72" t="s">
        <v>426</v>
      </c>
      <c r="V323" s="72"/>
      <c r="W323" s="72"/>
      <c r="X323" s="72"/>
      <c r="Y323" s="72"/>
      <c r="AA323" s="1588" t="s">
        <v>2351</v>
      </c>
      <c r="AB323" s="1589"/>
      <c r="AC323" s="1589"/>
      <c r="AD323" s="1589"/>
      <c r="AE323" s="1589"/>
      <c r="AF323" s="1589"/>
      <c r="AG323" s="74"/>
      <c r="AH323" s="74"/>
      <c r="AI323" s="76"/>
      <c r="AJ323" s="76"/>
      <c r="AK323" s="76"/>
      <c r="AL323" s="50"/>
      <c r="BA323" s="75"/>
    </row>
    <row r="324" spans="1:53" ht="12.9">
      <c r="A324" s="50"/>
      <c r="B324" s="72" t="s">
        <v>775</v>
      </c>
      <c r="C324" s="72"/>
      <c r="D324" s="72"/>
      <c r="E324" s="72"/>
      <c r="F324" s="72"/>
      <c r="G324" s="72"/>
      <c r="H324" s="1719" t="s">
        <v>2352</v>
      </c>
      <c r="I324" s="1719"/>
      <c r="J324" s="1719"/>
      <c r="K324" s="1719"/>
      <c r="L324" s="1719"/>
      <c r="M324" s="1719"/>
      <c r="N324" s="1595"/>
      <c r="O324" s="1595"/>
      <c r="P324" s="1595"/>
      <c r="Q324" s="1595"/>
      <c r="R324" s="1595"/>
      <c r="S324" s="72"/>
      <c r="T324" s="72" t="s">
        <v>775</v>
      </c>
      <c r="V324" s="72"/>
      <c r="W324" s="72"/>
      <c r="X324" s="72"/>
      <c r="Y324" s="72"/>
      <c r="AA324" s="1719" t="s">
        <v>2353</v>
      </c>
      <c r="AB324" s="1719"/>
      <c r="AC324" s="1719"/>
      <c r="AD324" s="1719"/>
      <c r="AE324" s="1719"/>
      <c r="AF324" s="1719"/>
      <c r="AG324" s="1595"/>
      <c r="AH324" s="1595"/>
      <c r="AI324" s="1595"/>
      <c r="AJ324" s="1595"/>
      <c r="AK324" s="1595"/>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595" t="s">
        <v>2354</v>
      </c>
      <c r="I326" s="1595"/>
      <c r="J326" s="1595"/>
      <c r="K326" s="1595"/>
      <c r="L326" s="1595"/>
      <c r="M326" s="1595"/>
      <c r="N326" s="1595"/>
      <c r="O326" s="1595"/>
      <c r="P326" s="1595"/>
      <c r="Q326" s="1595"/>
      <c r="R326" s="1595"/>
      <c r="T326" s="72" t="s">
        <v>42</v>
      </c>
      <c r="V326" s="72"/>
      <c r="W326" s="72"/>
      <c r="X326" s="72"/>
      <c r="Y326" s="72"/>
      <c r="AA326" s="1595" t="s">
        <v>2395</v>
      </c>
      <c r="AB326" s="1595"/>
      <c r="AC326" s="1595"/>
      <c r="AD326" s="1595"/>
      <c r="AE326" s="1595"/>
      <c r="AF326" s="1595"/>
      <c r="AG326" s="1595"/>
      <c r="AH326" s="1595"/>
      <c r="AI326" s="1595"/>
      <c r="AJ326" s="1595"/>
      <c r="AK326" s="1595"/>
      <c r="AL326" s="50"/>
      <c r="BA326" s="75"/>
    </row>
    <row r="327" spans="1:53" ht="12.9">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2396</v>
      </c>
      <c r="AB327" s="1719"/>
      <c r="AC327" s="1719"/>
      <c r="AD327" s="1719"/>
      <c r="AE327" s="1719"/>
      <c r="AF327" s="1719"/>
      <c r="AG327" s="1719"/>
      <c r="AH327" s="1719"/>
      <c r="AI327" s="1719"/>
      <c r="AJ327" s="1719"/>
      <c r="AK327" s="1719"/>
      <c r="AL327" s="50"/>
      <c r="BA327" s="75"/>
    </row>
    <row r="328" spans="1:53" ht="12.9">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2397</v>
      </c>
      <c r="AB328" s="1719"/>
      <c r="AC328" s="1719"/>
      <c r="AD328" s="1719"/>
      <c r="AE328" s="1719"/>
      <c r="AF328" s="1719"/>
      <c r="AG328" s="1719"/>
      <c r="AH328" s="1719"/>
      <c r="AI328" s="1719"/>
      <c r="AJ328" s="1719"/>
      <c r="AK328" s="1719"/>
      <c r="AL328" s="50"/>
      <c r="BA328" s="75"/>
    </row>
    <row r="329" spans="1:53" ht="12.9">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2398</v>
      </c>
      <c r="AB329" s="1719"/>
      <c r="AC329" s="1719"/>
      <c r="AD329" s="1719"/>
      <c r="AE329" s="1719"/>
      <c r="AF329" s="1719"/>
      <c r="AG329" s="1719"/>
      <c r="AH329" s="1719"/>
      <c r="AI329" s="1719"/>
      <c r="AJ329" s="1719"/>
      <c r="AK329" s="1719"/>
      <c r="AL329" s="50"/>
      <c r="BA329" s="75"/>
    </row>
    <row r="330" spans="1:53" ht="12.9">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2399</v>
      </c>
      <c r="AB330" s="1591"/>
      <c r="AC330" s="1591"/>
      <c r="AD330" s="1591"/>
      <c r="AE330" s="1591"/>
      <c r="AF330" s="1591"/>
      <c r="AG330" s="8" t="s">
        <v>907</v>
      </c>
      <c r="AH330" s="8"/>
      <c r="AI330" s="1593"/>
      <c r="AJ330" s="1593"/>
      <c r="AK330" s="1593"/>
      <c r="AL330" s="50"/>
      <c r="BA330" s="75"/>
    </row>
    <row r="331" spans="1:53" ht="12.9">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c r="AB331" s="1589"/>
      <c r="AC331" s="1589"/>
      <c r="AD331" s="1589"/>
      <c r="AE331" s="1589"/>
      <c r="AF331" s="1589"/>
      <c r="AG331" s="74"/>
      <c r="AH331" s="74"/>
      <c r="AI331" s="76"/>
      <c r="AJ331" s="76"/>
      <c r="AK331" s="76"/>
      <c r="AL331" s="50"/>
      <c r="BA331" s="75"/>
    </row>
    <row r="332" spans="1:53" ht="12.8"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2400</v>
      </c>
      <c r="AB332" s="1719"/>
      <c r="AC332" s="1719"/>
      <c r="AD332" s="1719"/>
      <c r="AE332" s="1719"/>
      <c r="AF332" s="1719"/>
      <c r="AG332" s="1595"/>
      <c r="AH332" s="1595"/>
      <c r="AI332" s="1595"/>
      <c r="AJ332" s="1595"/>
      <c r="AK332" s="1595"/>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2" t="s">
        <v>2395</v>
      </c>
      <c r="I334" s="1595"/>
      <c r="J334" s="1595"/>
      <c r="K334" s="1595"/>
      <c r="L334" s="1595"/>
      <c r="M334" s="1595"/>
      <c r="N334" s="1595"/>
      <c r="O334" s="1595"/>
      <c r="P334" s="1595"/>
      <c r="Q334" s="1595"/>
      <c r="R334" s="1595"/>
      <c r="S334" s="757"/>
      <c r="T334" s="680" t="s">
        <v>1249</v>
      </c>
      <c r="V334" s="72"/>
      <c r="W334" s="72"/>
      <c r="X334" s="72"/>
      <c r="Y334" s="72"/>
      <c r="AA334" s="1592" t="s">
        <v>2412</v>
      </c>
      <c r="AB334" s="1595"/>
      <c r="AC334" s="1595"/>
      <c r="AD334" s="1595"/>
      <c r="AE334" s="1595"/>
      <c r="AF334" s="1595"/>
      <c r="AG334" s="1595"/>
      <c r="AH334" s="1595"/>
      <c r="AI334" s="1595"/>
      <c r="AJ334" s="1595"/>
      <c r="AK334" s="1595"/>
      <c r="AL334" s="50"/>
      <c r="BA334" s="75"/>
    </row>
    <row r="335" spans="1:53" ht="12.9">
      <c r="B335" s="72" t="s">
        <v>772</v>
      </c>
      <c r="C335" s="72"/>
      <c r="D335" s="72"/>
      <c r="E335" s="72"/>
      <c r="F335" s="72"/>
      <c r="H335" s="1787" t="s">
        <v>2396</v>
      </c>
      <c r="I335" s="1719"/>
      <c r="J335" s="1719"/>
      <c r="K335" s="1719"/>
      <c r="L335" s="1719"/>
      <c r="M335" s="1719"/>
      <c r="N335" s="1719"/>
      <c r="O335" s="1719"/>
      <c r="P335" s="1719"/>
      <c r="Q335" s="1719"/>
      <c r="R335" s="1719"/>
      <c r="S335" s="757"/>
      <c r="T335" s="72" t="s">
        <v>772</v>
      </c>
      <c r="V335" s="72"/>
      <c r="W335" s="72"/>
      <c r="X335" s="72"/>
      <c r="Y335" s="72"/>
      <c r="AA335" s="1787" t="s">
        <v>2413</v>
      </c>
      <c r="AB335" s="1719"/>
      <c r="AC335" s="1719"/>
      <c r="AD335" s="1719"/>
      <c r="AE335" s="1719"/>
      <c r="AF335" s="1719"/>
      <c r="AG335" s="1719"/>
      <c r="AH335" s="1719"/>
      <c r="AI335" s="1719"/>
      <c r="AJ335" s="1719"/>
      <c r="AK335" s="1719"/>
      <c r="AL335" s="50"/>
      <c r="BA335" s="75"/>
    </row>
    <row r="336" spans="1:53" ht="12.9">
      <c r="B336" s="72" t="s">
        <v>774</v>
      </c>
      <c r="C336" s="72"/>
      <c r="D336" s="72"/>
      <c r="E336" s="72"/>
      <c r="F336" s="72"/>
      <c r="G336" s="72"/>
      <c r="H336" s="1787" t="s">
        <v>2397</v>
      </c>
      <c r="I336" s="1719"/>
      <c r="J336" s="1719"/>
      <c r="K336" s="1719"/>
      <c r="L336" s="1719"/>
      <c r="M336" s="1719"/>
      <c r="N336" s="1719"/>
      <c r="O336" s="1719"/>
      <c r="P336" s="1719"/>
      <c r="Q336" s="1719"/>
      <c r="R336" s="1719"/>
      <c r="S336" s="757"/>
      <c r="T336" s="72" t="s">
        <v>773</v>
      </c>
      <c r="V336" s="72"/>
      <c r="W336" s="72"/>
      <c r="X336" s="72"/>
      <c r="Y336" s="72"/>
      <c r="AA336" s="1787" t="s">
        <v>2414</v>
      </c>
      <c r="AB336" s="1719"/>
      <c r="AC336" s="1719"/>
      <c r="AD336" s="1719"/>
      <c r="AE336" s="1719"/>
      <c r="AF336" s="1719"/>
      <c r="AG336" s="1719"/>
      <c r="AH336" s="1719"/>
      <c r="AI336" s="1719"/>
      <c r="AJ336" s="1719"/>
      <c r="AK336" s="1719"/>
      <c r="AL336" s="50"/>
      <c r="BA336" s="75"/>
    </row>
    <row r="337" spans="1:53" ht="12.9">
      <c r="A337" s="50"/>
      <c r="B337" s="72" t="s">
        <v>424</v>
      </c>
      <c r="C337" s="72"/>
      <c r="D337" s="72"/>
      <c r="E337" s="72"/>
      <c r="F337" s="72"/>
      <c r="H337" s="1787" t="s">
        <v>2398</v>
      </c>
      <c r="I337" s="1719"/>
      <c r="J337" s="1719"/>
      <c r="K337" s="1719"/>
      <c r="L337" s="1719"/>
      <c r="M337" s="1719"/>
      <c r="N337" s="1719"/>
      <c r="O337" s="1719"/>
      <c r="P337" s="1719"/>
      <c r="Q337" s="1719"/>
      <c r="R337" s="1719"/>
      <c r="S337" s="757"/>
      <c r="T337" s="72" t="s">
        <v>424</v>
      </c>
      <c r="V337" s="72"/>
      <c r="W337" s="72"/>
      <c r="X337" s="72"/>
      <c r="Y337" s="72"/>
      <c r="AA337" s="1787" t="s">
        <v>2415</v>
      </c>
      <c r="AB337" s="1719"/>
      <c r="AC337" s="1719"/>
      <c r="AD337" s="1719"/>
      <c r="AE337" s="1719"/>
      <c r="AF337" s="1719"/>
      <c r="AG337" s="1719"/>
      <c r="AH337" s="1719"/>
      <c r="AI337" s="1719"/>
      <c r="AJ337" s="1719"/>
      <c r="AK337" s="1719"/>
      <c r="AL337" s="50"/>
      <c r="BA337" s="75"/>
    </row>
    <row r="338" spans="1:53" ht="12.9">
      <c r="A338" s="50"/>
      <c r="B338" s="72" t="s">
        <v>425</v>
      </c>
      <c r="C338" s="72"/>
      <c r="D338" s="72"/>
      <c r="E338" s="72"/>
      <c r="F338" s="72"/>
      <c r="G338" s="72"/>
      <c r="H338" s="1586" t="s">
        <v>2399</v>
      </c>
      <c r="I338" s="1591"/>
      <c r="J338" s="1591"/>
      <c r="K338" s="1591"/>
      <c r="L338" s="1591"/>
      <c r="M338" s="1591"/>
      <c r="N338" s="8" t="s">
        <v>907</v>
      </c>
      <c r="O338" s="8"/>
      <c r="P338" s="1593"/>
      <c r="Q338" s="1593"/>
      <c r="R338" s="1593"/>
      <c r="S338" s="3"/>
      <c r="T338" s="72" t="s">
        <v>425</v>
      </c>
      <c r="V338" s="72"/>
      <c r="W338" s="72"/>
      <c r="X338" s="72"/>
      <c r="Y338" s="72"/>
      <c r="AA338" s="1586" t="s">
        <v>2416</v>
      </c>
      <c r="AB338" s="1591"/>
      <c r="AC338" s="1591"/>
      <c r="AD338" s="1591"/>
      <c r="AE338" s="1591"/>
      <c r="AF338" s="1591"/>
      <c r="AG338" s="8" t="s">
        <v>907</v>
      </c>
      <c r="AH338" s="8"/>
      <c r="AI338" s="1593"/>
      <c r="AJ338" s="1593"/>
      <c r="AK338" s="1593"/>
      <c r="AL338" s="50"/>
      <c r="BA338" s="75"/>
    </row>
    <row r="339" spans="1:53" ht="12.9">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2417</v>
      </c>
      <c r="AB339" s="1589"/>
      <c r="AC339" s="1589"/>
      <c r="AD339" s="1589"/>
      <c r="AE339" s="1589"/>
      <c r="AF339" s="1589"/>
      <c r="AG339" s="74"/>
      <c r="AH339" s="74"/>
      <c r="AI339" s="76"/>
      <c r="AJ339" s="76"/>
      <c r="AK339" s="76"/>
      <c r="AL339" s="50"/>
      <c r="BA339" s="75"/>
    </row>
    <row r="340" spans="1:53" ht="12.9">
      <c r="A340" s="50"/>
      <c r="B340" s="72" t="s">
        <v>775</v>
      </c>
      <c r="C340" s="72"/>
      <c r="D340" s="72"/>
      <c r="E340" s="72"/>
      <c r="F340" s="72"/>
      <c r="G340" s="72"/>
      <c r="H340" s="1787" t="s">
        <v>2400</v>
      </c>
      <c r="I340" s="1719"/>
      <c r="J340" s="1719"/>
      <c r="K340" s="1719"/>
      <c r="L340" s="1719"/>
      <c r="M340" s="1719"/>
      <c r="N340" s="1595"/>
      <c r="O340" s="1595"/>
      <c r="P340" s="1595"/>
      <c r="Q340" s="1595"/>
      <c r="R340" s="1595"/>
      <c r="S340" s="757"/>
      <c r="T340" s="72" t="s">
        <v>775</v>
      </c>
      <c r="V340" s="72"/>
      <c r="W340" s="72"/>
      <c r="X340" s="72"/>
      <c r="Y340" s="72"/>
      <c r="AA340" s="1787" t="s">
        <v>2418</v>
      </c>
      <c r="AB340" s="1719"/>
      <c r="AC340" s="1719"/>
      <c r="AD340" s="1719"/>
      <c r="AE340" s="1719"/>
      <c r="AF340" s="1719"/>
      <c r="AG340" s="1595"/>
      <c r="AH340" s="1595"/>
      <c r="AI340" s="1595"/>
      <c r="AJ340" s="1595"/>
      <c r="AK340" s="1595"/>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595" t="s">
        <v>2354</v>
      </c>
      <c r="I342" s="1595"/>
      <c r="J342" s="1595"/>
      <c r="K342" s="1595"/>
      <c r="L342" s="1595"/>
      <c r="M342" s="1595"/>
      <c r="N342" s="1595"/>
      <c r="O342" s="1595"/>
      <c r="P342" s="1595"/>
      <c r="Q342" s="1595"/>
      <c r="R342" s="1595"/>
      <c r="T342" s="624" t="s">
        <v>1294</v>
      </c>
      <c r="AA342" s="1595" t="s">
        <v>2354</v>
      </c>
      <c r="AB342" s="1595"/>
      <c r="AC342" s="1595"/>
      <c r="AD342" s="1595"/>
      <c r="AE342" s="1595"/>
      <c r="AF342" s="1595"/>
      <c r="AG342" s="1595"/>
      <c r="AH342" s="1595"/>
      <c r="AI342" s="1595"/>
      <c r="AJ342" s="1595"/>
      <c r="AK342" s="1595"/>
      <c r="AL342" s="50"/>
      <c r="BA342" s="75"/>
    </row>
    <row r="343" spans="1:53" ht="12.9">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9">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9">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9">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8"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9">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4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625" t="s">
        <v>119</v>
      </c>
      <c r="N354" s="1625"/>
      <c r="P354" s="16" t="s">
        <v>989</v>
      </c>
      <c r="AJ354" s="1625" t="s">
        <v>536</v>
      </c>
      <c r="AK354" s="1625"/>
    </row>
    <row r="355" spans="1:57" ht="12.8" customHeight="1">
      <c r="D355" s="1410" t="s">
        <v>2223</v>
      </c>
      <c r="M355" s="1625" t="s">
        <v>136</v>
      </c>
      <c r="N355" s="1625"/>
      <c r="R355" s="16" t="s">
        <v>990</v>
      </c>
      <c r="AJ355" s="1625" t="s">
        <v>136</v>
      </c>
      <c r="AK355" s="1625"/>
    </row>
    <row r="356" spans="1:57" ht="12.8" customHeight="1">
      <c r="D356" s="16" t="s">
        <v>354</v>
      </c>
      <c r="M356" s="1625" t="s">
        <v>136</v>
      </c>
      <c r="N356" s="1625"/>
      <c r="P356" s="624" t="s">
        <v>1184</v>
      </c>
      <c r="Q356" s="625"/>
      <c r="R356" s="625"/>
      <c r="AJ356" s="1625" t="s">
        <v>536</v>
      </c>
      <c r="AK356" s="1625"/>
    </row>
    <row r="357" spans="1:57" ht="12.8" customHeight="1">
      <c r="D357" s="16" t="s">
        <v>355</v>
      </c>
      <c r="M357" s="1625" t="s">
        <v>136</v>
      </c>
      <c r="N357" s="1625"/>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9">
      <c r="E363" s="16" t="s">
        <v>807</v>
      </c>
      <c r="Y363" s="1625" t="s">
        <v>136</v>
      </c>
      <c r="Z363" s="1625"/>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8"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9">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8"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9">
      <c r="E370" s="8" t="s">
        <v>69</v>
      </c>
      <c r="F370" s="8"/>
      <c r="G370" s="8"/>
      <c r="H370" s="8"/>
      <c r="I370" s="8"/>
      <c r="J370" s="8"/>
      <c r="K370" s="8"/>
      <c r="L370" s="8"/>
      <c r="N370" s="1803"/>
      <c r="O370" s="1803"/>
      <c r="P370" s="1803"/>
      <c r="Q370" s="1803"/>
      <c r="R370" s="8"/>
      <c r="V370" s="8"/>
      <c r="W370" s="8"/>
      <c r="X370" s="8"/>
      <c r="Y370" s="8"/>
      <c r="Z370" s="8"/>
      <c r="AA370" s="8"/>
      <c r="AB370" s="8"/>
    </row>
    <row r="371" spans="1:36" ht="12.9">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9">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8"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2" t="s">
        <v>2419</v>
      </c>
      <c r="K383" s="1595"/>
      <c r="L383" s="1595"/>
      <c r="M383" s="1595"/>
      <c r="N383" s="1595"/>
      <c r="O383" s="1595"/>
      <c r="P383" s="1595"/>
      <c r="Q383" s="1595"/>
      <c r="R383" s="1595"/>
      <c r="S383" s="1595"/>
      <c r="T383" s="1595"/>
      <c r="U383" s="1595"/>
      <c r="V383" s="18" t="s">
        <v>784</v>
      </c>
      <c r="W383" s="18"/>
      <c r="X383" s="18"/>
      <c r="Y383" s="18"/>
      <c r="Z383" s="18"/>
      <c r="AA383" s="18"/>
      <c r="AB383" s="18"/>
      <c r="AC383" s="1592" t="s">
        <v>2420</v>
      </c>
      <c r="AD383" s="1595"/>
      <c r="AE383" s="1595"/>
      <c r="AF383" s="1595"/>
      <c r="AG383" s="1595"/>
      <c r="AH383" s="1595"/>
      <c r="AI383" s="1595"/>
      <c r="AJ383" s="1595"/>
    </row>
    <row r="384" spans="1:36" ht="12.8" customHeight="1">
      <c r="D384" s="16" t="s">
        <v>621</v>
      </c>
      <c r="Q384" s="1990">
        <v>43891</v>
      </c>
      <c r="R384" s="1991"/>
      <c r="S384" s="1991"/>
      <c r="T384" s="1991"/>
      <c r="U384" s="1991"/>
      <c r="V384" s="16" t="s">
        <v>185</v>
      </c>
      <c r="AI384" s="1625" t="s">
        <v>536</v>
      </c>
      <c r="AJ384" s="1625"/>
    </row>
    <row r="385" spans="1:36" ht="12.8" customHeight="1">
      <c r="D385" s="16" t="s">
        <v>622</v>
      </c>
      <c r="Q385" s="1813">
        <v>44561</v>
      </c>
      <c r="R385" s="1814"/>
      <c r="S385" s="1814"/>
      <c r="T385" s="1814"/>
      <c r="U385" s="1814"/>
      <c r="W385" s="43" t="s">
        <v>20</v>
      </c>
      <c r="AG385" s="1928"/>
      <c r="AH385" s="1928"/>
      <c r="AI385" s="1928"/>
      <c r="AJ385" s="1928"/>
    </row>
    <row r="386" spans="1:36" ht="12.8" customHeight="1">
      <c r="D386" s="16" t="s">
        <v>303</v>
      </c>
      <c r="Q386" s="1818">
        <v>5580000</v>
      </c>
      <c r="R386" s="1818"/>
      <c r="S386" s="1818"/>
      <c r="T386" s="1818"/>
      <c r="U386" s="1818"/>
      <c r="V386" s="16" t="s">
        <v>187</v>
      </c>
      <c r="AG386" s="1818">
        <v>15500</v>
      </c>
      <c r="AH386" s="1818"/>
      <c r="AI386" s="1818"/>
      <c r="AJ386" s="1818"/>
    </row>
    <row r="387" spans="1:36" ht="12.8" customHeight="1">
      <c r="D387" s="16" t="s">
        <v>425</v>
      </c>
      <c r="I387" s="1586" t="s">
        <v>2430</v>
      </c>
      <c r="J387" s="1591"/>
      <c r="K387" s="1591"/>
      <c r="L387" s="1591"/>
      <c r="M387" s="1591"/>
      <c r="N387" s="1591"/>
      <c r="Q387" s="71" t="s">
        <v>907</v>
      </c>
      <c r="S387" s="1833"/>
      <c r="T387" s="1833"/>
      <c r="U387" s="1833"/>
      <c r="V387" s="16" t="s">
        <v>19</v>
      </c>
      <c r="AI387" s="1625" t="s">
        <v>536</v>
      </c>
      <c r="AJ387" s="1625"/>
    </row>
    <row r="388" spans="1:36" ht="12.8" customHeight="1">
      <c r="D388" s="16" t="s">
        <v>186</v>
      </c>
      <c r="Q388" s="1661">
        <v>1.0000000000000001E-5</v>
      </c>
      <c r="R388" s="1661"/>
      <c r="S388" s="1661"/>
      <c r="T388" s="1661"/>
      <c r="U388" s="1661"/>
      <c r="V388" s="16" t="s">
        <v>188</v>
      </c>
      <c r="AG388" s="1928">
        <v>1.0000000000000001E-5</v>
      </c>
      <c r="AH388" s="1928"/>
      <c r="AI388" s="1928"/>
      <c r="AJ388" s="1928"/>
    </row>
    <row r="389" spans="1:36" ht="12.8" customHeight="1">
      <c r="D389" s="16" t="s">
        <v>29</v>
      </c>
      <c r="Q389" s="1830">
        <v>9.9999999999999995E-8</v>
      </c>
      <c r="R389" s="1830"/>
      <c r="S389" s="1830"/>
      <c r="T389" s="1830"/>
      <c r="U389" s="1830"/>
      <c r="V389" s="16" t="s">
        <v>1945</v>
      </c>
      <c r="AG389" s="1724"/>
      <c r="AH389" s="1724"/>
      <c r="AI389" s="1724"/>
      <c r="AJ389" s="1724"/>
    </row>
    <row r="390" spans="1:36" ht="12.8" customHeight="1">
      <c r="D390" s="16" t="s">
        <v>1946</v>
      </c>
      <c r="AG390" s="1724"/>
      <c r="AH390" s="1724"/>
      <c r="AI390" s="1724"/>
      <c r="AJ390" s="1724"/>
    </row>
    <row r="391" spans="1:36" ht="12.8" customHeight="1"/>
    <row r="392" spans="1:36" ht="12.8" customHeight="1">
      <c r="A392" s="63" t="s">
        <v>134</v>
      </c>
      <c r="B392" s="63"/>
      <c r="C392" s="63" t="s">
        <v>1014</v>
      </c>
    </row>
    <row r="393" spans="1:36" ht="12.8" customHeight="1">
      <c r="C393" s="35"/>
      <c r="D393" s="63" t="s">
        <v>2014</v>
      </c>
      <c r="I393" s="1592" t="s">
        <v>2421</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8" customHeight="1">
      <c r="C394" s="35"/>
      <c r="E394" s="16" t="s">
        <v>947</v>
      </c>
      <c r="R394" s="1625" t="s">
        <v>136</v>
      </c>
      <c r="S394" s="1625"/>
      <c r="T394" s="16" t="s">
        <v>322</v>
      </c>
      <c r="AD394" s="1803"/>
      <c r="AE394" s="1803"/>
    </row>
    <row r="395" spans="1:36" ht="12.8" customHeight="1">
      <c r="C395" s="35"/>
      <c r="E395" s="16" t="s">
        <v>948</v>
      </c>
      <c r="R395" s="1625" t="s">
        <v>119</v>
      </c>
      <c r="S395" s="1625"/>
      <c r="T395" s="16" t="s">
        <v>322</v>
      </c>
      <c r="AD395" s="1812" t="s">
        <v>2422</v>
      </c>
      <c r="AE395" s="1803"/>
    </row>
    <row r="396" spans="1:36" ht="12.8" customHeight="1">
      <c r="E396" s="16" t="s">
        <v>949</v>
      </c>
      <c r="S396" s="1625" t="s">
        <v>136</v>
      </c>
      <c r="T396" s="1625"/>
    </row>
    <row r="397" spans="1:36" ht="12.8" customHeight="1">
      <c r="E397" s="16" t="s">
        <v>312</v>
      </c>
      <c r="H397" s="1997" t="s">
        <v>2423</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8"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971"/>
      <c r="F405" s="1971"/>
      <c r="G405" s="1971"/>
      <c r="H405" s="33" t="s">
        <v>1018</v>
      </c>
      <c r="I405" s="1971"/>
      <c r="J405" s="1971"/>
      <c r="K405" s="1971"/>
      <c r="L405" s="16" t="s">
        <v>1019</v>
      </c>
      <c r="N405" s="252" t="s">
        <v>942</v>
      </c>
      <c r="P405" s="1969">
        <v>5.86</v>
      </c>
      <c r="Q405" s="1969"/>
      <c r="R405" s="1969"/>
      <c r="S405" s="16" t="s">
        <v>1020</v>
      </c>
      <c r="W405" s="1829">
        <f>IF(E405&gt;0,(E405*I405),(P405*43560))</f>
        <v>255261.6</v>
      </c>
      <c r="X405" s="1829"/>
      <c r="Y405" s="1829"/>
      <c r="Z405" s="16" t="s">
        <v>1021</v>
      </c>
      <c r="AF405" s="1969">
        <f>AG423/P405</f>
        <v>31.740614334470987</v>
      </c>
      <c r="AG405" s="1969"/>
      <c r="AH405" s="1969"/>
    </row>
    <row r="406" spans="1:36" ht="12.8" customHeight="1">
      <c r="E406" s="16" t="s">
        <v>225</v>
      </c>
    </row>
    <row r="407" spans="1:36" ht="12.8"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8" customHeight="1"/>
    <row r="409" spans="1:36" ht="12.8" customHeight="1">
      <c r="A409" s="63" t="s">
        <v>137</v>
      </c>
      <c r="B409" s="63"/>
      <c r="C409" s="63"/>
      <c r="D409" s="63" t="s">
        <v>1023</v>
      </c>
    </row>
    <row r="410" spans="1:36" ht="12.8" customHeight="1">
      <c r="E410" s="16" t="s">
        <v>505</v>
      </c>
      <c r="P410" s="1625">
        <v>7</v>
      </c>
      <c r="Q410" s="1625"/>
      <c r="S410" s="16" t="s">
        <v>149</v>
      </c>
      <c r="AE410" s="1625">
        <v>6</v>
      </c>
      <c r="AF410" s="1625"/>
    </row>
    <row r="411" spans="1:36" ht="12.9">
      <c r="E411" s="16" t="s">
        <v>150</v>
      </c>
      <c r="P411" s="1625">
        <v>1</v>
      </c>
      <c r="Q411" s="1625"/>
      <c r="S411" s="16" t="s">
        <v>800</v>
      </c>
      <c r="AE411" s="1625" t="s">
        <v>136</v>
      </c>
      <c r="AF411" s="1625"/>
    </row>
    <row r="412" spans="1:36" ht="12.9">
      <c r="F412" s="81" t="s">
        <v>248</v>
      </c>
    </row>
    <row r="413" spans="1:36" ht="12.9">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9">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9">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8" customHeight="1">
      <c r="S417" s="35"/>
      <c r="T417" s="35"/>
    </row>
    <row r="418" spans="1:36" ht="12.8" customHeight="1">
      <c r="A418" s="63"/>
      <c r="B418" s="63"/>
      <c r="C418" s="63"/>
      <c r="E418" s="8" t="s">
        <v>87</v>
      </c>
      <c r="Z418" s="1625" t="s">
        <v>536</v>
      </c>
      <c r="AA418" s="1625"/>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625" t="s">
        <v>136</v>
      </c>
      <c r="AA420" s="1625"/>
    </row>
    <row r="421" spans="1:36" ht="12.8" customHeight="1">
      <c r="AG421" s="16">
        <v>0</v>
      </c>
    </row>
    <row r="422" spans="1:36" ht="12.8" customHeight="1">
      <c r="A422" s="63" t="s">
        <v>417</v>
      </c>
      <c r="B422" s="63"/>
      <c r="C422" s="63"/>
      <c r="D422" s="63" t="s">
        <v>190</v>
      </c>
      <c r="AF422" s="94"/>
    </row>
    <row r="423" spans="1:36" ht="12.8"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186</v>
      </c>
      <c r="AH423" s="1999"/>
      <c r="AI423" s="1999"/>
      <c r="AJ423" s="1999"/>
    </row>
    <row r="424" spans="1:36" ht="12.8"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8"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184</v>
      </c>
      <c r="AH425" s="1999"/>
      <c r="AI425" s="1999"/>
      <c r="AJ425" s="1999"/>
    </row>
    <row r="426" spans="1:36" ht="12.8"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184</v>
      </c>
      <c r="AH426" s="1999"/>
      <c r="AI426" s="1999"/>
      <c r="AJ426" s="1999"/>
    </row>
    <row r="427" spans="1:36" ht="12.8"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8"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135180</v>
      </c>
      <c r="AH428" s="1982"/>
      <c r="AI428" s="1982"/>
      <c r="AJ428" s="1982"/>
    </row>
    <row r="429" spans="1:36" ht="12.8"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135180</v>
      </c>
      <c r="AH429" s="1982"/>
      <c r="AI429" s="1982"/>
      <c r="AJ429" s="1982"/>
    </row>
    <row r="430" spans="1:36" ht="12.8"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9">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9">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v>2734</v>
      </c>
      <c r="AH432" s="1982"/>
      <c r="AI432" s="1982"/>
      <c r="AJ432" s="1982"/>
    </row>
    <row r="433" spans="1:36" ht="12.8"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9">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v>2100</v>
      </c>
      <c r="AH434" s="1982"/>
      <c r="AI434" s="1982"/>
      <c r="AJ434" s="1982"/>
    </row>
    <row r="435" spans="1:36" ht="12.9">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9">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140014</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9">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9">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329837.82258064515</v>
      </c>
      <c r="AD440" s="1622"/>
      <c r="AE440" s="1622"/>
      <c r="AF440" s="1622"/>
      <c r="AG440" s="1995"/>
      <c r="AH440" s="1995"/>
      <c r="AI440" s="1995"/>
      <c r="AJ440" s="1995"/>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329837.82258064515</v>
      </c>
      <c r="AD441" s="1622"/>
      <c r="AE441" s="1622"/>
      <c r="AF441" s="1622"/>
      <c r="AG441" s="1995"/>
      <c r="AH441" s="1995"/>
      <c r="AI441" s="1995"/>
      <c r="AJ441" s="1995"/>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293451.55913978495</v>
      </c>
      <c r="AD442" s="1622"/>
      <c r="AE442" s="1622"/>
      <c r="AF442" s="1622"/>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8"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8"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8"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8"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8"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t="s">
        <v>136</v>
      </c>
      <c r="X456" s="1973"/>
      <c r="Y456" s="1974"/>
      <c r="Z456" s="516"/>
      <c r="AA456" s="516"/>
      <c r="AB456" s="516"/>
      <c r="AC456" s="516"/>
      <c r="AD456" s="516"/>
      <c r="AE456" s="516"/>
      <c r="AF456" s="516"/>
      <c r="AG456" s="516"/>
      <c r="AH456" s="516"/>
      <c r="AI456" s="516"/>
      <c r="AJ456" s="341"/>
      <c r="AK456" s="341"/>
      <c r="AL456" s="341"/>
    </row>
    <row r="457" spans="1:96" ht="12.8"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961" t="s">
        <v>136</v>
      </c>
      <c r="U475" s="1962"/>
      <c r="V475" s="1962"/>
      <c r="W475" s="1962"/>
      <c r="X475" s="1962"/>
      <c r="Y475" s="1961" t="s">
        <v>136</v>
      </c>
      <c r="Z475" s="1962"/>
      <c r="AA475" s="1962"/>
      <c r="AB475" s="1962"/>
      <c r="AC475" s="1962"/>
      <c r="AD475" s="1961" t="s">
        <v>136</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961" t="s">
        <v>136</v>
      </c>
      <c r="U480" s="1962"/>
      <c r="V480" s="1962"/>
      <c r="W480" s="1962"/>
      <c r="X480" s="1962"/>
      <c r="Y480" s="1961" t="s">
        <v>136</v>
      </c>
      <c r="Z480" s="1962"/>
      <c r="AA480" s="1962"/>
      <c r="AB480" s="1962"/>
      <c r="AC480" s="1962"/>
      <c r="AD480" s="1961" t="s">
        <v>136</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961" t="s">
        <v>136</v>
      </c>
      <c r="U481" s="1962"/>
      <c r="V481" s="1962"/>
      <c r="W481" s="1962"/>
      <c r="X481" s="1962"/>
      <c r="Y481" s="1961" t="s">
        <v>136</v>
      </c>
      <c r="Z481" s="1962"/>
      <c r="AA481" s="1962"/>
      <c r="AB481" s="1962"/>
      <c r="AC481" s="1962"/>
      <c r="AD481" s="1961"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961" t="s">
        <v>136</v>
      </c>
      <c r="U483" s="1962"/>
      <c r="V483" s="1962"/>
      <c r="W483" s="1962"/>
      <c r="X483" s="1962"/>
      <c r="Y483" s="1961" t="s">
        <v>136</v>
      </c>
      <c r="Z483" s="1962"/>
      <c r="AA483" s="1962"/>
      <c r="AB483" s="1962"/>
      <c r="AC483" s="1962"/>
      <c r="AD483" s="1961"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975" t="s">
        <v>2381</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975" t="s">
        <v>2437</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975" t="s">
        <v>2437</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975" t="s">
        <v>2438</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975" t="s">
        <v>2439</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t="s">
        <v>136</v>
      </c>
      <c r="AD500" s="1803"/>
      <c r="AE500" s="1803"/>
      <c r="AF500" s="1803"/>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t="s">
        <v>136</v>
      </c>
      <c r="AD502" s="1803"/>
      <c r="AE502" s="1803"/>
      <c r="AF502" s="1803"/>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t="s">
        <v>136</v>
      </c>
      <c r="AD504" s="1803"/>
      <c r="AE504" s="1803"/>
      <c r="AF504" s="1803"/>
      <c r="AG504" s="89" t="s">
        <v>277</v>
      </c>
      <c r="AH504" s="1607"/>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963" t="s">
        <v>757</v>
      </c>
      <c r="C513" s="1964"/>
      <c r="D513" s="1964"/>
      <c r="E513" s="1964"/>
      <c r="F513" s="1964"/>
      <c r="G513" s="1964"/>
      <c r="H513" s="1965"/>
      <c r="I513" s="85" t="s">
        <v>758</v>
      </c>
      <c r="J513" s="86"/>
      <c r="K513" s="86"/>
      <c r="L513" s="86"/>
      <c r="M513" s="86"/>
      <c r="N513" s="86"/>
      <c r="O513" s="1719" t="s">
        <v>629</v>
      </c>
      <c r="P513" s="1719"/>
      <c r="Q513" s="1719"/>
      <c r="R513" s="1719"/>
      <c r="S513" s="1719"/>
      <c r="T513" s="1719"/>
      <c r="U513" s="1719"/>
      <c r="V513" s="1719"/>
      <c r="W513" s="1719"/>
      <c r="X513" s="1719"/>
      <c r="Y513" s="1719"/>
      <c r="Z513" s="1719"/>
      <c r="AA513" s="1719"/>
      <c r="AB513" s="108"/>
      <c r="AC513" s="1665" t="s">
        <v>136</v>
      </c>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t="s">
        <v>136</v>
      </c>
      <c r="AD514" s="1803"/>
      <c r="AE514" s="1803"/>
      <c r="AF514" s="1803"/>
      <c r="AG514" s="89" t="s">
        <v>277</v>
      </c>
      <c r="AH514" s="1607"/>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t="s">
        <v>136</v>
      </c>
      <c r="AD515" s="1803"/>
      <c r="AE515" s="1803"/>
      <c r="AF515" s="1803"/>
      <c r="AG515" s="79" t="s">
        <v>277</v>
      </c>
      <c r="AH515" s="1607"/>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966"/>
      <c r="C516" s="1967"/>
      <c r="D516" s="1967"/>
      <c r="E516" s="1967"/>
      <c r="F516" s="1967"/>
      <c r="G516" s="1967"/>
      <c r="H516" s="1968"/>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8" t="s">
        <v>136</v>
      </c>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t="s">
        <v>136</v>
      </c>
      <c r="AD517" s="1803"/>
      <c r="AE517" s="1803"/>
      <c r="AF517" s="1803"/>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t="s">
        <v>136</v>
      </c>
      <c r="AD518" s="1803"/>
      <c r="AE518" s="1803"/>
      <c r="AF518" s="1803"/>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966"/>
      <c r="C519" s="1967"/>
      <c r="D519" s="1967"/>
      <c r="E519" s="1967"/>
      <c r="F519" s="1967"/>
      <c r="G519" s="1967"/>
      <c r="H519" s="1968"/>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8" t="s">
        <v>136</v>
      </c>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t="s">
        <v>136</v>
      </c>
      <c r="AD520" s="1803"/>
      <c r="AE520" s="1803"/>
      <c r="AF520" s="1803"/>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t="s">
        <v>136</v>
      </c>
      <c r="AD521" s="1803"/>
      <c r="AE521" s="1803"/>
      <c r="AF521" s="1803"/>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787" t="s">
        <v>2355</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49222570</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787" t="s">
        <v>2425</v>
      </c>
      <c r="D546" s="1596"/>
      <c r="E546" s="1596"/>
      <c r="F546" s="1596"/>
      <c r="G546" s="1596"/>
      <c r="H546" s="1596"/>
      <c r="I546" s="1596"/>
      <c r="J546" s="1596"/>
      <c r="K546" s="1596"/>
      <c r="L546" s="1596"/>
      <c r="M546" s="1596"/>
      <c r="N546" s="1596"/>
      <c r="O546" s="1605"/>
      <c r="P546" s="1606" t="s">
        <v>136</v>
      </c>
      <c r="Q546" s="1607"/>
      <c r="R546" s="1607"/>
      <c r="S546" s="1607"/>
      <c r="T546" s="1607"/>
      <c r="U546" s="1607"/>
      <c r="V546" s="1607"/>
      <c r="W546" s="1608"/>
      <c r="X546" s="1602" t="s">
        <v>136</v>
      </c>
      <c r="Y546" s="1603"/>
      <c r="Z546" s="1603"/>
      <c r="AA546" s="1603"/>
      <c r="AB546" s="1603"/>
      <c r="AC546" s="1603"/>
      <c r="AD546" s="1604"/>
      <c r="AE546" s="1633">
        <v>5580000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787" t="s">
        <v>2356</v>
      </c>
      <c r="D547" s="1596"/>
      <c r="E547" s="1596"/>
      <c r="F547" s="1596"/>
      <c r="G547" s="1596"/>
      <c r="H547" s="1596"/>
      <c r="I547" s="1596"/>
      <c r="J547" s="1596"/>
      <c r="K547" s="1596"/>
      <c r="L547" s="1596"/>
      <c r="M547" s="1596"/>
      <c r="N547" s="1596"/>
      <c r="O547" s="1605"/>
      <c r="P547" s="1606">
        <v>24</v>
      </c>
      <c r="Q547" s="1607"/>
      <c r="R547" s="1607"/>
      <c r="S547" s="1607"/>
      <c r="T547" s="1607"/>
      <c r="U547" s="1607"/>
      <c r="V547" s="1607"/>
      <c r="W547" s="1608"/>
      <c r="X547" s="1602">
        <v>9.9999999999999995E-8</v>
      </c>
      <c r="Y547" s="1603"/>
      <c r="Z547" s="1603"/>
      <c r="AA547" s="1603"/>
      <c r="AB547" s="1603"/>
      <c r="AC547" s="1603"/>
      <c r="AD547" s="1604"/>
      <c r="AE547" s="1633">
        <v>2200000</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787" t="s">
        <v>2424</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640281</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87" t="s">
        <v>2357</v>
      </c>
      <c r="D549" s="1596"/>
      <c r="E549" s="1596"/>
      <c r="F549" s="1596"/>
      <c r="G549" s="1596"/>
      <c r="H549" s="1596"/>
      <c r="I549" s="1596"/>
      <c r="J549" s="1596"/>
      <c r="K549" s="1596"/>
      <c r="L549" s="1596"/>
      <c r="M549" s="1596"/>
      <c r="N549" s="1596"/>
      <c r="O549" s="1605"/>
      <c r="P549" s="1764" t="s">
        <v>136</v>
      </c>
      <c r="Q549" s="1607"/>
      <c r="R549" s="1607"/>
      <c r="S549" s="1607"/>
      <c r="T549" s="1607"/>
      <c r="U549" s="1607"/>
      <c r="V549" s="1607"/>
      <c r="W549" s="1608"/>
      <c r="X549" s="2008" t="s">
        <v>136</v>
      </c>
      <c r="Y549" s="1603"/>
      <c r="Z549" s="1603"/>
      <c r="AA549" s="1603"/>
      <c r="AB549" s="1603"/>
      <c r="AC549" s="1603"/>
      <c r="AD549" s="1604"/>
      <c r="AE549" s="1633">
        <v>3706984</v>
      </c>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8"/>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61349835</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Master Developer - Land Donation</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595" t="s">
        <v>2343</v>
      </c>
      <c r="H560" s="1595"/>
      <c r="I560" s="1595"/>
      <c r="J560" s="1595"/>
      <c r="K560" s="1595"/>
      <c r="L560" s="1595"/>
      <c r="M560" s="1595"/>
      <c r="N560" s="1595"/>
      <c r="O560" s="1595"/>
      <c r="P560" s="1595"/>
      <c r="Q560" s="1595"/>
      <c r="R560" s="1595"/>
      <c r="S560" s="18"/>
      <c r="T560" s="46"/>
      <c r="U560" s="16" t="s">
        <v>422</v>
      </c>
      <c r="Z560" s="1595" t="s">
        <v>2426</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595" t="s">
        <v>2345</v>
      </c>
      <c r="H561" s="1595"/>
      <c r="I561" s="1595"/>
      <c r="J561" s="1595"/>
      <c r="K561" s="1595"/>
      <c r="L561" s="1595"/>
      <c r="M561" s="1595"/>
      <c r="N561" s="1595"/>
      <c r="O561" s="1595"/>
      <c r="P561" s="1595"/>
      <c r="Q561" s="1595"/>
      <c r="R561" s="1595"/>
      <c r="S561" s="102"/>
      <c r="T561" s="46"/>
      <c r="U561" s="16" t="s">
        <v>484</v>
      </c>
      <c r="Z561" s="1719" t="s">
        <v>2427</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595" t="s">
        <v>2358</v>
      </c>
      <c r="H562" s="1595"/>
      <c r="I562" s="1595"/>
      <c r="J562" s="1595"/>
      <c r="K562" s="1595"/>
      <c r="L562" s="1595"/>
      <c r="M562" s="1595"/>
      <c r="N562" s="1595"/>
      <c r="O562" s="1595"/>
      <c r="P562" s="1595"/>
      <c r="Q562" s="1595"/>
      <c r="R562" s="1595"/>
      <c r="S562" s="18"/>
      <c r="T562" s="46"/>
      <c r="U562" s="16" t="s">
        <v>924</v>
      </c>
      <c r="Z562" s="1719" t="s">
        <v>2428</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588" t="s">
        <v>2359</v>
      </c>
      <c r="H563" s="1589"/>
      <c r="I563" s="1589"/>
      <c r="J563" s="1589"/>
      <c r="K563" s="1589"/>
      <c r="L563" s="1589"/>
      <c r="O563" s="161" t="s">
        <v>907</v>
      </c>
      <c r="P563" s="1596"/>
      <c r="Q563" s="1596"/>
      <c r="R563" s="1596"/>
      <c r="S563" s="20"/>
      <c r="T563" s="46"/>
      <c r="U563" s="16" t="s">
        <v>723</v>
      </c>
      <c r="Z563" s="1588" t="s">
        <v>2430</v>
      </c>
      <c r="AA563" s="1589"/>
      <c r="AB563" s="1589"/>
      <c r="AC563" s="1589"/>
      <c r="AD563" s="1589"/>
      <c r="AE563" s="1589"/>
      <c r="AH563" s="161" t="s">
        <v>907</v>
      </c>
      <c r="AI563" s="1596"/>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595" t="s">
        <v>2360</v>
      </c>
      <c r="I564" s="1595"/>
      <c r="J564" s="1595"/>
      <c r="K564" s="1595"/>
      <c r="L564" s="1595"/>
      <c r="M564" s="1595"/>
      <c r="N564" s="1595"/>
      <c r="O564" s="1595"/>
      <c r="P564" s="1595"/>
      <c r="Q564" s="1595"/>
      <c r="R564" s="1595"/>
      <c r="S564" s="18"/>
      <c r="T564" s="46"/>
      <c r="U564" s="16" t="s">
        <v>925</v>
      </c>
      <c r="AA564" s="1592" t="s">
        <v>2429</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98" t="str">
        <f>C547</f>
        <v>Pacific West Communities, Inc. - DDF</v>
      </c>
      <c r="H567" s="1798"/>
      <c r="I567" s="1798"/>
      <c r="J567" s="1798"/>
      <c r="K567" s="1798"/>
      <c r="L567" s="1798"/>
      <c r="M567" s="1798"/>
      <c r="N567" s="1798"/>
      <c r="O567" s="1798"/>
      <c r="P567" s="1798"/>
      <c r="Q567" s="1798"/>
      <c r="R567" s="1798"/>
      <c r="T567" s="101" t="s">
        <v>485</v>
      </c>
      <c r="U567" s="16" t="s">
        <v>93</v>
      </c>
      <c r="Z567" s="1798" t="str">
        <f>C548</f>
        <v>American Canyon Pacific Assoc - Def. Costs</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2310</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719" t="s">
        <v>2325</v>
      </c>
      <c r="H569" s="1719"/>
      <c r="I569" s="1719"/>
      <c r="J569" s="1719"/>
      <c r="K569" s="1719"/>
      <c r="L569" s="1719"/>
      <c r="M569" s="1719"/>
      <c r="N569" s="1719"/>
      <c r="O569" s="1719"/>
      <c r="P569" s="1719"/>
      <c r="Q569" s="1719"/>
      <c r="R569" s="1719"/>
      <c r="T569" s="46"/>
      <c r="U569" s="16" t="s">
        <v>484</v>
      </c>
      <c r="Z569" s="1787" t="s">
        <v>2325</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719" t="s">
        <v>2307</v>
      </c>
      <c r="H570" s="1719"/>
      <c r="I570" s="1719"/>
      <c r="J570" s="1719"/>
      <c r="K570" s="1719"/>
      <c r="L570" s="1719"/>
      <c r="M570" s="1719"/>
      <c r="N570" s="1719"/>
      <c r="O570" s="1719"/>
      <c r="P570" s="1719"/>
      <c r="Q570" s="1719"/>
      <c r="R570" s="1719"/>
      <c r="T570" s="46"/>
      <c r="U570" s="16" t="s">
        <v>924</v>
      </c>
      <c r="Z570" s="1787" t="s">
        <v>2307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588" t="s">
        <v>2312</v>
      </c>
      <c r="H571" s="1589"/>
      <c r="I571" s="1589"/>
      <c r="J571" s="1589"/>
      <c r="K571" s="1589"/>
      <c r="L571" s="1589"/>
      <c r="O571" s="161" t="s">
        <v>907</v>
      </c>
      <c r="P571" s="1596">
        <v>3015</v>
      </c>
      <c r="Q571" s="1596"/>
      <c r="R571" s="1596"/>
      <c r="T571" s="46"/>
      <c r="U571" s="16" t="s">
        <v>723</v>
      </c>
      <c r="Z571" s="1588" t="s">
        <v>2312</v>
      </c>
      <c r="AA571" s="1589"/>
      <c r="AB571" s="1589"/>
      <c r="AC571" s="1589"/>
      <c r="AD571" s="1589"/>
      <c r="AE571" s="1589"/>
      <c r="AH571" s="161" t="s">
        <v>907</v>
      </c>
      <c r="AI571" s="1596">
        <v>3015</v>
      </c>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592" t="s">
        <v>2361</v>
      </c>
      <c r="I572" s="1595"/>
      <c r="J572" s="1595"/>
      <c r="K572" s="1595"/>
      <c r="L572" s="1595"/>
      <c r="M572" s="1595"/>
      <c r="N572" s="1595"/>
      <c r="O572" s="1595"/>
      <c r="P572" s="1595"/>
      <c r="Q572" s="1595"/>
      <c r="R572" s="1595"/>
      <c r="T572" s="46"/>
      <c r="U572" s="16" t="s">
        <v>925</v>
      </c>
      <c r="AA572" s="1592" t="s">
        <v>2362</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07" t="s">
        <v>119</v>
      </c>
      <c r="O573" s="1607"/>
      <c r="T573" s="46"/>
      <c r="U573" s="16" t="s">
        <v>927</v>
      </c>
      <c r="AG573" s="1960" t="s">
        <v>119</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98" t="str">
        <f>C549</f>
        <v>Boston Capital - LIHTC Equity</v>
      </c>
      <c r="H575" s="1798"/>
      <c r="I575" s="1798"/>
      <c r="J575" s="1798"/>
      <c r="K575" s="1798"/>
      <c r="L575" s="1798"/>
      <c r="M575" s="1798"/>
      <c r="N575" s="1798"/>
      <c r="O575" s="1798"/>
      <c r="P575" s="1798"/>
      <c r="Q575" s="1798"/>
      <c r="R575" s="1798"/>
      <c r="T575" s="101" t="s">
        <v>488</v>
      </c>
      <c r="U575" s="16" t="s">
        <v>93</v>
      </c>
      <c r="Z575" s="1798">
        <f>C550</f>
        <v>0</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2" t="s">
        <v>2343</v>
      </c>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2" t="s">
        <v>2345</v>
      </c>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592" t="s">
        <v>2347</v>
      </c>
      <c r="H578" s="1595"/>
      <c r="I578" s="1595"/>
      <c r="J578" s="1595"/>
      <c r="K578" s="1595"/>
      <c r="L578" s="1595"/>
      <c r="M578" s="1595"/>
      <c r="N578" s="1595"/>
      <c r="O578" s="1595"/>
      <c r="P578" s="1595"/>
      <c r="Q578" s="1595"/>
      <c r="R578" s="1595"/>
      <c r="T578" s="46"/>
      <c r="U578" s="16" t="s">
        <v>924</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588" t="s">
        <v>2349</v>
      </c>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592" t="s">
        <v>2363</v>
      </c>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960"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9">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2</v>
      </c>
      <c r="AY587" s="1723"/>
      <c r="AZ587" s="72"/>
      <c r="BA587" s="1745">
        <f t="shared" ref="BA587:BA611" si="4">IF(B691="SRO/Studio",G691,0)</f>
        <v>2</v>
      </c>
      <c r="BB587" s="1745"/>
      <c r="BC587" s="1745"/>
      <c r="BD587" s="1745"/>
      <c r="BE587" s="1745"/>
      <c r="BF587" s="1745">
        <f t="shared" ref="BF587:BF611" si="5">IF(B691="1 Bedroom",G691,0)</f>
        <v>0</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2</v>
      </c>
      <c r="CF587" s="1707"/>
      <c r="CG587" s="1707"/>
      <c r="CH587" s="1707"/>
      <c r="CI587" s="1707"/>
      <c r="CJ587" s="1707">
        <f t="shared" ref="CJ587:CJ611" si="11">IF(AND(B691="1 Bedroom",AD691&lt;=0.3),G691,0)</f>
        <v>0</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9">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3</v>
      </c>
      <c r="BB588" s="1745"/>
      <c r="BC588" s="1745"/>
      <c r="BD588" s="1745"/>
      <c r="BE588" s="1745"/>
      <c r="BF588" s="1745">
        <f t="shared" si="5"/>
        <v>0</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9">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10</v>
      </c>
      <c r="AU589" s="1723"/>
      <c r="AV589" s="1749">
        <f t="shared" si="2"/>
        <v>0</v>
      </c>
      <c r="AW589" s="1750"/>
      <c r="AX589" s="1722">
        <f t="shared" si="3"/>
        <v>0</v>
      </c>
      <c r="AY589" s="1723"/>
      <c r="AZ589" s="72"/>
      <c r="BA589" s="1745">
        <f t="shared" si="4"/>
        <v>10</v>
      </c>
      <c r="BB589" s="1745"/>
      <c r="BC589" s="1745"/>
      <c r="BD589" s="1745"/>
      <c r="BE589" s="1745"/>
      <c r="BF589" s="1745">
        <f t="shared" si="5"/>
        <v>0</v>
      </c>
      <c r="BG589" s="1745"/>
      <c r="BH589" s="1745"/>
      <c r="BI589" s="1745"/>
      <c r="BJ589" s="1745"/>
      <c r="BK589" s="1745">
        <f t="shared" si="6"/>
        <v>0</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9">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9</v>
      </c>
      <c r="BB590" s="1745"/>
      <c r="BC590" s="1745"/>
      <c r="BD590" s="1745"/>
      <c r="BE590" s="1745"/>
      <c r="BF590" s="1745">
        <f t="shared" si="5"/>
        <v>0</v>
      </c>
      <c r="BG590" s="1745"/>
      <c r="BH590" s="1745"/>
      <c r="BI590" s="1745"/>
      <c r="BJ590" s="1745"/>
      <c r="BK590" s="1745">
        <f t="shared" si="6"/>
        <v>0</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9">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7</v>
      </c>
      <c r="AY591" s="1723"/>
      <c r="AZ591" s="72"/>
      <c r="BA591" s="1745">
        <f t="shared" si="4"/>
        <v>0</v>
      </c>
      <c r="BB591" s="1745"/>
      <c r="BC591" s="1745"/>
      <c r="BD591" s="1745"/>
      <c r="BE591" s="1745"/>
      <c r="BF591" s="1745">
        <f t="shared" si="5"/>
        <v>7</v>
      </c>
      <c r="BG591" s="1745"/>
      <c r="BH591" s="1745"/>
      <c r="BI591" s="1745"/>
      <c r="BJ591" s="1745"/>
      <c r="BK591" s="1745">
        <f t="shared" si="6"/>
        <v>0</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7</v>
      </c>
      <c r="CK591" s="1707"/>
      <c r="CL591" s="1707"/>
      <c r="CM591" s="1707"/>
      <c r="CN591" s="1707"/>
      <c r="CO591" s="1707">
        <f t="shared" si="12"/>
        <v>0</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9">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11</v>
      </c>
      <c r="AU592" s="1723"/>
      <c r="AV592" s="1749">
        <f t="shared" si="2"/>
        <v>0</v>
      </c>
      <c r="AW592" s="1750"/>
      <c r="AX592" s="1722">
        <f t="shared" si="3"/>
        <v>0</v>
      </c>
      <c r="AY592" s="1723"/>
      <c r="AZ592" s="72"/>
      <c r="BA592" s="1745">
        <f t="shared" si="4"/>
        <v>0</v>
      </c>
      <c r="BB592" s="1745"/>
      <c r="BC592" s="1745"/>
      <c r="BD592" s="1745"/>
      <c r="BE592" s="1745"/>
      <c r="BF592" s="1745">
        <f t="shared" si="5"/>
        <v>11</v>
      </c>
      <c r="BG592" s="1745"/>
      <c r="BH592" s="1745"/>
      <c r="BI592" s="1745"/>
      <c r="BJ592" s="1745"/>
      <c r="BK592" s="1745">
        <f t="shared" si="6"/>
        <v>0</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9">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27</v>
      </c>
      <c r="AU593" s="1723"/>
      <c r="AV593" s="1749">
        <f t="shared" si="2"/>
        <v>0</v>
      </c>
      <c r="AW593" s="1750"/>
      <c r="AX593" s="1722">
        <f t="shared" si="3"/>
        <v>0</v>
      </c>
      <c r="AY593" s="1723"/>
      <c r="AZ593" s="72"/>
      <c r="BA593" s="1745">
        <f t="shared" si="4"/>
        <v>0</v>
      </c>
      <c r="BB593" s="1745"/>
      <c r="BC593" s="1745"/>
      <c r="BD593" s="1745"/>
      <c r="BE593" s="1745"/>
      <c r="BF593" s="1745">
        <f t="shared" si="5"/>
        <v>27</v>
      </c>
      <c r="BG593" s="1745"/>
      <c r="BH593" s="1745"/>
      <c r="BI593" s="1745"/>
      <c r="BJ593" s="1745"/>
      <c r="BK593" s="1745">
        <f t="shared" si="6"/>
        <v>0</v>
      </c>
      <c r="BL593" s="1745"/>
      <c r="BM593" s="1745"/>
      <c r="BN593" s="1745"/>
      <c r="BO593" s="1745"/>
      <c r="BP593" s="1745">
        <f t="shared" si="7"/>
        <v>0</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9">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21</v>
      </c>
      <c r="BG594" s="1745"/>
      <c r="BH594" s="1745"/>
      <c r="BI594" s="1745"/>
      <c r="BJ594" s="1745"/>
      <c r="BK594" s="1745">
        <f t="shared" si="6"/>
        <v>0</v>
      </c>
      <c r="BL594" s="1745"/>
      <c r="BM594" s="1745"/>
      <c r="BN594" s="1745"/>
      <c r="BO594" s="1745"/>
      <c r="BP594" s="1745">
        <f t="shared" si="7"/>
        <v>0</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9">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1</v>
      </c>
      <c r="AW595" s="1750"/>
      <c r="AX595" s="1722">
        <f t="shared" si="3"/>
        <v>5</v>
      </c>
      <c r="AY595" s="1723"/>
      <c r="AZ595" s="72"/>
      <c r="BA595" s="1745">
        <f t="shared" si="4"/>
        <v>0</v>
      </c>
      <c r="BB595" s="1745"/>
      <c r="BC595" s="1745"/>
      <c r="BD595" s="1745"/>
      <c r="BE595" s="1745"/>
      <c r="BF595" s="1745">
        <f t="shared" si="5"/>
        <v>0</v>
      </c>
      <c r="BG595" s="1745"/>
      <c r="BH595" s="1745"/>
      <c r="BI595" s="1745"/>
      <c r="BJ595" s="1745"/>
      <c r="BK595" s="1745">
        <f t="shared" si="6"/>
        <v>5</v>
      </c>
      <c r="BL595" s="1745"/>
      <c r="BM595" s="1745"/>
      <c r="BN595" s="1745"/>
      <c r="BO595" s="1745"/>
      <c r="BP595" s="1745">
        <f t="shared" si="7"/>
        <v>0</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5</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9">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1</v>
      </c>
      <c r="AS596" s="1750"/>
      <c r="AT596" s="1722">
        <f t="shared" si="1"/>
        <v>7</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7</v>
      </c>
      <c r="BL596" s="1745"/>
      <c r="BM596" s="1745"/>
      <c r="BN596" s="1745"/>
      <c r="BO596" s="1745"/>
      <c r="BP596" s="1745">
        <f t="shared" si="7"/>
        <v>0</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9">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1</v>
      </c>
      <c r="AS597" s="1750"/>
      <c r="AT597" s="1722">
        <f t="shared" si="1"/>
        <v>19</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19</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9">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17</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9">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1</v>
      </c>
      <c r="AW599" s="1750"/>
      <c r="AX599" s="1722">
        <f t="shared" si="3"/>
        <v>5</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5</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5</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9">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1</v>
      </c>
      <c r="AS600" s="1750"/>
      <c r="AT600" s="1722">
        <f t="shared" si="1"/>
        <v>7</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7</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9">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1</v>
      </c>
      <c r="AS601" s="1750"/>
      <c r="AT601" s="1722">
        <f t="shared" si="1"/>
        <v>19</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19</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9">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15</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9">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8"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9">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9">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9">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9">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9">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9">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9">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103</v>
      </c>
      <c r="AU612" s="1750"/>
      <c r="AV612" s="72"/>
      <c r="AW612" s="72"/>
      <c r="AX612" s="1749">
        <f>SUM(AX587:AY611)</f>
        <v>19</v>
      </c>
      <c r="AY612" s="1750"/>
      <c r="AZ612" s="72"/>
      <c r="BA612" s="1721">
        <f>SUM(BA587:BE611)</f>
        <v>24</v>
      </c>
      <c r="BB612" s="1721"/>
      <c r="BC612" s="1721"/>
      <c r="BD612" s="1721"/>
      <c r="BE612" s="1721"/>
      <c r="BF612" s="1721">
        <f>SUM(BF587:BJ611)</f>
        <v>66</v>
      </c>
      <c r="BG612" s="1721"/>
      <c r="BH612" s="1721"/>
      <c r="BI612" s="1721"/>
      <c r="BJ612" s="1721"/>
      <c r="BK612" s="1721">
        <f>SUM(BK587:BO611)</f>
        <v>48</v>
      </c>
      <c r="BL612" s="1721"/>
      <c r="BM612" s="1721"/>
      <c r="BN612" s="1721"/>
      <c r="BO612" s="1721"/>
      <c r="BP612" s="1721">
        <f>SUM(BP587:BT611)</f>
        <v>46</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2</v>
      </c>
      <c r="CF612" s="1721"/>
      <c r="CG612" s="1721"/>
      <c r="CH612" s="1721"/>
      <c r="CI612" s="1721"/>
      <c r="CJ612" s="1721">
        <f>SUM(CJ587:CN611)</f>
        <v>7</v>
      </c>
      <c r="CK612" s="1721"/>
      <c r="CL612" s="1721"/>
      <c r="CM612" s="1721"/>
      <c r="CN612" s="1721"/>
      <c r="CO612" s="1721">
        <f>SUM(CO587:CS611)</f>
        <v>5</v>
      </c>
      <c r="CP612" s="1721"/>
      <c r="CQ612" s="1721"/>
      <c r="CR612" s="1721"/>
      <c r="CS612" s="1721"/>
      <c r="CT612" s="1721">
        <f>SUM(CT587:CX611)</f>
        <v>5</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24</v>
      </c>
      <c r="BF613" s="72"/>
      <c r="BG613" s="72"/>
      <c r="BH613" s="72"/>
      <c r="BI613" s="72"/>
      <c r="BJ613" s="771">
        <f>BF612*1</f>
        <v>66</v>
      </c>
      <c r="BK613" s="72"/>
      <c r="BL613" s="72"/>
      <c r="BM613" s="72"/>
      <c r="BN613" s="72"/>
      <c r="BO613" s="771">
        <f>BK612*2</f>
        <v>96</v>
      </c>
      <c r="BP613" s="72"/>
      <c r="BQ613" s="72"/>
      <c r="BR613" s="72"/>
      <c r="BS613" s="72"/>
      <c r="BT613" s="771">
        <f>BP612*3</f>
        <v>138</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324</v>
      </c>
      <c r="CE614" s="72"/>
      <c r="CF614" s="72"/>
      <c r="CG614" s="72"/>
      <c r="CH614" s="72"/>
      <c r="CI614" s="72"/>
      <c r="CJ614" s="72"/>
      <c r="CK614" s="72"/>
      <c r="CL614" s="72"/>
      <c r="CM614" s="72"/>
      <c r="CN614" s="72"/>
      <c r="CO614" s="72"/>
      <c r="CP614" s="72"/>
      <c r="CQ614" s="72"/>
      <c r="CR614" s="72"/>
    </row>
    <row r="615" spans="1:112" ht="12.8"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2</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8"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9">
      <c r="B617" s="97" t="s">
        <v>1015</v>
      </c>
      <c r="C617" s="1787" t="s">
        <v>2364</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1132524</v>
      </c>
      <c r="AC617" s="1710"/>
      <c r="AD617" s="1710"/>
      <c r="AE617" s="1710"/>
      <c r="AF617" s="1710"/>
      <c r="AG617" s="1710">
        <v>18700000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9">
      <c r="B618" s="98" t="s">
        <v>1016</v>
      </c>
      <c r="C618" s="1787" t="s">
        <v>2425</v>
      </c>
      <c r="D618" s="1596"/>
      <c r="E618" s="1596"/>
      <c r="F618" s="1596"/>
      <c r="G618" s="1596"/>
      <c r="H618" s="1596"/>
      <c r="I618" s="1596"/>
      <c r="J618" s="1596"/>
      <c r="K618" s="1596"/>
      <c r="L618" s="1596"/>
      <c r="M618" s="1596"/>
      <c r="N618" s="1596"/>
      <c r="O618" s="1605"/>
      <c r="P618" s="1606" t="s">
        <v>136</v>
      </c>
      <c r="Q618" s="1607"/>
      <c r="R618" s="1608"/>
      <c r="S618" s="1602" t="s">
        <v>136</v>
      </c>
      <c r="T618" s="1603"/>
      <c r="U618" s="1604"/>
      <c r="V618" s="1606"/>
      <c r="W618" s="1607"/>
      <c r="X618" s="1607"/>
      <c r="Y618" s="1607"/>
      <c r="Z618" s="1607"/>
      <c r="AA618" s="1608"/>
      <c r="AB618" s="1959"/>
      <c r="AC618" s="1710"/>
      <c r="AD618" s="1710"/>
      <c r="AE618" s="1710"/>
      <c r="AF618" s="1710"/>
      <c r="AG618" s="1710">
        <v>5580000</v>
      </c>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9">
      <c r="B619" s="98" t="s">
        <v>1022</v>
      </c>
      <c r="C619" s="1787"/>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59"/>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2</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9">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9"/>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9">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9">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9">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9">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9">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8"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8"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9">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24280000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9">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37069835</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9">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61349835</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t="str">
        <f>C618</f>
        <v>Master Developer - Land Donation</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595" t="s">
        <v>2343</v>
      </c>
      <c r="H634" s="1595"/>
      <c r="I634" s="1595"/>
      <c r="J634" s="1595"/>
      <c r="K634" s="1595"/>
      <c r="L634" s="1595"/>
      <c r="M634" s="1595"/>
      <c r="N634" s="1595"/>
      <c r="O634" s="1595"/>
      <c r="P634" s="1595"/>
      <c r="Q634" s="1595"/>
      <c r="R634" s="1595"/>
      <c r="S634" s="18"/>
      <c r="T634" s="46"/>
      <c r="U634" s="16" t="s">
        <v>422</v>
      </c>
      <c r="Z634" s="1592" t="s">
        <v>2426</v>
      </c>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595" t="s">
        <v>2345</v>
      </c>
      <c r="H635" s="1595"/>
      <c r="I635" s="1595"/>
      <c r="J635" s="1595"/>
      <c r="K635" s="1595"/>
      <c r="L635" s="1595"/>
      <c r="M635" s="1595"/>
      <c r="N635" s="1595"/>
      <c r="O635" s="1595"/>
      <c r="P635" s="1595"/>
      <c r="Q635" s="1595"/>
      <c r="R635" s="1595"/>
      <c r="S635" s="102"/>
      <c r="T635" s="46"/>
      <c r="U635" s="16" t="s">
        <v>484</v>
      </c>
      <c r="Z635" s="1787" t="s">
        <v>2427</v>
      </c>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324</v>
      </c>
      <c r="CE635" s="72"/>
      <c r="CF635" s="72"/>
      <c r="CG635" s="72"/>
      <c r="CH635" s="72"/>
      <c r="CI635" s="72"/>
      <c r="CJ635" s="72"/>
      <c r="CK635" s="72"/>
      <c r="CL635" s="72"/>
      <c r="CM635" s="72"/>
      <c r="CN635" s="72"/>
      <c r="CO635" s="72"/>
      <c r="CP635" s="72"/>
      <c r="CQ635" s="72"/>
      <c r="CR635" s="72"/>
    </row>
    <row r="636" spans="1:96" ht="12.9">
      <c r="A636" s="46"/>
      <c r="B636" s="16" t="s">
        <v>924</v>
      </c>
      <c r="G636" s="1595" t="s">
        <v>2358</v>
      </c>
      <c r="H636" s="1595"/>
      <c r="I636" s="1595"/>
      <c r="J636" s="1595"/>
      <c r="K636" s="1595"/>
      <c r="L636" s="1595"/>
      <c r="M636" s="1595"/>
      <c r="N636" s="1595"/>
      <c r="O636" s="1595"/>
      <c r="P636" s="1595"/>
      <c r="Q636" s="1595"/>
      <c r="R636" s="1595"/>
      <c r="S636" s="18"/>
      <c r="T636" s="46"/>
      <c r="U636" s="16" t="s">
        <v>924</v>
      </c>
      <c r="Z636" s="1787" t="s">
        <v>2428</v>
      </c>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588" t="s">
        <v>2359</v>
      </c>
      <c r="H637" s="1589"/>
      <c r="I637" s="1589"/>
      <c r="J637" s="1589"/>
      <c r="K637" s="1589"/>
      <c r="L637" s="1589"/>
      <c r="O637" s="161" t="s">
        <v>907</v>
      </c>
      <c r="P637" s="1596"/>
      <c r="Q637" s="1596"/>
      <c r="R637" s="1596"/>
      <c r="S637" s="20"/>
      <c r="T637" s="46"/>
      <c r="U637" s="16" t="s">
        <v>723</v>
      </c>
      <c r="Z637" s="1588" t="s">
        <v>2430</v>
      </c>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24</v>
      </c>
      <c r="BB637" s="1747"/>
      <c r="BC637" s="1747"/>
      <c r="BD637" s="1747"/>
      <c r="BE637" s="1748"/>
      <c r="BF637" s="1746">
        <f>BF612+BF619+BF631</f>
        <v>66</v>
      </c>
      <c r="BG637" s="1747"/>
      <c r="BH637" s="1747"/>
      <c r="BI637" s="1747"/>
      <c r="BJ637" s="1748"/>
      <c r="BK637" s="1746">
        <f>BK612+BK619+BK631</f>
        <v>48</v>
      </c>
      <c r="BL637" s="1747"/>
      <c r="BM637" s="1747"/>
      <c r="BN637" s="1747"/>
      <c r="BO637" s="1748"/>
      <c r="BP637" s="1746">
        <f>BP612+BP619+BP631</f>
        <v>48</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9">
      <c r="A638" s="46"/>
      <c r="B638" s="16" t="s">
        <v>925</v>
      </c>
      <c r="H638" s="1595" t="s">
        <v>2365</v>
      </c>
      <c r="I638" s="1595"/>
      <c r="J638" s="1595"/>
      <c r="K638" s="1595"/>
      <c r="L638" s="1595"/>
      <c r="M638" s="1595"/>
      <c r="N638" s="1595"/>
      <c r="O638" s="1595"/>
      <c r="P638" s="1595"/>
      <c r="Q638" s="1595"/>
      <c r="R638" s="1595"/>
      <c r="S638" s="18"/>
      <c r="T638" s="46"/>
      <c r="U638" s="16" t="s">
        <v>925</v>
      </c>
      <c r="AA638" s="1592" t="s">
        <v>2429</v>
      </c>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625" t="s">
        <v>119</v>
      </c>
      <c r="O639" s="1625"/>
      <c r="T639" s="46"/>
      <c r="U639" s="16" t="s">
        <v>927</v>
      </c>
      <c r="AG639" s="1812" t="s">
        <v>119</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98">
        <f>C619</f>
        <v>0</v>
      </c>
      <c r="H641" s="1798"/>
      <c r="I641" s="1798"/>
      <c r="J641" s="1798"/>
      <c r="K641" s="1798"/>
      <c r="L641" s="1798"/>
      <c r="M641" s="1798"/>
      <c r="N641" s="1798"/>
      <c r="O641" s="1798"/>
      <c r="P641" s="1798"/>
      <c r="Q641" s="1798"/>
      <c r="R641" s="1798"/>
      <c r="T641" s="101" t="s">
        <v>485</v>
      </c>
      <c r="U641" s="16" t="s">
        <v>93</v>
      </c>
      <c r="Z641" s="1798">
        <f>C620</f>
        <v>0</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719"/>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589"/>
      <c r="H645" s="1589"/>
      <c r="I645" s="1589"/>
      <c r="J645" s="1589"/>
      <c r="K645" s="1589"/>
      <c r="L645" s="1589"/>
      <c r="O645" s="161" t="s">
        <v>907</v>
      </c>
      <c r="P645" s="1596"/>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592"/>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812" t="s">
        <v>536</v>
      </c>
      <c r="O647" s="1625"/>
      <c r="T647" s="46"/>
      <c r="U647" s="16" t="s">
        <v>927</v>
      </c>
      <c r="AG647" s="1812"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98">
        <f>C621</f>
        <v>0</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1896</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1896</v>
      </c>
      <c r="AO675" s="75"/>
      <c r="AP675" s="75"/>
      <c r="AQ675" s="75"/>
      <c r="AR675" s="75"/>
      <c r="AS675" s="75"/>
      <c r="AT675" s="737">
        <f t="shared" ref="AT675:AT699" si="23">G691</f>
        <v>2</v>
      </c>
      <c r="AU675" s="750">
        <f>AT675/$AT$700</f>
        <v>1.0869565217391304E-2</v>
      </c>
      <c r="AV675" s="752">
        <f t="shared" ref="AV675:AV699" si="24">IF(AU675=0," ",AU675*AD691)</f>
        <v>3.2608695652173911E-3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1896</v>
      </c>
      <c r="AO676" s="75"/>
      <c r="AP676" s="75"/>
      <c r="AQ676" s="75"/>
      <c r="AR676" s="75"/>
      <c r="AS676" s="75"/>
      <c r="AT676" s="738">
        <f t="shared" si="23"/>
        <v>3</v>
      </c>
      <c r="AU676" s="750">
        <f t="shared" ref="AU676:AU699" si="25">AT676/$AT$700</f>
        <v>1.6304347826086956E-2</v>
      </c>
      <c r="AV676" s="752">
        <f t="shared" si="24"/>
        <v>6.5217391304347831E-3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1896</v>
      </c>
      <c r="AO677" s="72"/>
      <c r="AP677" s="72"/>
      <c r="AQ677" s="72"/>
      <c r="AR677" s="72"/>
      <c r="AS677" s="72"/>
      <c r="AT677" s="738">
        <f t="shared" si="23"/>
        <v>10</v>
      </c>
      <c r="AU677" s="750">
        <f t="shared" si="25"/>
        <v>5.434782608695652E-2</v>
      </c>
      <c r="AV677" s="752">
        <f t="shared" si="24"/>
        <v>2.717391304347826E-2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2032</v>
      </c>
      <c r="AO678" s="72"/>
      <c r="AP678" s="72"/>
      <c r="AQ678" s="72"/>
      <c r="AR678" s="72"/>
      <c r="AS678" s="72"/>
      <c r="AT678" s="738">
        <f t="shared" si="23"/>
        <v>9</v>
      </c>
      <c r="AU678" s="750">
        <f t="shared" si="25"/>
        <v>4.8913043478260872E-2</v>
      </c>
      <c r="AV678" s="752">
        <f t="shared" si="24"/>
        <v>2.9347826086956522E-2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625" t="s">
        <v>536</v>
      </c>
      <c r="O679" s="1625"/>
      <c r="U679" s="16" t="s">
        <v>927</v>
      </c>
      <c r="AG679" s="1625" t="s">
        <v>536</v>
      </c>
      <c r="AH679" s="1625"/>
      <c r="AM679" s="72"/>
      <c r="AN679" s="75">
        <f t="shared" si="22"/>
        <v>2032</v>
      </c>
      <c r="AO679" s="72"/>
      <c r="AP679" s="72"/>
      <c r="AQ679" s="72"/>
      <c r="AR679" s="72"/>
      <c r="AS679" s="72"/>
      <c r="AT679" s="738">
        <f t="shared" si="23"/>
        <v>7</v>
      </c>
      <c r="AU679" s="750">
        <f t="shared" si="25"/>
        <v>3.8043478260869568E-2</v>
      </c>
      <c r="AV679" s="752">
        <f t="shared" si="24"/>
        <v>1.141304347826087E-2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2032</v>
      </c>
      <c r="AO680" s="72"/>
      <c r="AP680" s="72"/>
      <c r="AQ680" s="72"/>
      <c r="AR680" s="72"/>
      <c r="AS680" s="72"/>
      <c r="AT680" s="738">
        <f t="shared" si="23"/>
        <v>11</v>
      </c>
      <c r="AU680" s="750">
        <f t="shared" si="25"/>
        <v>5.9782608695652176E-2</v>
      </c>
      <c r="AV680" s="752">
        <f t="shared" si="24"/>
        <v>2.391304347826087E-2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2032</v>
      </c>
      <c r="AO681" s="72"/>
      <c r="AP681" s="72"/>
      <c r="AQ681" s="72"/>
      <c r="AR681" s="72"/>
      <c r="AS681" s="72"/>
      <c r="AT681" s="738">
        <f t="shared" si="23"/>
        <v>27</v>
      </c>
      <c r="AU681" s="750">
        <f t="shared" si="25"/>
        <v>0.14673913043478262</v>
      </c>
      <c r="AV681" s="752">
        <f t="shared" si="24"/>
        <v>7.3369565217391311E-2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f t="shared" si="22"/>
        <v>2436</v>
      </c>
      <c r="AO682" s="72"/>
      <c r="AP682" s="72"/>
      <c r="AQ682" s="72"/>
      <c r="AR682" s="72"/>
      <c r="AS682" s="72"/>
      <c r="AT682" s="738">
        <f t="shared" si="23"/>
        <v>21</v>
      </c>
      <c r="AU682" s="750">
        <f t="shared" si="25"/>
        <v>0.11413043478260869</v>
      </c>
      <c r="AV682" s="752">
        <f t="shared" si="24"/>
        <v>6.8478260869565211E-2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f t="shared" si="22"/>
        <v>2436</v>
      </c>
      <c r="AR683" s="72"/>
      <c r="AS683" s="72"/>
      <c r="AT683" s="738">
        <f t="shared" si="23"/>
        <v>5</v>
      </c>
      <c r="AU683" s="750">
        <f t="shared" si="25"/>
        <v>2.717391304347826E-2</v>
      </c>
      <c r="AV683" s="752">
        <f t="shared" si="24"/>
        <v>8.152173913043478E-3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f t="shared" si="22"/>
        <v>2436</v>
      </c>
      <c r="AR684" s="72"/>
      <c r="AS684" s="72"/>
      <c r="AT684" s="738">
        <f t="shared" si="23"/>
        <v>7</v>
      </c>
      <c r="AU684" s="750">
        <f t="shared" si="25"/>
        <v>3.8043478260869568E-2</v>
      </c>
      <c r="AV684" s="752">
        <f t="shared" si="24"/>
        <v>1.5217391304347828E-2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f t="shared" si="22"/>
        <v>2436</v>
      </c>
      <c r="AR685" s="72"/>
      <c r="AS685" s="72"/>
      <c r="AT685" s="738">
        <f t="shared" si="23"/>
        <v>19</v>
      </c>
      <c r="AU685" s="750">
        <f t="shared" si="25"/>
        <v>0.10326086956521739</v>
      </c>
      <c r="AV685" s="752">
        <f t="shared" si="24"/>
        <v>5.1630434782608696E-2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f t="shared" si="22"/>
        <v>2816</v>
      </c>
      <c r="AR686" s="72"/>
      <c r="AS686" s="72"/>
      <c r="AT686" s="738">
        <f t="shared" si="23"/>
        <v>17</v>
      </c>
      <c r="AU686" s="750">
        <f t="shared" si="25"/>
        <v>9.2391304347826081E-2</v>
      </c>
      <c r="AV686" s="752">
        <f t="shared" si="24"/>
        <v>5.5434782608695644E-2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f t="shared" si="22"/>
        <v>2816</v>
      </c>
      <c r="AO687" s="72"/>
      <c r="AP687" s="72"/>
      <c r="AQ687" s="72"/>
      <c r="AR687" s="72"/>
      <c r="AS687" s="72"/>
      <c r="AT687" s="738">
        <f t="shared" si="23"/>
        <v>5</v>
      </c>
      <c r="AU687" s="750">
        <f t="shared" si="25"/>
        <v>2.717391304347826E-2</v>
      </c>
      <c r="AV687" s="752">
        <f t="shared" si="24"/>
        <v>8.152173913043478E-3</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f t="shared" si="22"/>
        <v>2816</v>
      </c>
      <c r="AO688" s="72"/>
      <c r="AP688" s="72"/>
      <c r="AQ688" s="72"/>
      <c r="AR688" s="72"/>
      <c r="AS688" s="72"/>
      <c r="AT688" s="738">
        <f t="shared" si="23"/>
        <v>7</v>
      </c>
      <c r="AU688" s="750">
        <f t="shared" si="25"/>
        <v>3.8043478260869568E-2</v>
      </c>
      <c r="AV688" s="752">
        <f t="shared" si="24"/>
        <v>1.5217391304347828E-2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f t="shared" si="22"/>
        <v>2816</v>
      </c>
      <c r="AO689" s="72"/>
      <c r="AP689" s="72"/>
      <c r="AQ689" s="72"/>
      <c r="AR689" s="72"/>
      <c r="AS689" s="72"/>
      <c r="AT689" s="738">
        <f t="shared" si="23"/>
        <v>19</v>
      </c>
      <c r="AU689" s="750">
        <f t="shared" si="25"/>
        <v>0.10326086956521739</v>
      </c>
      <c r="AV689" s="752">
        <f t="shared" si="24"/>
        <v>5.1630434782608696E-2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15</v>
      </c>
      <c r="AU690" s="750">
        <f t="shared" si="25"/>
        <v>8.1521739130434784E-2</v>
      </c>
      <c r="AV690" s="752">
        <f t="shared" si="24"/>
        <v>4.8913043478260872E-2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764" t="s">
        <v>495</v>
      </c>
      <c r="C691" s="1666"/>
      <c r="D691" s="1666"/>
      <c r="E691" s="1666"/>
      <c r="F691" s="1667"/>
      <c r="G691" s="1752">
        <v>2</v>
      </c>
      <c r="H691" s="1753"/>
      <c r="I691" s="1753"/>
      <c r="J691" s="1754"/>
      <c r="K691" s="1610">
        <v>525</v>
      </c>
      <c r="L691" s="1611"/>
      <c r="M691" s="1611"/>
      <c r="N691" s="1611"/>
      <c r="O691" s="1612"/>
      <c r="P691" s="1613">
        <f t="shared" ref="P691:P715" si="26">G691*K691</f>
        <v>1050</v>
      </c>
      <c r="Q691" s="1614"/>
      <c r="R691" s="1614"/>
      <c r="S691" s="1614"/>
      <c r="T691" s="1615"/>
      <c r="U691" s="1610">
        <v>44</v>
      </c>
      <c r="V691" s="1611"/>
      <c r="W691" s="1611"/>
      <c r="X691" s="1612"/>
      <c r="Y691" s="1613">
        <f>K691+U691</f>
        <v>569</v>
      </c>
      <c r="Z691" s="1614"/>
      <c r="AA691" s="1614"/>
      <c r="AB691" s="1614"/>
      <c r="AC691" s="1615"/>
      <c r="AD691" s="1619">
        <v>0.3</v>
      </c>
      <c r="AE691" s="1620"/>
      <c r="AF691" s="1620"/>
      <c r="AG691" s="1620"/>
      <c r="AH691" s="1621"/>
      <c r="AI691" s="1616">
        <f t="shared" ref="AI691:AI715" si="27">IF($AD691&gt;0,($Y691/$AN674), " ")</f>
        <v>0.30010548523206754</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764" t="s">
        <v>495</v>
      </c>
      <c r="C692" s="1666"/>
      <c r="D692" s="1666"/>
      <c r="E692" s="1666"/>
      <c r="F692" s="1667"/>
      <c r="G692" s="1752">
        <v>3</v>
      </c>
      <c r="H692" s="1753"/>
      <c r="I692" s="1753"/>
      <c r="J692" s="1754"/>
      <c r="K692" s="1610">
        <v>715</v>
      </c>
      <c r="L692" s="1611"/>
      <c r="M692" s="1611"/>
      <c r="N692" s="1611"/>
      <c r="O692" s="1612"/>
      <c r="P692" s="1613">
        <f t="shared" si="26"/>
        <v>2145</v>
      </c>
      <c r="Q692" s="1614"/>
      <c r="R692" s="1614"/>
      <c r="S692" s="1614"/>
      <c r="T692" s="1615"/>
      <c r="U692" s="1610">
        <v>44</v>
      </c>
      <c r="V692" s="1611"/>
      <c r="W692" s="1611"/>
      <c r="X692" s="1612"/>
      <c r="Y692" s="1613">
        <f t="shared" ref="Y692:Y715" si="28">K692+U692</f>
        <v>759</v>
      </c>
      <c r="Z692" s="1614"/>
      <c r="AA692" s="1614"/>
      <c r="AB692" s="1614"/>
      <c r="AC692" s="1615"/>
      <c r="AD692" s="1619">
        <v>0.4</v>
      </c>
      <c r="AE692" s="1620"/>
      <c r="AF692" s="1620"/>
      <c r="AG692" s="1620"/>
      <c r="AH692" s="1621"/>
      <c r="AI692" s="1616">
        <f t="shared" si="27"/>
        <v>0.40031645569620256</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764" t="s">
        <v>495</v>
      </c>
      <c r="C693" s="1666"/>
      <c r="D693" s="1666"/>
      <c r="E693" s="1666"/>
      <c r="F693" s="1667"/>
      <c r="G693" s="1752">
        <v>10</v>
      </c>
      <c r="H693" s="1753"/>
      <c r="I693" s="1753"/>
      <c r="J693" s="1754"/>
      <c r="K693" s="1610">
        <v>904</v>
      </c>
      <c r="L693" s="1611"/>
      <c r="M693" s="1611"/>
      <c r="N693" s="1611"/>
      <c r="O693" s="1612"/>
      <c r="P693" s="1613">
        <f t="shared" si="26"/>
        <v>9040</v>
      </c>
      <c r="Q693" s="1614"/>
      <c r="R693" s="1614"/>
      <c r="S693" s="1614"/>
      <c r="T693" s="1615"/>
      <c r="U693" s="1610">
        <v>44</v>
      </c>
      <c r="V693" s="1611"/>
      <c r="W693" s="1611"/>
      <c r="X693" s="1612"/>
      <c r="Y693" s="1613">
        <f t="shared" si="28"/>
        <v>948</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764" t="s">
        <v>495</v>
      </c>
      <c r="C694" s="1666"/>
      <c r="D694" s="1666"/>
      <c r="E694" s="1666"/>
      <c r="F694" s="1667"/>
      <c r="G694" s="1752">
        <v>9</v>
      </c>
      <c r="H694" s="1753"/>
      <c r="I694" s="1753"/>
      <c r="J694" s="1754"/>
      <c r="K694" s="1610">
        <v>1094</v>
      </c>
      <c r="L694" s="1611"/>
      <c r="M694" s="1611"/>
      <c r="N694" s="1611"/>
      <c r="O694" s="1612"/>
      <c r="P694" s="1613">
        <f t="shared" si="26"/>
        <v>9846</v>
      </c>
      <c r="Q694" s="1614"/>
      <c r="R694" s="1614"/>
      <c r="S694" s="1614"/>
      <c r="T694" s="1615"/>
      <c r="U694" s="1610">
        <v>44</v>
      </c>
      <c r="V694" s="1611"/>
      <c r="W694" s="1611"/>
      <c r="X694" s="1612"/>
      <c r="Y694" s="1613">
        <f t="shared" si="28"/>
        <v>1138</v>
      </c>
      <c r="Z694" s="1614"/>
      <c r="AA694" s="1614"/>
      <c r="AB694" s="1614"/>
      <c r="AC694" s="1615"/>
      <c r="AD694" s="1619">
        <v>0.6</v>
      </c>
      <c r="AE694" s="1620"/>
      <c r="AF694" s="1620"/>
      <c r="AG694" s="1620"/>
      <c r="AH694" s="1621"/>
      <c r="AI694" s="1616">
        <f t="shared" si="27"/>
        <v>0.60021097046413507</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764" t="s">
        <v>496</v>
      </c>
      <c r="C695" s="1666"/>
      <c r="D695" s="1666"/>
      <c r="E695" s="1666"/>
      <c r="F695" s="1667"/>
      <c r="G695" s="1752">
        <v>7</v>
      </c>
      <c r="H695" s="1753"/>
      <c r="I695" s="1753"/>
      <c r="J695" s="1754"/>
      <c r="K695" s="1610">
        <v>557</v>
      </c>
      <c r="L695" s="1611"/>
      <c r="M695" s="1611"/>
      <c r="N695" s="1611"/>
      <c r="O695" s="1612"/>
      <c r="P695" s="1613">
        <f t="shared" si="26"/>
        <v>3899</v>
      </c>
      <c r="Q695" s="1614"/>
      <c r="R695" s="1614"/>
      <c r="S695" s="1614"/>
      <c r="T695" s="1615"/>
      <c r="U695" s="1610">
        <v>52</v>
      </c>
      <c r="V695" s="1611"/>
      <c r="W695" s="1611"/>
      <c r="X695" s="1612"/>
      <c r="Y695" s="1613">
        <f t="shared" si="28"/>
        <v>609</v>
      </c>
      <c r="Z695" s="1614"/>
      <c r="AA695" s="1614"/>
      <c r="AB695" s="1614"/>
      <c r="AC695" s="1615"/>
      <c r="AD695" s="1619">
        <v>0.3</v>
      </c>
      <c r="AE695" s="1620"/>
      <c r="AF695" s="1620"/>
      <c r="AG695" s="1620"/>
      <c r="AH695" s="1621"/>
      <c r="AI695" s="1616">
        <f t="shared" si="27"/>
        <v>0.29970472440944884</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764" t="s">
        <v>496</v>
      </c>
      <c r="C696" s="1666"/>
      <c r="D696" s="1666"/>
      <c r="E696" s="1666"/>
      <c r="F696" s="1667"/>
      <c r="G696" s="1752">
        <v>11</v>
      </c>
      <c r="H696" s="1753"/>
      <c r="I696" s="1753"/>
      <c r="J696" s="1754"/>
      <c r="K696" s="1610">
        <v>761</v>
      </c>
      <c r="L696" s="1611"/>
      <c r="M696" s="1611"/>
      <c r="N696" s="1611"/>
      <c r="O696" s="1612"/>
      <c r="P696" s="1613">
        <f t="shared" si="26"/>
        <v>8371</v>
      </c>
      <c r="Q696" s="1614"/>
      <c r="R696" s="1614"/>
      <c r="S696" s="1614"/>
      <c r="T696" s="1615"/>
      <c r="U696" s="1610">
        <v>52</v>
      </c>
      <c r="V696" s="1611"/>
      <c r="W696" s="1611"/>
      <c r="X696" s="1612"/>
      <c r="Y696" s="1613">
        <f t="shared" si="28"/>
        <v>813</v>
      </c>
      <c r="Z696" s="1614"/>
      <c r="AA696" s="1614"/>
      <c r="AB696" s="1614"/>
      <c r="AC696" s="1615"/>
      <c r="AD696" s="1619">
        <v>0.4</v>
      </c>
      <c r="AE696" s="1620"/>
      <c r="AF696" s="1620"/>
      <c r="AG696" s="1620"/>
      <c r="AH696" s="1621"/>
      <c r="AI696" s="1616">
        <f t="shared" si="27"/>
        <v>0.4000984251968504</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764" t="s">
        <v>496</v>
      </c>
      <c r="C697" s="1666"/>
      <c r="D697" s="1666"/>
      <c r="E697" s="1666"/>
      <c r="F697" s="1667"/>
      <c r="G697" s="1752">
        <v>27</v>
      </c>
      <c r="H697" s="1753"/>
      <c r="I697" s="1753"/>
      <c r="J697" s="1754"/>
      <c r="K697" s="1610">
        <v>964</v>
      </c>
      <c r="L697" s="1611"/>
      <c r="M697" s="1611"/>
      <c r="N697" s="1611"/>
      <c r="O697" s="1612"/>
      <c r="P697" s="1613">
        <f t="shared" si="26"/>
        <v>26028</v>
      </c>
      <c r="Q697" s="1614"/>
      <c r="R697" s="1614"/>
      <c r="S697" s="1614"/>
      <c r="T697" s="1615"/>
      <c r="U697" s="1610">
        <v>52</v>
      </c>
      <c r="V697" s="1611"/>
      <c r="W697" s="1611"/>
      <c r="X697" s="1612"/>
      <c r="Y697" s="1613">
        <f t="shared" si="28"/>
        <v>1016</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764" t="s">
        <v>496</v>
      </c>
      <c r="C698" s="1666"/>
      <c r="D698" s="1666"/>
      <c r="E698" s="1666"/>
      <c r="F698" s="1667"/>
      <c r="G698" s="1752">
        <v>21</v>
      </c>
      <c r="H698" s="1753"/>
      <c r="I698" s="1753"/>
      <c r="J698" s="1754"/>
      <c r="K698" s="1610">
        <v>1167</v>
      </c>
      <c r="L698" s="1611"/>
      <c r="M698" s="1611"/>
      <c r="N698" s="1611"/>
      <c r="O698" s="1612"/>
      <c r="P698" s="1613">
        <f t="shared" si="26"/>
        <v>24507</v>
      </c>
      <c r="Q698" s="1614"/>
      <c r="R698" s="1614"/>
      <c r="S698" s="1614"/>
      <c r="T698" s="1615"/>
      <c r="U698" s="1610">
        <v>52</v>
      </c>
      <c r="V698" s="1611"/>
      <c r="W698" s="1611"/>
      <c r="X698" s="1612"/>
      <c r="Y698" s="1613">
        <f t="shared" si="28"/>
        <v>1219</v>
      </c>
      <c r="Z698" s="1614"/>
      <c r="AA698" s="1614"/>
      <c r="AB698" s="1614"/>
      <c r="AC698" s="1615"/>
      <c r="AD698" s="1619">
        <v>0.6</v>
      </c>
      <c r="AE698" s="1620"/>
      <c r="AF698" s="1620"/>
      <c r="AG698" s="1620"/>
      <c r="AH698" s="1621"/>
      <c r="AI698" s="1616">
        <f t="shared" si="27"/>
        <v>0.59990157480314965</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64" t="s">
        <v>860</v>
      </c>
      <c r="C699" s="1666"/>
      <c r="D699" s="1666"/>
      <c r="E699" s="1666"/>
      <c r="F699" s="1667"/>
      <c r="G699" s="1752">
        <v>5</v>
      </c>
      <c r="H699" s="1753"/>
      <c r="I699" s="1753"/>
      <c r="J699" s="1754"/>
      <c r="K699" s="1610">
        <v>659</v>
      </c>
      <c r="L699" s="1611"/>
      <c r="M699" s="1611"/>
      <c r="N699" s="1611"/>
      <c r="O699" s="1612"/>
      <c r="P699" s="1613">
        <f t="shared" si="26"/>
        <v>3295</v>
      </c>
      <c r="Q699" s="1614"/>
      <c r="R699" s="1614"/>
      <c r="S699" s="1614"/>
      <c r="T699" s="1615"/>
      <c r="U699" s="1610">
        <v>72</v>
      </c>
      <c r="V699" s="1611"/>
      <c r="W699" s="1611"/>
      <c r="X699" s="1612"/>
      <c r="Y699" s="1613">
        <f t="shared" si="28"/>
        <v>731</v>
      </c>
      <c r="Z699" s="1614"/>
      <c r="AA699" s="1614"/>
      <c r="AB699" s="1614"/>
      <c r="AC699" s="1615"/>
      <c r="AD699" s="1619">
        <v>0.3</v>
      </c>
      <c r="AE699" s="1620"/>
      <c r="AF699" s="1620"/>
      <c r="AG699" s="1620"/>
      <c r="AH699" s="1621"/>
      <c r="AI699" s="1616">
        <f t="shared" si="27"/>
        <v>0.30008210180623973</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64" t="s">
        <v>860</v>
      </c>
      <c r="C700" s="1666"/>
      <c r="D700" s="1666"/>
      <c r="E700" s="1666"/>
      <c r="F700" s="1667"/>
      <c r="G700" s="1752">
        <v>7</v>
      </c>
      <c r="H700" s="1753"/>
      <c r="I700" s="1753"/>
      <c r="J700" s="1754"/>
      <c r="K700" s="1610">
        <v>903</v>
      </c>
      <c r="L700" s="1611"/>
      <c r="M700" s="1611"/>
      <c r="N700" s="1611"/>
      <c r="O700" s="1612"/>
      <c r="P700" s="1613">
        <f t="shared" si="26"/>
        <v>6321</v>
      </c>
      <c r="Q700" s="1614"/>
      <c r="R700" s="1614"/>
      <c r="S700" s="1614"/>
      <c r="T700" s="1615"/>
      <c r="U700" s="1610">
        <v>72</v>
      </c>
      <c r="V700" s="1611"/>
      <c r="W700" s="1611"/>
      <c r="X700" s="1612"/>
      <c r="Y700" s="1613">
        <f t="shared" si="28"/>
        <v>975</v>
      </c>
      <c r="Z700" s="1614"/>
      <c r="AA700" s="1614"/>
      <c r="AB700" s="1614"/>
      <c r="AC700" s="1615"/>
      <c r="AD700" s="1619">
        <v>0.4</v>
      </c>
      <c r="AE700" s="1620"/>
      <c r="AF700" s="1620"/>
      <c r="AG700" s="1620"/>
      <c r="AH700" s="1621"/>
      <c r="AI700" s="1616">
        <f t="shared" si="27"/>
        <v>0.40024630541871919</v>
      </c>
      <c r="AJ700" s="1617"/>
      <c r="AK700" s="1618"/>
      <c r="AL700" s="72"/>
      <c r="AM700" s="72"/>
      <c r="AN700" s="72"/>
      <c r="AO700" s="72"/>
      <c r="AP700" s="72"/>
      <c r="AQ700" s="72"/>
      <c r="AR700" s="161"/>
      <c r="AS700" s="159" t="s">
        <v>983</v>
      </c>
      <c r="AT700" s="753">
        <f>SUM(AT675:AT699)</f>
        <v>184</v>
      </c>
      <c r="AU700" s="754">
        <f>SUM(AU675:AU699)</f>
        <v>1</v>
      </c>
      <c r="AV700" s="754">
        <f>SUM(AV675:AV699)</f>
        <v>0.49782608695652181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64" t="s">
        <v>860</v>
      </c>
      <c r="C701" s="1666"/>
      <c r="D701" s="1666"/>
      <c r="E701" s="1666"/>
      <c r="F701" s="1667"/>
      <c r="G701" s="1752">
        <v>19</v>
      </c>
      <c r="H701" s="1753"/>
      <c r="I701" s="1753"/>
      <c r="J701" s="1754"/>
      <c r="K701" s="1610">
        <v>1146</v>
      </c>
      <c r="L701" s="1611"/>
      <c r="M701" s="1611"/>
      <c r="N701" s="1611"/>
      <c r="O701" s="1612"/>
      <c r="P701" s="1613">
        <f t="shared" si="26"/>
        <v>21774</v>
      </c>
      <c r="Q701" s="1614"/>
      <c r="R701" s="1614"/>
      <c r="S701" s="1614"/>
      <c r="T701" s="1615"/>
      <c r="U701" s="1610">
        <v>72</v>
      </c>
      <c r="V701" s="1611"/>
      <c r="W701" s="1611"/>
      <c r="X701" s="1612"/>
      <c r="Y701" s="1613">
        <f t="shared" si="28"/>
        <v>1218</v>
      </c>
      <c r="Z701" s="1614"/>
      <c r="AA701" s="1614"/>
      <c r="AB701" s="1614"/>
      <c r="AC701" s="1615"/>
      <c r="AD701" s="1619">
        <v>0.5</v>
      </c>
      <c r="AE701" s="1620"/>
      <c r="AF701" s="1620"/>
      <c r="AG701" s="1620"/>
      <c r="AH701" s="1621"/>
      <c r="AI701" s="1616">
        <f t="shared" si="27"/>
        <v>0.5</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64" t="s">
        <v>860</v>
      </c>
      <c r="C702" s="1666"/>
      <c r="D702" s="1666"/>
      <c r="E702" s="1666"/>
      <c r="F702" s="1667"/>
      <c r="G702" s="1752">
        <v>17</v>
      </c>
      <c r="H702" s="1753"/>
      <c r="I702" s="1753"/>
      <c r="J702" s="1754"/>
      <c r="K702" s="1610">
        <v>1390</v>
      </c>
      <c r="L702" s="1611"/>
      <c r="M702" s="1611"/>
      <c r="N702" s="1611"/>
      <c r="O702" s="1612"/>
      <c r="P702" s="1613">
        <f t="shared" si="26"/>
        <v>23630</v>
      </c>
      <c r="Q702" s="1614"/>
      <c r="R702" s="1614"/>
      <c r="S702" s="1614"/>
      <c r="T702" s="1615"/>
      <c r="U702" s="1610">
        <v>72</v>
      </c>
      <c r="V702" s="1611"/>
      <c r="W702" s="1611"/>
      <c r="X702" s="1612"/>
      <c r="Y702" s="1613">
        <f t="shared" si="28"/>
        <v>1462</v>
      </c>
      <c r="Z702" s="1614"/>
      <c r="AA702" s="1614"/>
      <c r="AB702" s="1614"/>
      <c r="AC702" s="1615"/>
      <c r="AD702" s="1619">
        <v>0.6</v>
      </c>
      <c r="AE702" s="1620"/>
      <c r="AF702" s="1620"/>
      <c r="AG702" s="1620"/>
      <c r="AH702" s="1621"/>
      <c r="AI702" s="1616">
        <f t="shared" si="27"/>
        <v>0.60016420361247946</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64" t="s">
        <v>861</v>
      </c>
      <c r="C703" s="1666"/>
      <c r="D703" s="1666"/>
      <c r="E703" s="1666"/>
      <c r="F703" s="1667"/>
      <c r="G703" s="1752">
        <v>5</v>
      </c>
      <c r="H703" s="1753"/>
      <c r="I703" s="1753"/>
      <c r="J703" s="1754"/>
      <c r="K703" s="1610">
        <v>752</v>
      </c>
      <c r="L703" s="1611"/>
      <c r="M703" s="1611"/>
      <c r="N703" s="1611"/>
      <c r="O703" s="1612"/>
      <c r="P703" s="1613">
        <f t="shared" si="26"/>
        <v>3760</v>
      </c>
      <c r="Q703" s="1614"/>
      <c r="R703" s="1614"/>
      <c r="S703" s="1614"/>
      <c r="T703" s="1615"/>
      <c r="U703" s="1610">
        <v>92</v>
      </c>
      <c r="V703" s="1611"/>
      <c r="W703" s="1611"/>
      <c r="X703" s="1612"/>
      <c r="Y703" s="1613">
        <f t="shared" si="28"/>
        <v>844</v>
      </c>
      <c r="Z703" s="1614"/>
      <c r="AA703" s="1614"/>
      <c r="AB703" s="1614"/>
      <c r="AC703" s="1615"/>
      <c r="AD703" s="1619">
        <v>0.3</v>
      </c>
      <c r="AE703" s="1620"/>
      <c r="AF703" s="1620"/>
      <c r="AG703" s="1620"/>
      <c r="AH703" s="1621"/>
      <c r="AI703" s="1616">
        <f t="shared" si="27"/>
        <v>0.29971590909090912</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64" t="s">
        <v>861</v>
      </c>
      <c r="C704" s="1666"/>
      <c r="D704" s="1666"/>
      <c r="E704" s="1666"/>
      <c r="F704" s="1667"/>
      <c r="G704" s="1752">
        <v>7</v>
      </c>
      <c r="H704" s="1753"/>
      <c r="I704" s="1753"/>
      <c r="J704" s="1754"/>
      <c r="K704" s="1664">
        <v>1034</v>
      </c>
      <c r="L704" s="1664"/>
      <c r="M704" s="1664"/>
      <c r="N704" s="1664"/>
      <c r="O704" s="1664"/>
      <c r="P704" s="1622">
        <f t="shared" si="26"/>
        <v>7238</v>
      </c>
      <c r="Q704" s="1622"/>
      <c r="R704" s="1622"/>
      <c r="S704" s="1622"/>
      <c r="T704" s="1622"/>
      <c r="U704" s="1610">
        <v>92</v>
      </c>
      <c r="V704" s="1611"/>
      <c r="W704" s="1611"/>
      <c r="X704" s="1612"/>
      <c r="Y704" s="1622">
        <f t="shared" si="28"/>
        <v>1126</v>
      </c>
      <c r="Z704" s="1622"/>
      <c r="AA704" s="1622"/>
      <c r="AB704" s="1622"/>
      <c r="AC704" s="1622"/>
      <c r="AD704" s="1619">
        <v>0.4</v>
      </c>
      <c r="AE704" s="1620"/>
      <c r="AF704" s="1620"/>
      <c r="AG704" s="1620"/>
      <c r="AH704" s="1621"/>
      <c r="AI704" s="1616">
        <f t="shared" si="27"/>
        <v>0.39985795454545453</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64" t="s">
        <v>861</v>
      </c>
      <c r="C705" s="1666"/>
      <c r="D705" s="1666"/>
      <c r="E705" s="1666"/>
      <c r="F705" s="1667"/>
      <c r="G705" s="1752">
        <v>19</v>
      </c>
      <c r="H705" s="1753"/>
      <c r="I705" s="1753"/>
      <c r="J705" s="1754"/>
      <c r="K705" s="1664">
        <v>1316</v>
      </c>
      <c r="L705" s="1664"/>
      <c r="M705" s="1664"/>
      <c r="N705" s="1664"/>
      <c r="O705" s="1664"/>
      <c r="P705" s="1622">
        <f t="shared" si="26"/>
        <v>25004</v>
      </c>
      <c r="Q705" s="1622"/>
      <c r="R705" s="1622"/>
      <c r="S705" s="1622"/>
      <c r="T705" s="1622"/>
      <c r="U705" s="1610">
        <v>92</v>
      </c>
      <c r="V705" s="1611"/>
      <c r="W705" s="1611"/>
      <c r="X705" s="1612"/>
      <c r="Y705" s="1622">
        <f t="shared" si="28"/>
        <v>1408</v>
      </c>
      <c r="Z705" s="1622"/>
      <c r="AA705" s="1622"/>
      <c r="AB705" s="1622"/>
      <c r="AC705" s="1622"/>
      <c r="AD705" s="1619">
        <v>0.5</v>
      </c>
      <c r="AE705" s="1620"/>
      <c r="AF705" s="1620"/>
      <c r="AG705" s="1620"/>
      <c r="AH705" s="1621"/>
      <c r="AI705" s="1616">
        <f t="shared" si="27"/>
        <v>0.5</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64" t="s">
        <v>861</v>
      </c>
      <c r="C706" s="1666"/>
      <c r="D706" s="1666"/>
      <c r="E706" s="1666"/>
      <c r="F706" s="1667"/>
      <c r="G706" s="1752">
        <v>15</v>
      </c>
      <c r="H706" s="1753"/>
      <c r="I706" s="1753"/>
      <c r="J706" s="1754"/>
      <c r="K706" s="1664">
        <v>1597</v>
      </c>
      <c r="L706" s="1664"/>
      <c r="M706" s="1664"/>
      <c r="N706" s="1664"/>
      <c r="O706" s="1664"/>
      <c r="P706" s="1622">
        <f t="shared" si="26"/>
        <v>23955</v>
      </c>
      <c r="Q706" s="1622"/>
      <c r="R706" s="1622"/>
      <c r="S706" s="1622"/>
      <c r="T706" s="1622"/>
      <c r="U706" s="1610">
        <v>92</v>
      </c>
      <c r="V706" s="1611"/>
      <c r="W706" s="1611"/>
      <c r="X706" s="1612"/>
      <c r="Y706" s="1622">
        <f>K706+U706</f>
        <v>1689</v>
      </c>
      <c r="Z706" s="1622"/>
      <c r="AA706" s="1622"/>
      <c r="AB706" s="1622"/>
      <c r="AC706" s="1622"/>
      <c r="AD706" s="1619">
        <v>0.6</v>
      </c>
      <c r="AE706" s="1620"/>
      <c r="AF706" s="1620"/>
      <c r="AG706" s="1620"/>
      <c r="AH706" s="1621"/>
      <c r="AI706" s="1616">
        <f t="shared" si="27"/>
        <v>0.59978693181818177</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626" t="s">
        <v>985</v>
      </c>
      <c r="C716" s="1627"/>
      <c r="D716" s="1627"/>
      <c r="E716" s="1627"/>
      <c r="F716" s="1627"/>
      <c r="G716" s="2038">
        <f>SUM(G691:J715)</f>
        <v>184</v>
      </c>
      <c r="H716" s="2039"/>
      <c r="I716" s="2039"/>
      <c r="J716" s="2040"/>
      <c r="K716" s="1626" t="s">
        <v>984</v>
      </c>
      <c r="L716" s="1627"/>
      <c r="M716" s="1627"/>
      <c r="N716" s="1627"/>
      <c r="O716" s="1628"/>
      <c r="P716" s="1613">
        <f>SUM(P691:T715)</f>
        <v>199863</v>
      </c>
      <c r="Q716" s="1614"/>
      <c r="R716" s="1614"/>
      <c r="S716" s="1614"/>
      <c r="T716" s="1615"/>
      <c r="U716" s="521"/>
      <c r="Y716" s="1626" t="s">
        <v>1288</v>
      </c>
      <c r="Z716" s="1627"/>
      <c r="AA716" s="1627"/>
      <c r="AB716" s="1627"/>
      <c r="AC716" s="1628"/>
      <c r="AD716" s="2052">
        <f>AV700</f>
        <v>0.49782608695652181</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665" t="s">
        <v>861</v>
      </c>
      <c r="K737" s="1666"/>
      <c r="L737" s="1666"/>
      <c r="M737" s="1666"/>
      <c r="N737" s="1667"/>
      <c r="O737" s="1663">
        <v>2</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626" t="s">
        <v>985</v>
      </c>
      <c r="K741" s="1627"/>
      <c r="L741" s="1627"/>
      <c r="M741" s="1627"/>
      <c r="N741" s="1628"/>
      <c r="O741" s="2042">
        <f>SUM(O737:S740)</f>
        <v>2</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648">
        <f>P716+Y741+Y761</f>
        <v>199863</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648">
        <f>(P716+Y741+Y761)*12</f>
        <v>2398356</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893"/>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2062">
        <v>0</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2050">
        <v>0</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0</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33">
        <v>18600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33">
        <v>2000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33">
        <v>2000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1649" t="s">
        <v>2366</v>
      </c>
      <c r="Q779" s="1650"/>
      <c r="R779" s="1650"/>
      <c r="S779" s="1650"/>
      <c r="T779" s="1650"/>
      <c r="U779" s="1650"/>
      <c r="V779" s="1650"/>
      <c r="W779" s="1650"/>
      <c r="X779" s="1650"/>
      <c r="Y779" s="1651"/>
      <c r="Z779" s="1633">
        <v>5300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642">
        <f>SUM(Z776:AE779)</f>
        <v>27900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642">
        <f>Z780+Y764+Z772</f>
        <v>2426256</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825" t="s">
        <v>767</v>
      </c>
      <c r="D788" s="1826"/>
      <c r="E788" s="1826"/>
      <c r="F788" s="1826"/>
      <c r="G788" s="1826"/>
      <c r="H788" s="1826"/>
      <c r="I788" s="94"/>
      <c r="J788" s="94"/>
      <c r="K788" s="94"/>
      <c r="L788" s="95"/>
      <c r="M788" s="1767">
        <v>18</v>
      </c>
      <c r="N788" s="1767"/>
      <c r="O788" s="1767"/>
      <c r="P788" s="1767"/>
      <c r="Q788" s="1767">
        <v>21</v>
      </c>
      <c r="R788" s="1767"/>
      <c r="S788" s="1767"/>
      <c r="T788" s="1767"/>
      <c r="U788" s="1767">
        <v>23</v>
      </c>
      <c r="V788" s="1767"/>
      <c r="W788" s="1767"/>
      <c r="X788" s="1767"/>
      <c r="Y788" s="1767">
        <v>27</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65" t="s">
        <v>768</v>
      </c>
      <c r="D789" s="1766"/>
      <c r="E789" s="1766"/>
      <c r="F789" s="1766"/>
      <c r="G789" s="1766"/>
      <c r="H789" s="1766"/>
      <c r="I789" s="91"/>
      <c r="J789" s="91"/>
      <c r="K789" s="91"/>
      <c r="L789" s="92"/>
      <c r="M789" s="1767">
        <v>7</v>
      </c>
      <c r="N789" s="1767"/>
      <c r="O789" s="1767"/>
      <c r="P789" s="1767"/>
      <c r="Q789" s="1767">
        <v>8</v>
      </c>
      <c r="R789" s="1767"/>
      <c r="S789" s="1767"/>
      <c r="T789" s="1767"/>
      <c r="U789" s="1767">
        <v>12</v>
      </c>
      <c r="V789" s="1767"/>
      <c r="W789" s="1767"/>
      <c r="X789" s="1767"/>
      <c r="Y789" s="1767">
        <v>16</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65" t="s">
        <v>78</v>
      </c>
      <c r="D790" s="1766"/>
      <c r="E790" s="1766"/>
      <c r="F790" s="1766"/>
      <c r="G790" s="1766"/>
      <c r="H790" s="1766"/>
      <c r="I790" s="110"/>
      <c r="J790" s="110"/>
      <c r="K790" s="110"/>
      <c r="L790" s="111"/>
      <c r="M790" s="1767">
        <v>3</v>
      </c>
      <c r="N790" s="1767"/>
      <c r="O790" s="1767"/>
      <c r="P790" s="1767"/>
      <c r="Q790" s="1767">
        <v>3</v>
      </c>
      <c r="R790" s="1767"/>
      <c r="S790" s="1767"/>
      <c r="T790" s="1767"/>
      <c r="U790" s="1767">
        <v>6</v>
      </c>
      <c r="V790" s="1767"/>
      <c r="W790" s="1767"/>
      <c r="X790" s="1767"/>
      <c r="Y790" s="1767">
        <v>7</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65" t="s">
        <v>873</v>
      </c>
      <c r="D792" s="1766"/>
      <c r="E792" s="1766"/>
      <c r="F792" s="1766"/>
      <c r="G792" s="1766"/>
      <c r="H792" s="1766"/>
      <c r="I792" s="110"/>
      <c r="J792" s="110"/>
      <c r="K792" s="110"/>
      <c r="L792" s="111"/>
      <c r="M792" s="1767">
        <v>15</v>
      </c>
      <c r="N792" s="1767"/>
      <c r="O792" s="1767"/>
      <c r="P792" s="1767"/>
      <c r="Q792" s="1767">
        <v>19</v>
      </c>
      <c r="R792" s="1767"/>
      <c r="S792" s="1767"/>
      <c r="T792" s="1767"/>
      <c r="U792" s="1767">
        <v>29</v>
      </c>
      <c r="V792" s="1767"/>
      <c r="W792" s="1767"/>
      <c r="X792" s="1767"/>
      <c r="Y792" s="1767">
        <v>39</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679" t="s">
        <v>2431</v>
      </c>
      <c r="G794" s="1658"/>
      <c r="H794" s="1658"/>
      <c r="I794" s="1658"/>
      <c r="J794" s="1658"/>
      <c r="K794" s="1658"/>
      <c r="L794" s="1659"/>
      <c r="M794" s="1767">
        <v>1</v>
      </c>
      <c r="N794" s="1767"/>
      <c r="O794" s="1767"/>
      <c r="P794" s="1767"/>
      <c r="Q794" s="1767">
        <v>1</v>
      </c>
      <c r="R794" s="1767"/>
      <c r="S794" s="1767"/>
      <c r="T794" s="1767"/>
      <c r="U794" s="1767">
        <v>2</v>
      </c>
      <c r="V794" s="1767"/>
      <c r="W794" s="1767"/>
      <c r="X794" s="1767"/>
      <c r="Y794" s="1767">
        <v>3</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626" t="s">
        <v>984</v>
      </c>
      <c r="D795" s="1627"/>
      <c r="E795" s="1627"/>
      <c r="F795" s="1627"/>
      <c r="G795" s="1627"/>
      <c r="H795" s="1627"/>
      <c r="I795" s="1627"/>
      <c r="J795" s="1627"/>
      <c r="K795" s="1627"/>
      <c r="L795" s="1628"/>
      <c r="M795" s="1780">
        <f>SUM(M788:P794)</f>
        <v>44</v>
      </c>
      <c r="N795" s="1780"/>
      <c r="O795" s="1780"/>
      <c r="P795" s="1780"/>
      <c r="Q795" s="1780">
        <f>SUM(Q788:T794)</f>
        <v>52</v>
      </c>
      <c r="R795" s="1780"/>
      <c r="S795" s="1780"/>
      <c r="T795" s="1780"/>
      <c r="U795" s="1780">
        <f>SUM(U788:X794)</f>
        <v>72</v>
      </c>
      <c r="V795" s="1780"/>
      <c r="W795" s="1780"/>
      <c r="X795" s="1780"/>
      <c r="Y795" s="1780">
        <f>SUM(Y788:AB794)</f>
        <v>92</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2053" t="s">
        <v>2432</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Napa</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4800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679" t="s">
        <v>2367</v>
      </c>
      <c r="N809" s="1658"/>
      <c r="O809" s="1658"/>
      <c r="P809" s="1658"/>
      <c r="Q809" s="1658"/>
      <c r="R809" s="1658"/>
      <c r="S809" s="1658"/>
      <c r="T809" s="1658"/>
      <c r="U809" s="1658"/>
      <c r="V809" s="1659"/>
      <c r="W809" s="1710">
        <v>17810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27610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74900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9300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19000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113800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142300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89280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104300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679" t="s">
        <v>2368</v>
      </c>
      <c r="N822" s="1658"/>
      <c r="O822" s="1658"/>
      <c r="P822" s="1658"/>
      <c r="Q822" s="1658"/>
      <c r="R822" s="1658"/>
      <c r="S822" s="1658"/>
      <c r="T822" s="1658"/>
      <c r="U822" s="1658"/>
      <c r="V822" s="1659"/>
      <c r="W822" s="1784">
        <v>46500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240080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57660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9300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104500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56900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2400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85400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679" t="s">
        <v>2369</v>
      </c>
      <c r="N832" s="1658"/>
      <c r="O832" s="1658"/>
      <c r="P832" s="1658"/>
      <c r="Q832" s="1658"/>
      <c r="R832" s="1658"/>
      <c r="S832" s="1658"/>
      <c r="T832" s="1658"/>
      <c r="U832" s="1658"/>
      <c r="V832" s="1659"/>
      <c r="W832" s="1710">
        <v>66400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648">
        <f>SUM(W826:AC832)</f>
        <v>324900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679" t="s">
        <v>2370</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679" t="s">
        <v>2371</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868600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186</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4669</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520281</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18000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46500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15500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0</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37"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1837" t="s">
        <v>629</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790">
        <f>SUM(AO884:AP888)+AO892</f>
        <v>0</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61"/>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61"/>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858" t="s">
        <v>86</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69"/>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841"/>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33"/>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33"/>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834"/>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253663</v>
      </c>
      <c r="M928" s="1669"/>
      <c r="N928" s="1669"/>
      <c r="O928" s="1669"/>
      <c r="P928" s="1669"/>
      <c r="Q928" s="1669"/>
      <c r="R928" s="1669"/>
      <c r="S928" s="1669"/>
      <c r="T928" s="1669"/>
      <c r="U928" s="1670"/>
      <c r="V928" s="1680">
        <f>BA637</f>
        <v>24</v>
      </c>
      <c r="W928" s="1680"/>
      <c r="X928" s="1680"/>
      <c r="Y928" s="1680"/>
      <c r="Z928" s="1680"/>
      <c r="AA928" s="1680"/>
      <c r="AB928" s="1680"/>
      <c r="AC928" s="1680"/>
      <c r="AD928" s="1675">
        <f>IF(ISERROR((L928*V928)),0,(L928*V928))</f>
        <v>6087912</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292471</v>
      </c>
      <c r="M929" s="1669"/>
      <c r="N929" s="1669"/>
      <c r="O929" s="1669"/>
      <c r="P929" s="1669"/>
      <c r="Q929" s="1669"/>
      <c r="R929" s="1669"/>
      <c r="S929" s="1669"/>
      <c r="T929" s="1669"/>
      <c r="U929" s="1670"/>
      <c r="V929" s="1680">
        <f>BF637</f>
        <v>66</v>
      </c>
      <c r="W929" s="1680"/>
      <c r="X929" s="1680"/>
      <c r="Y929" s="1680"/>
      <c r="Z929" s="1680"/>
      <c r="AA929" s="1680"/>
      <c r="AB929" s="1680"/>
      <c r="AC929" s="1680"/>
      <c r="AD929" s="1675">
        <f>IF(ISERROR((L929*V929)),0,(L929*V929))</f>
        <v>19303086</v>
      </c>
      <c r="AE929" s="1676"/>
      <c r="AF929" s="1676"/>
      <c r="AG929" s="1676"/>
      <c r="AH929" s="1676"/>
      <c r="AI929" s="1676"/>
      <c r="AJ929" s="1676"/>
      <c r="AK929" s="16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352800</v>
      </c>
      <c r="M930" s="1669"/>
      <c r="N930" s="1669"/>
      <c r="O930" s="1669"/>
      <c r="P930" s="1669"/>
      <c r="Q930" s="1669"/>
      <c r="R930" s="1669"/>
      <c r="S930" s="1669"/>
      <c r="T930" s="1669"/>
      <c r="U930" s="1670"/>
      <c r="V930" s="1680">
        <f>BK637</f>
        <v>48</v>
      </c>
      <c r="W930" s="1680"/>
      <c r="X930" s="1680"/>
      <c r="Y930" s="1680"/>
      <c r="Z930" s="1680"/>
      <c r="AA930" s="1680"/>
      <c r="AB930" s="1680"/>
      <c r="AC930" s="1680"/>
      <c r="AD930" s="1675">
        <f>IF(ISERROR((L930*V930)),0,(L930*V930))</f>
        <v>16934400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451584</v>
      </c>
      <c r="M931" s="1669"/>
      <c r="N931" s="1669"/>
      <c r="O931" s="1669"/>
      <c r="P931" s="1669"/>
      <c r="Q931" s="1669"/>
      <c r="R931" s="1669"/>
      <c r="S931" s="1669"/>
      <c r="T931" s="1669"/>
      <c r="U931" s="1670"/>
      <c r="V931" s="1680">
        <f>BP637</f>
        <v>48</v>
      </c>
      <c r="W931" s="1680"/>
      <c r="X931" s="1680"/>
      <c r="Y931" s="1680"/>
      <c r="Z931" s="1680"/>
      <c r="AA931" s="1680"/>
      <c r="AB931" s="1680"/>
      <c r="AC931" s="1680"/>
      <c r="AD931" s="1675">
        <f>IF(ISERROR((L931*V931)),0,(L931*V931))</f>
        <v>21676032</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503093</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186</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64001430</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536</v>
      </c>
      <c r="AB936" s="1907"/>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844"/>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536</v>
      </c>
      <c r="AB952" s="1699"/>
      <c r="AC952" s="138"/>
      <c r="AD952" s="1685">
        <f>IF(AA952="yes",AD934*AN901,0)</f>
        <v>0</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1376201</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536</v>
      </c>
      <c r="AB969" s="1910"/>
      <c r="AC969" s="931"/>
      <c r="AD969" s="1863">
        <f>ROUND(IF(AA969="yes",(AD934*0.1),0),0)</f>
        <v>0</v>
      </c>
      <c r="AE969" s="1864"/>
      <c r="AF969" s="1864"/>
      <c r="AG969" s="1864"/>
      <c r="AH969" s="1864"/>
      <c r="AI969" s="1864"/>
      <c r="AJ969" s="1864"/>
      <c r="AK969" s="1865"/>
      <c r="AL969" s="932"/>
    </row>
    <row r="970" spans="1:96" ht="12.8"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8"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8"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00000000000001"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8"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65377631</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54581990</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0.83487255755718648</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625" t="s">
        <v>136</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8"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8"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8"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E7" sqref="E7"/>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2)Master Developer - Land Donation</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5580000</v>
      </c>
      <c r="C4" s="389">
        <v>5580000</v>
      </c>
      <c r="D4" s="389"/>
      <c r="E4" s="389"/>
      <c r="F4" s="389"/>
      <c r="G4" s="389">
        <v>5580000</v>
      </c>
      <c r="H4" s="389"/>
      <c r="I4" s="389"/>
      <c r="J4" s="389"/>
      <c r="K4" s="389"/>
      <c r="L4" s="389"/>
      <c r="M4" s="389"/>
      <c r="N4" s="389"/>
      <c r="O4" s="389"/>
      <c r="P4" s="389"/>
      <c r="Q4" s="389"/>
      <c r="R4" s="389">
        <f>SUM(E4:Q4)</f>
        <v>5580000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5585000</v>
      </c>
      <c r="C8" s="388">
        <f t="shared" ref="C8:R8" si="0">SUM(C4:C7)</f>
        <v>5585000</v>
      </c>
      <c r="D8" s="388">
        <f t="shared" si="0"/>
        <v>0</v>
      </c>
      <c r="E8" s="388">
        <f t="shared" si="0"/>
        <v>5000</v>
      </c>
      <c r="F8" s="388">
        <f t="shared" si="0"/>
        <v>0</v>
      </c>
      <c r="G8" s="388">
        <f t="shared" si="0"/>
        <v>5580000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5585000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5585000</v>
      </c>
      <c r="C12" s="388">
        <f t="shared" si="2"/>
        <v>5585000</v>
      </c>
      <c r="D12" s="388">
        <f t="shared" si="2"/>
        <v>0</v>
      </c>
      <c r="E12" s="388">
        <f t="shared" si="2"/>
        <v>5000</v>
      </c>
      <c r="F12" s="388">
        <f t="shared" si="2"/>
        <v>0</v>
      </c>
      <c r="G12" s="388">
        <f t="shared" si="2"/>
        <v>5580000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5585000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4650000</v>
      </c>
      <c r="C28" s="389">
        <v>4650000</v>
      </c>
      <c r="D28" s="389"/>
      <c r="E28" s="389">
        <v>4650000</v>
      </c>
      <c r="F28" s="389"/>
      <c r="G28" s="389"/>
      <c r="H28" s="389"/>
      <c r="I28" s="389"/>
      <c r="J28" s="389"/>
      <c r="K28" s="389"/>
      <c r="L28" s="389"/>
      <c r="M28" s="389"/>
      <c r="N28" s="389"/>
      <c r="O28" s="389"/>
      <c r="P28" s="389"/>
      <c r="Q28" s="389"/>
      <c r="R28" s="389">
        <f t="shared" ref="R28:R35" si="7">SUM(E28:Q28)</f>
        <v>4650000</v>
      </c>
      <c r="S28" s="389">
        <f>R28</f>
        <v>4650000</v>
      </c>
      <c r="T28" s="389"/>
      <c r="U28" s="385"/>
    </row>
    <row r="29" spans="1:21" s="386" customFormat="1">
      <c r="A29" s="387" t="s">
        <v>1026</v>
      </c>
      <c r="B29" s="388">
        <f t="shared" si="6"/>
        <v>33853850</v>
      </c>
      <c r="C29" s="389">
        <v>33853850</v>
      </c>
      <c r="D29" s="389"/>
      <c r="E29" s="389">
        <v>15153850</v>
      </c>
      <c r="F29" s="389">
        <v>18700000</v>
      </c>
      <c r="G29" s="389"/>
      <c r="H29" s="389"/>
      <c r="I29" s="389"/>
      <c r="J29" s="389"/>
      <c r="K29" s="389"/>
      <c r="L29" s="389"/>
      <c r="M29" s="389"/>
      <c r="N29" s="389"/>
      <c r="O29" s="389"/>
      <c r="P29" s="389"/>
      <c r="Q29" s="389"/>
      <c r="R29" s="389">
        <f t="shared" si="7"/>
        <v>33853850</v>
      </c>
      <c r="S29" s="389">
        <f>R29</f>
        <v>33853850</v>
      </c>
      <c r="T29" s="389"/>
      <c r="U29" s="385"/>
    </row>
    <row r="30" spans="1:21" s="386" customFormat="1">
      <c r="A30" s="387" t="s">
        <v>1027</v>
      </c>
      <c r="B30" s="388">
        <f t="shared" si="6"/>
        <v>2310231</v>
      </c>
      <c r="C30" s="389">
        <v>2310231</v>
      </c>
      <c r="D30" s="389"/>
      <c r="E30" s="389">
        <v>2310231</v>
      </c>
      <c r="F30" s="389"/>
      <c r="G30" s="389"/>
      <c r="H30" s="389"/>
      <c r="I30" s="389"/>
      <c r="J30" s="389"/>
      <c r="K30" s="389"/>
      <c r="L30" s="389"/>
      <c r="M30" s="389"/>
      <c r="N30" s="389"/>
      <c r="O30" s="389"/>
      <c r="P30" s="389"/>
      <c r="Q30" s="389"/>
      <c r="R30" s="389">
        <f t="shared" si="7"/>
        <v>2310231</v>
      </c>
      <c r="S30" s="389">
        <f>R30</f>
        <v>2310231</v>
      </c>
      <c r="T30" s="389"/>
      <c r="U30" s="385"/>
    </row>
    <row r="31" spans="1:21" s="386" customFormat="1">
      <c r="A31" s="387" t="s">
        <v>1028</v>
      </c>
      <c r="B31" s="388">
        <f t="shared" si="6"/>
        <v>770077</v>
      </c>
      <c r="C31" s="389">
        <v>770077</v>
      </c>
      <c r="D31" s="389"/>
      <c r="E31" s="389">
        <v>770077</v>
      </c>
      <c r="F31" s="389"/>
      <c r="G31" s="389"/>
      <c r="H31" s="389"/>
      <c r="I31" s="389"/>
      <c r="J31" s="389"/>
      <c r="K31" s="389"/>
      <c r="L31" s="389"/>
      <c r="M31" s="389"/>
      <c r="N31" s="389"/>
      <c r="O31" s="389"/>
      <c r="P31" s="389"/>
      <c r="Q31" s="389"/>
      <c r="R31" s="389">
        <f t="shared" si="7"/>
        <v>770077</v>
      </c>
      <c r="S31" s="389">
        <f>R31</f>
        <v>770077</v>
      </c>
      <c r="T31" s="389"/>
      <c r="U31" s="385"/>
    </row>
    <row r="32" spans="1:21" s="386" customFormat="1">
      <c r="A32" s="387" t="s">
        <v>1029</v>
      </c>
      <c r="B32" s="388">
        <f t="shared" si="6"/>
        <v>2310231</v>
      </c>
      <c r="C32" s="389">
        <v>2310231</v>
      </c>
      <c r="D32" s="389"/>
      <c r="E32" s="389">
        <v>2310231</v>
      </c>
      <c r="F32" s="389"/>
      <c r="G32" s="389"/>
      <c r="H32" s="389"/>
      <c r="I32" s="389"/>
      <c r="J32" s="389"/>
      <c r="K32" s="389"/>
      <c r="L32" s="389"/>
      <c r="M32" s="389"/>
      <c r="N32" s="389"/>
      <c r="O32" s="389"/>
      <c r="P32" s="389"/>
      <c r="Q32" s="389"/>
      <c r="R32" s="389">
        <f t="shared" si="7"/>
        <v>2310231</v>
      </c>
      <c r="S32" s="389">
        <f>R32</f>
        <v>2310231</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350000</v>
      </c>
      <c r="C34" s="389">
        <v>350000</v>
      </c>
      <c r="D34" s="389"/>
      <c r="E34" s="389">
        <v>350000</v>
      </c>
      <c r="F34" s="389"/>
      <c r="G34" s="389"/>
      <c r="H34" s="389"/>
      <c r="I34" s="389"/>
      <c r="J34" s="389"/>
      <c r="K34" s="389"/>
      <c r="L34" s="389"/>
      <c r="M34" s="389"/>
      <c r="N34" s="389"/>
      <c r="O34" s="389"/>
      <c r="P34" s="389"/>
      <c r="Q34" s="389"/>
      <c r="R34" s="389">
        <f t="shared" si="7"/>
        <v>350000</v>
      </c>
      <c r="S34" s="389">
        <f>R34</f>
        <v>350000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44244389</v>
      </c>
      <c r="C36" s="388">
        <f>SUM(C28:C35)</f>
        <v>44244389</v>
      </c>
      <c r="D36" s="388">
        <f>SUM(D28:D35)</f>
        <v>0</v>
      </c>
      <c r="E36" s="388">
        <f>SUM(E28:E35)</f>
        <v>25544389</v>
      </c>
      <c r="F36" s="388">
        <f t="shared" ref="F36:T36" si="8">SUM(F28:F35)</f>
        <v>18700000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44244389</v>
      </c>
      <c r="S36" s="392">
        <f t="shared" si="8"/>
        <v>44244389</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675000</v>
      </c>
      <c r="C38" s="389">
        <v>675000</v>
      </c>
      <c r="D38" s="389"/>
      <c r="E38" s="389">
        <v>675000</v>
      </c>
      <c r="F38" s="389"/>
      <c r="G38" s="389"/>
      <c r="H38" s="389"/>
      <c r="I38" s="389"/>
      <c r="J38" s="389"/>
      <c r="K38" s="389"/>
      <c r="L38" s="389"/>
      <c r="M38" s="389"/>
      <c r="N38" s="389"/>
      <c r="O38" s="389"/>
      <c r="P38" s="389"/>
      <c r="Q38" s="389"/>
      <c r="R38" s="389">
        <f>SUM(E38:Q38)</f>
        <v>675000</v>
      </c>
      <c r="S38" s="389">
        <f>R38</f>
        <v>675000</v>
      </c>
      <c r="T38" s="389"/>
      <c r="U38" s="385"/>
    </row>
    <row r="39" spans="1:21" s="386" customFormat="1">
      <c r="A39" s="387" t="s">
        <v>1037</v>
      </c>
      <c r="B39" s="388">
        <f>SUM(C39+D39)</f>
        <v>75000</v>
      </c>
      <c r="C39" s="389">
        <v>75000</v>
      </c>
      <c r="D39" s="389"/>
      <c r="E39" s="389">
        <v>75000</v>
      </c>
      <c r="F39" s="389"/>
      <c r="G39" s="389"/>
      <c r="H39" s="389"/>
      <c r="I39" s="389"/>
      <c r="J39" s="389"/>
      <c r="K39" s="389"/>
      <c r="L39" s="389"/>
      <c r="M39" s="389"/>
      <c r="N39" s="389"/>
      <c r="O39" s="389"/>
      <c r="P39" s="389"/>
      <c r="Q39" s="389"/>
      <c r="R39" s="389">
        <f>SUM(E39:Q39)</f>
        <v>75000</v>
      </c>
      <c r="S39" s="389">
        <f>R39</f>
        <v>75000</v>
      </c>
      <c r="T39" s="389"/>
      <c r="U39" s="385"/>
    </row>
    <row r="40" spans="1:21" s="386" customFormat="1">
      <c r="A40" s="391" t="s">
        <v>1038</v>
      </c>
      <c r="B40" s="388">
        <f>SUM(C40:D40)</f>
        <v>750000</v>
      </c>
      <c r="C40" s="388">
        <f>SUM(C37:C39)</f>
        <v>750000</v>
      </c>
      <c r="D40" s="388">
        <f>SUM(D37:D39)</f>
        <v>0</v>
      </c>
      <c r="E40" s="388">
        <f t="shared" ref="E40:T40" si="9">SUM(E38:E39)</f>
        <v>750000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750000</v>
      </c>
      <c r="S40" s="392">
        <f t="shared" si="9"/>
        <v>750000</v>
      </c>
      <c r="T40" s="392">
        <f t="shared" si="9"/>
        <v>0</v>
      </c>
      <c r="U40" s="385"/>
    </row>
    <row r="41" spans="1:21" s="386" customFormat="1">
      <c r="A41" s="391" t="s">
        <v>1039</v>
      </c>
      <c r="B41" s="388">
        <f>SUM(C41:D41)</f>
        <v>245000</v>
      </c>
      <c r="C41" s="389">
        <v>245000</v>
      </c>
      <c r="D41" s="389"/>
      <c r="E41" s="389">
        <v>245000</v>
      </c>
      <c r="F41" s="389">
        <v>0</v>
      </c>
      <c r="G41" s="389"/>
      <c r="H41" s="389"/>
      <c r="I41" s="389"/>
      <c r="J41" s="389"/>
      <c r="K41" s="389"/>
      <c r="L41" s="389"/>
      <c r="M41" s="389"/>
      <c r="N41" s="389"/>
      <c r="O41" s="389"/>
      <c r="P41" s="389"/>
      <c r="Q41" s="389"/>
      <c r="R41" s="389">
        <f>SUM(E41:Q41)</f>
        <v>245000</v>
      </c>
      <c r="S41" s="389">
        <f>R41</f>
        <v>245000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1500000</v>
      </c>
      <c r="C43" s="389">
        <v>1500000</v>
      </c>
      <c r="D43" s="389"/>
      <c r="E43" s="389">
        <v>1500000</v>
      </c>
      <c r="F43" s="389"/>
      <c r="G43" s="389"/>
      <c r="H43" s="389"/>
      <c r="I43" s="389"/>
      <c r="J43" s="389"/>
      <c r="K43" s="389"/>
      <c r="L43" s="389"/>
      <c r="M43" s="389"/>
      <c r="N43" s="389"/>
      <c r="O43" s="389"/>
      <c r="P43" s="389"/>
      <c r="Q43" s="389"/>
      <c r="R43" s="389">
        <f t="shared" ref="R43:R51" si="11">SUM(E43:Q43)</f>
        <v>1500000</v>
      </c>
      <c r="S43" s="389">
        <f>R43</f>
        <v>1500000</v>
      </c>
      <c r="T43" s="389"/>
      <c r="U43" s="385"/>
    </row>
    <row r="44" spans="1:21" s="386" customFormat="1">
      <c r="A44" s="387" t="s">
        <v>1042</v>
      </c>
      <c r="B44" s="388">
        <f t="shared" si="10"/>
        <v>500000</v>
      </c>
      <c r="C44" s="389">
        <v>500000</v>
      </c>
      <c r="D44" s="389"/>
      <c r="E44" s="389">
        <v>500000</v>
      </c>
      <c r="F44" s="389"/>
      <c r="G44" s="389"/>
      <c r="H44" s="389"/>
      <c r="I44" s="389"/>
      <c r="J44" s="389"/>
      <c r="K44" s="389"/>
      <c r="L44" s="389"/>
      <c r="M44" s="389"/>
      <c r="N44" s="389"/>
      <c r="O44" s="389"/>
      <c r="P44" s="389"/>
      <c r="Q44" s="389"/>
      <c r="R44" s="389">
        <f t="shared" si="11"/>
        <v>500000</v>
      </c>
      <c r="S44" s="389">
        <f>R44</f>
        <v>500000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341400</v>
      </c>
      <c r="C49" s="389">
        <v>341400</v>
      </c>
      <c r="D49" s="389"/>
      <c r="E49" s="389">
        <v>341400</v>
      </c>
      <c r="F49" s="389"/>
      <c r="G49" s="389"/>
      <c r="H49" s="389"/>
      <c r="I49" s="389"/>
      <c r="J49" s="389"/>
      <c r="K49" s="389"/>
      <c r="L49" s="389"/>
      <c r="M49" s="389"/>
      <c r="N49" s="389"/>
      <c r="O49" s="389"/>
      <c r="P49" s="389"/>
      <c r="Q49" s="389"/>
      <c r="R49" s="389">
        <f t="shared" si="11"/>
        <v>341400</v>
      </c>
      <c r="S49" s="389">
        <f>R49</f>
        <v>341400</v>
      </c>
      <c r="T49" s="389"/>
      <c r="U49" s="385"/>
    </row>
    <row r="50" spans="1:21" s="386" customFormat="1">
      <c r="A50" s="394" t="s">
        <v>2372</v>
      </c>
      <c r="B50" s="388">
        <f t="shared" si="10"/>
        <v>100000</v>
      </c>
      <c r="C50" s="389">
        <v>100000</v>
      </c>
      <c r="D50" s="389"/>
      <c r="E50" s="389">
        <v>100000</v>
      </c>
      <c r="F50" s="389"/>
      <c r="G50" s="389"/>
      <c r="H50" s="389"/>
      <c r="I50" s="389"/>
      <c r="J50" s="389"/>
      <c r="K50" s="389"/>
      <c r="L50" s="389"/>
      <c r="M50" s="389"/>
      <c r="N50" s="389"/>
      <c r="O50" s="389"/>
      <c r="P50" s="389"/>
      <c r="Q50" s="389"/>
      <c r="R50" s="389">
        <f t="shared" si="11"/>
        <v>100000</v>
      </c>
      <c r="S50" s="389">
        <f>R50</f>
        <v>100000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2501400</v>
      </c>
      <c r="C52" s="392">
        <f t="shared" ref="C52:T52" si="12">SUM(C43:C51)</f>
        <v>2501400</v>
      </c>
      <c r="D52" s="392">
        <f t="shared" si="12"/>
        <v>0</v>
      </c>
      <c r="E52" s="392">
        <f t="shared" si="12"/>
        <v>2501400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2501400</v>
      </c>
      <c r="S52" s="392">
        <f t="shared" si="12"/>
        <v>2501400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187000</v>
      </c>
      <c r="C54" s="389">
        <v>187000</v>
      </c>
      <c r="D54" s="389"/>
      <c r="E54" s="389">
        <v>187000</v>
      </c>
      <c r="F54" s="389"/>
      <c r="G54" s="389"/>
      <c r="H54" s="389"/>
      <c r="I54" s="389"/>
      <c r="J54" s="389"/>
      <c r="K54" s="389"/>
      <c r="L54" s="389"/>
      <c r="M54" s="389"/>
      <c r="N54" s="389"/>
      <c r="O54" s="389"/>
      <c r="P54" s="389"/>
      <c r="Q54" s="389"/>
      <c r="R54" s="389">
        <f>SUM(E54:Q54)</f>
        <v>187000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212000</v>
      </c>
      <c r="C61" s="388">
        <f t="shared" ref="C61:R61" si="15">SUM(C54:C60)</f>
        <v>212000</v>
      </c>
      <c r="D61" s="388">
        <f t="shared" si="15"/>
        <v>0</v>
      </c>
      <c r="E61" s="388">
        <f t="shared" si="15"/>
        <v>212000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212000</v>
      </c>
      <c r="S61" s="390"/>
      <c r="T61" s="390"/>
      <c r="U61" s="385"/>
    </row>
    <row r="62" spans="1:21" s="386" customFormat="1">
      <c r="A62" s="397" t="s">
        <v>555</v>
      </c>
      <c r="B62" s="388">
        <f>SUM(C62:D62)</f>
        <v>53537789</v>
      </c>
      <c r="C62" s="388">
        <f>SUM(C8+C11+C13+C14+C15+C25+C26+C36+C40+C41+C52+C61)</f>
        <v>53537789</v>
      </c>
      <c r="D62" s="388">
        <f>SUM(D8+D11+D13+D14+D15+D25+D26+D36+D40+D41+D52+D61)</f>
        <v>0</v>
      </c>
      <c r="E62" s="388">
        <f t="shared" ref="E62:R62" si="16">SUM(E8+E11+E13+E14+E15+E25+E26+E36+E40+E41+E52+E61)</f>
        <v>29257789</v>
      </c>
      <c r="F62" s="388">
        <f t="shared" si="16"/>
        <v>18700000</v>
      </c>
      <c r="G62" s="388">
        <f t="shared" si="16"/>
        <v>5580000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53537789</v>
      </c>
      <c r="S62" s="388">
        <f>SUM(S10+S13+S14+S15+S25+S26+S36+S40+S41+S52)</f>
        <v>47740789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520281</v>
      </c>
      <c r="C71" s="389">
        <v>520281</v>
      </c>
      <c r="D71" s="389"/>
      <c r="E71" s="389">
        <v>520281</v>
      </c>
      <c r="F71" s="389"/>
      <c r="G71" s="389"/>
      <c r="H71" s="389"/>
      <c r="I71" s="389"/>
      <c r="J71" s="389"/>
      <c r="K71" s="389"/>
      <c r="L71" s="389"/>
      <c r="M71" s="389"/>
      <c r="N71" s="389"/>
      <c r="O71" s="389"/>
      <c r="P71" s="389"/>
      <c r="Q71" s="389"/>
      <c r="R71" s="389">
        <f>SUM(E71:Q71)</f>
        <v>520281</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640281</v>
      </c>
      <c r="C73" s="388">
        <f t="shared" ref="C73:Q73" si="18">SUM(C68:C72)</f>
        <v>640281</v>
      </c>
      <c r="D73" s="388">
        <f t="shared" si="18"/>
        <v>0</v>
      </c>
      <c r="E73" s="388">
        <f>SUM(E68:E72)</f>
        <v>640281</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640281</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2200000</v>
      </c>
      <c r="C75" s="389">
        <v>2200000</v>
      </c>
      <c r="D75" s="389"/>
      <c r="E75" s="389">
        <v>2200000</v>
      </c>
      <c r="F75" s="389"/>
      <c r="G75" s="389"/>
      <c r="H75" s="389"/>
      <c r="I75" s="389"/>
      <c r="J75" s="389"/>
      <c r="K75" s="389"/>
      <c r="L75" s="389"/>
      <c r="M75" s="389"/>
      <c r="N75" s="389"/>
      <c r="O75" s="389"/>
      <c r="P75" s="389"/>
      <c r="Q75" s="389"/>
      <c r="R75" s="389">
        <f>SUM(E75:Q75)</f>
        <v>2200000</v>
      </c>
      <c r="S75" s="389">
        <f>R75</f>
        <v>2200000</v>
      </c>
      <c r="T75" s="389"/>
      <c r="U75" s="385"/>
    </row>
    <row r="76" spans="1:21" s="386" customFormat="1">
      <c r="A76" s="387" t="s">
        <v>605</v>
      </c>
      <c r="B76" s="388">
        <f>SUM(C76+D76)</f>
        <v>500000</v>
      </c>
      <c r="C76" s="389">
        <v>500000</v>
      </c>
      <c r="D76" s="389"/>
      <c r="E76" s="389">
        <v>500000</v>
      </c>
      <c r="F76" s="389"/>
      <c r="G76" s="389"/>
      <c r="H76" s="389"/>
      <c r="I76" s="389"/>
      <c r="J76" s="389"/>
      <c r="K76" s="389"/>
      <c r="L76" s="389"/>
      <c r="M76" s="389"/>
      <c r="N76" s="389"/>
      <c r="O76" s="389"/>
      <c r="P76" s="389"/>
      <c r="Q76" s="389"/>
      <c r="R76" s="389">
        <f>SUM(E76:Q76)</f>
        <v>500000</v>
      </c>
      <c r="S76" s="389">
        <f>R76</f>
        <v>500000</v>
      </c>
      <c r="T76" s="389"/>
      <c r="U76" s="385"/>
    </row>
    <row r="77" spans="1:21" s="386" customFormat="1">
      <c r="A77" s="391" t="s">
        <v>2024</v>
      </c>
      <c r="B77" s="388">
        <f>SUM(C77:D77)</f>
        <v>2700000</v>
      </c>
      <c r="C77" s="1174">
        <f>SUM(C75:C76)</f>
        <v>2700000</v>
      </c>
      <c r="D77" s="1174">
        <f t="shared" ref="D77:R77" si="19">SUM(D75:D76)</f>
        <v>0</v>
      </c>
      <c r="E77" s="1174">
        <f t="shared" si="19"/>
        <v>2700000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2700000</v>
      </c>
      <c r="S77" s="1174">
        <f t="shared" ref="S77" si="20">SUM(S75:S76)</f>
        <v>2700000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249875</v>
      </c>
      <c r="C79" s="389">
        <v>249875</v>
      </c>
      <c r="D79" s="389"/>
      <c r="E79" s="389">
        <v>249875</v>
      </c>
      <c r="F79" s="389"/>
      <c r="G79" s="389"/>
      <c r="H79" s="389"/>
      <c r="I79" s="389"/>
      <c r="J79" s="389"/>
      <c r="K79" s="389"/>
      <c r="L79" s="389"/>
      <c r="M79" s="389"/>
      <c r="N79" s="389"/>
      <c r="O79" s="389"/>
      <c r="P79" s="389"/>
      <c r="Q79" s="389"/>
      <c r="R79" s="389">
        <f>SUM(E79:Q79)</f>
        <v>249875</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1376201</v>
      </c>
      <c r="C81" s="389">
        <v>1376201</v>
      </c>
      <c r="D81" s="389"/>
      <c r="E81" s="389">
        <v>1376201</v>
      </c>
      <c r="F81" s="389"/>
      <c r="G81" s="389"/>
      <c r="H81" s="389"/>
      <c r="I81" s="389"/>
      <c r="J81" s="389"/>
      <c r="K81" s="389"/>
      <c r="L81" s="389"/>
      <c r="M81" s="389"/>
      <c r="N81" s="389"/>
      <c r="O81" s="389"/>
      <c r="P81" s="389"/>
      <c r="Q81" s="389"/>
      <c r="R81" s="389">
        <f t="shared" si="23"/>
        <v>1376201</v>
      </c>
      <c r="S81" s="389">
        <f>R81</f>
        <v>1376201</v>
      </c>
      <c r="T81" s="389"/>
      <c r="U81" s="385"/>
    </row>
    <row r="82" spans="1:21" s="386" customFormat="1">
      <c r="A82" s="387" t="s">
        <v>583</v>
      </c>
      <c r="B82" s="388">
        <f t="shared" si="22"/>
        <v>430000</v>
      </c>
      <c r="C82" s="389">
        <v>430000</v>
      </c>
      <c r="D82" s="389"/>
      <c r="E82" s="389">
        <v>430000</v>
      </c>
      <c r="F82" s="389"/>
      <c r="G82" s="389"/>
      <c r="H82" s="389"/>
      <c r="I82" s="389"/>
      <c r="J82" s="389"/>
      <c r="K82" s="389"/>
      <c r="L82" s="389"/>
      <c r="M82" s="389"/>
      <c r="N82" s="389"/>
      <c r="O82" s="389"/>
      <c r="P82" s="389"/>
      <c r="Q82" s="389"/>
      <c r="R82" s="389">
        <f t="shared" si="23"/>
        <v>430000</v>
      </c>
      <c r="S82" s="389">
        <f>R82</f>
        <v>430000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80689</v>
      </c>
      <c r="C84" s="389">
        <v>80689</v>
      </c>
      <c r="D84" s="389"/>
      <c r="E84" s="389">
        <v>80689</v>
      </c>
      <c r="F84" s="389"/>
      <c r="G84" s="389"/>
      <c r="H84" s="389"/>
      <c r="I84" s="389"/>
      <c r="J84" s="389"/>
      <c r="K84" s="389"/>
      <c r="L84" s="389"/>
      <c r="M84" s="389"/>
      <c r="N84" s="389"/>
      <c r="O84" s="389"/>
      <c r="P84" s="389"/>
      <c r="Q84" s="389"/>
      <c r="R84" s="389">
        <f t="shared" si="23"/>
        <v>80689</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2221765</v>
      </c>
      <c r="C94" s="388">
        <f>SUM(C79:C93)</f>
        <v>2221765</v>
      </c>
      <c r="D94" s="388">
        <f t="shared" ref="D94:R94" si="24">SUM(D79:D93)</f>
        <v>0</v>
      </c>
      <c r="E94" s="388">
        <f>SUM(E79:E93)</f>
        <v>2221765</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2221765</v>
      </c>
      <c r="S94" s="392">
        <f>SUM(S80:S83,S85:S93)</f>
        <v>1891201</v>
      </c>
      <c r="T94" s="388">
        <f>SUM(T80:T83,T85:T93)</f>
        <v>0</v>
      </c>
      <c r="U94" s="385"/>
    </row>
    <row r="95" spans="1:21" s="386" customFormat="1">
      <c r="A95" s="391" t="s">
        <v>589</v>
      </c>
      <c r="B95" s="388">
        <f>SUM(C95:D95)</f>
        <v>59149835</v>
      </c>
      <c r="C95" s="388">
        <f>SUM(C62+C66+C73+C77+C94)</f>
        <v>59149835</v>
      </c>
      <c r="D95" s="388">
        <f t="shared" ref="D95:Q95" si="25">SUM(D62+D66+D73+D77+D94)</f>
        <v>0</v>
      </c>
      <c r="E95" s="388">
        <f t="shared" si="25"/>
        <v>34869835</v>
      </c>
      <c r="F95" s="388">
        <f t="shared" si="25"/>
        <v>18700000</v>
      </c>
      <c r="G95" s="388">
        <f t="shared" si="25"/>
        <v>5580000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59149835</v>
      </c>
      <c r="S95" s="392">
        <f>SUM(+S62+S66+S77+S94)</f>
        <v>52381990</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61349835</v>
      </c>
      <c r="C104" s="392">
        <f t="shared" ref="C104:R104" si="29">SUM(C95+C103)</f>
        <v>61349835</v>
      </c>
      <c r="D104" s="392">
        <f t="shared" si="29"/>
        <v>0</v>
      </c>
      <c r="E104" s="392">
        <f t="shared" si="29"/>
        <v>37069835</v>
      </c>
      <c r="F104" s="392">
        <f t="shared" si="29"/>
        <v>18700000</v>
      </c>
      <c r="G104" s="392">
        <f t="shared" si="29"/>
        <v>5580000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61349835</v>
      </c>
      <c r="S104" s="392">
        <f>S95+S103</f>
        <v>54581990</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54581990</v>
      </c>
      <c r="T106" s="406">
        <f>T104+T105</f>
        <v>0</v>
      </c>
      <c r="U106" s="404"/>
    </row>
    <row r="107" spans="1:21" s="407" customFormat="1">
      <c r="A107" s="405" t="s">
        <v>1250</v>
      </c>
      <c r="B107" s="400"/>
      <c r="C107" s="400"/>
      <c r="D107" s="400"/>
      <c r="E107" s="682">
        <f>Application!AG630</f>
        <v>37069835</v>
      </c>
      <c r="F107" s="682">
        <f>Application!AG617</f>
        <v>18700000</v>
      </c>
      <c r="G107" s="682">
        <f>Application!AG618</f>
        <v>5580000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9">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9">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9">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9">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1.95"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0" t="s">
        <v>2123</v>
      </c>
      <c r="B1" s="2101"/>
      <c r="C1" s="2101"/>
      <c r="D1" s="2101"/>
      <c r="E1" s="2101"/>
      <c r="F1" s="2101"/>
      <c r="G1" s="2101"/>
      <c r="H1" s="2101"/>
      <c r="I1" s="2101"/>
      <c r="J1" s="2102"/>
      <c r="K1" s="963"/>
    </row>
    <row r="2" spans="1:11" s="982" customFormat="1" ht="70.95">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5580000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5585000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5585000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4650000</v>
      </c>
      <c r="C28" s="970"/>
      <c r="D28" s="970"/>
      <c r="E28" s="969">
        <f>'Sources and Uses Budget'!S28</f>
        <v>4650000</v>
      </c>
      <c r="F28" s="970"/>
      <c r="G28" s="970"/>
      <c r="H28" s="969">
        <f>'Sources and Uses Budget'!T28</f>
        <v>0</v>
      </c>
      <c r="I28" s="970"/>
      <c r="J28" s="970"/>
      <c r="K28" s="964"/>
    </row>
    <row r="29" spans="1:11" s="401" customFormat="1">
      <c r="A29" s="387" t="s">
        <v>1026</v>
      </c>
      <c r="B29" s="969">
        <f>'Sources and Uses Budget'!C29</f>
        <v>33853850</v>
      </c>
      <c r="C29" s="970"/>
      <c r="D29" s="970"/>
      <c r="E29" s="969">
        <f>'Sources and Uses Budget'!S29</f>
        <v>33853850</v>
      </c>
      <c r="F29" s="970"/>
      <c r="G29" s="970"/>
      <c r="H29" s="969">
        <f>'Sources and Uses Budget'!T29</f>
        <v>0</v>
      </c>
      <c r="I29" s="970"/>
      <c r="J29" s="970"/>
      <c r="K29" s="964"/>
    </row>
    <row r="30" spans="1:11" s="401" customFormat="1">
      <c r="A30" s="387" t="s">
        <v>1027</v>
      </c>
      <c r="B30" s="969">
        <f>'Sources and Uses Budget'!C30</f>
        <v>2310231</v>
      </c>
      <c r="C30" s="970"/>
      <c r="D30" s="970"/>
      <c r="E30" s="969">
        <f>'Sources and Uses Budget'!S30</f>
        <v>2310231</v>
      </c>
      <c r="F30" s="970"/>
      <c r="G30" s="970"/>
      <c r="H30" s="969">
        <f>'Sources and Uses Budget'!T30</f>
        <v>0</v>
      </c>
      <c r="I30" s="970"/>
      <c r="J30" s="970"/>
      <c r="K30" s="964"/>
    </row>
    <row r="31" spans="1:11" s="401" customFormat="1">
      <c r="A31" s="387" t="s">
        <v>1028</v>
      </c>
      <c r="B31" s="969">
        <f>'Sources and Uses Budget'!C31</f>
        <v>770077</v>
      </c>
      <c r="C31" s="970"/>
      <c r="D31" s="970"/>
      <c r="E31" s="969">
        <f>'Sources and Uses Budget'!S31</f>
        <v>770077</v>
      </c>
      <c r="F31" s="970"/>
      <c r="G31" s="970"/>
      <c r="H31" s="969">
        <f>'Sources and Uses Budget'!T31</f>
        <v>0</v>
      </c>
      <c r="I31" s="970"/>
      <c r="J31" s="970"/>
      <c r="K31" s="964"/>
    </row>
    <row r="32" spans="1:11" s="401" customFormat="1">
      <c r="A32" s="387" t="s">
        <v>1029</v>
      </c>
      <c r="B32" s="969">
        <f>'Sources and Uses Budget'!C32</f>
        <v>2310231</v>
      </c>
      <c r="C32" s="970"/>
      <c r="D32" s="970"/>
      <c r="E32" s="969">
        <f>'Sources and Uses Budget'!S32</f>
        <v>2310231</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350000</v>
      </c>
      <c r="C34" s="970"/>
      <c r="D34" s="970"/>
      <c r="E34" s="969">
        <f>'Sources and Uses Budget'!S34</f>
        <v>350000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44244389</v>
      </c>
      <c r="C36" s="969">
        <f>SUM(C28:C35)</f>
        <v>0</v>
      </c>
      <c r="D36" s="969">
        <f>SUM(D28:D35)</f>
        <v>0</v>
      </c>
      <c r="E36" s="969">
        <f>'Sources and Uses Budget'!S36</f>
        <v>44244389</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675000</v>
      </c>
      <c r="C38" s="970"/>
      <c r="D38" s="970"/>
      <c r="E38" s="969">
        <f>'Sources and Uses Budget'!S38</f>
        <v>675000</v>
      </c>
      <c r="F38" s="970"/>
      <c r="G38" s="970"/>
      <c r="H38" s="969">
        <f>'Sources and Uses Budget'!T38</f>
        <v>0</v>
      </c>
      <c r="I38" s="970"/>
      <c r="J38" s="970"/>
      <c r="K38" s="964"/>
    </row>
    <row r="39" spans="1:11" s="401" customFormat="1">
      <c r="A39" s="387" t="s">
        <v>1037</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1038</v>
      </c>
      <c r="B40" s="969">
        <f>'Sources and Uses Budget'!C40</f>
        <v>750000</v>
      </c>
      <c r="C40" s="969">
        <f>SUM(C37:C39)</f>
        <v>0</v>
      </c>
      <c r="D40" s="969">
        <f>SUM(D37:D39)</f>
        <v>0</v>
      </c>
      <c r="E40" s="969">
        <f>'Sources and Uses Budget'!S40</f>
        <v>750000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245000</v>
      </c>
      <c r="C41" s="970"/>
      <c r="D41" s="970"/>
      <c r="E41" s="969">
        <f>'Sources and Uses Budget'!S41</f>
        <v>245000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1500000</v>
      </c>
      <c r="C43" s="970"/>
      <c r="D43" s="970"/>
      <c r="E43" s="969">
        <f>'Sources and Uses Budget'!S43</f>
        <v>1500000</v>
      </c>
      <c r="F43" s="970"/>
      <c r="G43" s="970"/>
      <c r="H43" s="969">
        <f>'Sources and Uses Budget'!T43</f>
        <v>0</v>
      </c>
      <c r="I43" s="970"/>
      <c r="J43" s="970"/>
      <c r="K43" s="964"/>
    </row>
    <row r="44" spans="1:11" s="401" customFormat="1">
      <c r="A44" s="387" t="s">
        <v>1042</v>
      </c>
      <c r="B44" s="969">
        <f>'Sources and Uses Budget'!C44</f>
        <v>500000</v>
      </c>
      <c r="C44" s="970"/>
      <c r="D44" s="970"/>
      <c r="E44" s="969">
        <f>'Sources and Uses Budget'!S44</f>
        <v>500000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341400</v>
      </c>
      <c r="C49" s="970"/>
      <c r="D49" s="970"/>
      <c r="E49" s="969">
        <f>'Sources and Uses Budget'!S49</f>
        <v>341400</v>
      </c>
      <c r="F49" s="970"/>
      <c r="G49" s="970"/>
      <c r="H49" s="969">
        <f>'Sources and Uses Budget'!T49</f>
        <v>0</v>
      </c>
      <c r="I49" s="970"/>
      <c r="J49" s="970"/>
      <c r="K49" s="964"/>
    </row>
    <row r="50" spans="1:11" s="401" customFormat="1">
      <c r="A50" s="756" t="str">
        <f>'Sources and Uses Budget'!$A50</f>
        <v>Other: Lender Costs (Legal, Etc.)</v>
      </c>
      <c r="B50" s="969">
        <f>'Sources and Uses Budget'!C50</f>
        <v>100000</v>
      </c>
      <c r="C50" s="970"/>
      <c r="D50" s="970"/>
      <c r="E50" s="969">
        <f>'Sources and Uses Budget'!S50</f>
        <v>100000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2501400</v>
      </c>
      <c r="C52" s="972">
        <f>SUM(C43:C51)</f>
        <v>0</v>
      </c>
      <c r="D52" s="972">
        <f>SUM(D43:D51)</f>
        <v>0</v>
      </c>
      <c r="E52" s="969">
        <f>'Sources and Uses Budget'!S52</f>
        <v>2501400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187000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212000</v>
      </c>
      <c r="C61" s="969">
        <f>SUM(C54:C60)</f>
        <v>0</v>
      </c>
      <c r="D61" s="969">
        <f>SUM(D54:D60)</f>
        <v>0</v>
      </c>
      <c r="E61" s="971"/>
      <c r="F61" s="971"/>
      <c r="G61" s="971"/>
      <c r="H61" s="971"/>
      <c r="I61" s="971"/>
      <c r="J61" s="971"/>
      <c r="K61" s="964"/>
    </row>
    <row r="62" spans="1:11" s="401" customFormat="1">
      <c r="A62" s="397" t="s">
        <v>555</v>
      </c>
      <c r="B62" s="969">
        <f>'Sources and Uses Budget'!C62</f>
        <v>53537789</v>
      </c>
      <c r="C62" s="969">
        <f>SUM(C8+C11+C13+C14+C15+C25+C26+C36+C40+C41+C52+C61)</f>
        <v>0</v>
      </c>
      <c r="D62" s="969">
        <f>SUM(D8+D11+D13+D14+D15+D25+D26+D36+D40+D41+D52+D61)</f>
        <v>0</v>
      </c>
      <c r="E62" s="969">
        <f>'Sources and Uses Budget'!S62</f>
        <v>47740789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520281</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640281</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2200000</v>
      </c>
      <c r="C75" s="970"/>
      <c r="D75" s="970"/>
      <c r="E75" s="969">
        <f>'Sources and Uses Budget'!S75</f>
        <v>2200000</v>
      </c>
      <c r="F75" s="970"/>
      <c r="G75" s="970"/>
      <c r="H75" s="969">
        <f>'Sources and Uses Budget'!T75</f>
        <v>0</v>
      </c>
      <c r="I75" s="970"/>
      <c r="J75" s="970"/>
      <c r="K75" s="964"/>
    </row>
    <row r="76" spans="1:11" s="1140" customFormat="1">
      <c r="A76" s="387" t="s">
        <v>605</v>
      </c>
      <c r="B76" s="969">
        <f>'Sources and Uses Budget'!C76</f>
        <v>500000</v>
      </c>
      <c r="C76" s="970"/>
      <c r="D76" s="970"/>
      <c r="E76" s="969">
        <f>'Sources and Uses Budget'!S76</f>
        <v>500000</v>
      </c>
      <c r="F76" s="970"/>
      <c r="G76" s="970"/>
      <c r="H76" s="969">
        <f>'Sources and Uses Budget'!T76</f>
        <v>0</v>
      </c>
      <c r="I76" s="970"/>
      <c r="J76" s="970"/>
      <c r="K76" s="964"/>
    </row>
    <row r="77" spans="1:11" s="401" customFormat="1">
      <c r="A77" s="391" t="s">
        <v>2024</v>
      </c>
      <c r="B77" s="969">
        <f>'Sources and Uses Budget'!C77</f>
        <v>2700000</v>
      </c>
      <c r="C77" s="1175">
        <f>SUM(C75:C76)</f>
        <v>0</v>
      </c>
      <c r="D77" s="1175">
        <f>SUM(D75:D76)</f>
        <v>0</v>
      </c>
      <c r="E77" s="969">
        <f>'Sources and Uses Budget'!S77</f>
        <v>2700000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249875</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1376201</v>
      </c>
      <c r="C81" s="970"/>
      <c r="D81" s="970"/>
      <c r="E81" s="969">
        <f>'Sources and Uses Budget'!S81</f>
        <v>1376201</v>
      </c>
      <c r="F81" s="970"/>
      <c r="G81" s="970"/>
      <c r="H81" s="969">
        <f>'Sources and Uses Budget'!T81</f>
        <v>0</v>
      </c>
      <c r="I81" s="970"/>
      <c r="J81" s="970"/>
      <c r="K81" s="964"/>
    </row>
    <row r="82" spans="1:11" s="401" customFormat="1">
      <c r="A82" s="387" t="s">
        <v>583</v>
      </c>
      <c r="B82" s="969">
        <f>'Sources and Uses Budget'!C82</f>
        <v>430000</v>
      </c>
      <c r="C82" s="970"/>
      <c r="D82" s="970"/>
      <c r="E82" s="969">
        <f>'Sources and Uses Budget'!S82</f>
        <v>430000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80689</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2221765</v>
      </c>
      <c r="C94" s="969">
        <f>SUM(C79:C93)</f>
        <v>0</v>
      </c>
      <c r="D94" s="969">
        <f>SUM(D79:D93)</f>
        <v>0</v>
      </c>
      <c r="E94" s="969">
        <f>'Sources and Uses Budget'!S94</f>
        <v>1891201</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59149835</v>
      </c>
      <c r="C95" s="969">
        <f>SUM(C62+C66+C73+C77+C94)</f>
        <v>0</v>
      </c>
      <c r="D95" s="969">
        <f>SUM(D62+D66+D73+D77+D94)</f>
        <v>0</v>
      </c>
      <c r="E95" s="969">
        <f>'Sources and Uses Budget'!S95</f>
        <v>52381990</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61349835</v>
      </c>
      <c r="C104" s="972">
        <f>SUM(C95+C103)</f>
        <v>0</v>
      </c>
      <c r="D104" s="972">
        <f>SUM(D95+D103)</f>
        <v>0</v>
      </c>
      <c r="E104" s="969">
        <f>'Sources and Uses Budget'!S104</f>
        <v>54581990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54581990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54581990</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9">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9">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9">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54581990</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65377631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70956587</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70956587</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70956587</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9">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70956587</v>
      </c>
      <c r="Z38" s="2115"/>
      <c r="AA38" s="2115"/>
      <c r="AB38" s="2115"/>
      <c r="AC38" s="2115"/>
      <c r="AD38" s="2115">
        <f>IF(T24&gt;=(T23+Y23+AD23+AI23),AD28+AI28,0)</f>
        <v>0</v>
      </c>
      <c r="AE38" s="2115"/>
      <c r="AF38" s="2115"/>
      <c r="AG38" s="2115"/>
      <c r="AH38" s="2115"/>
    </row>
    <row r="39" spans="1:44" ht="12.9">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6386093</v>
      </c>
      <c r="Z40" s="2115"/>
      <c r="AA40" s="2115"/>
      <c r="AB40" s="2115"/>
      <c r="AC40" s="2115"/>
      <c r="AD40" s="2114">
        <f>ROUND(AD38*AD39,0)</f>
        <v>0</v>
      </c>
      <c r="AE40" s="2115"/>
      <c r="AF40" s="2115"/>
      <c r="AG40" s="2115"/>
      <c r="AH40" s="2115"/>
    </row>
    <row r="41" spans="1:44"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5000000</v>
      </c>
      <c r="Z41" s="2117"/>
      <c r="AA41" s="2117"/>
      <c r="AB41" s="2117"/>
      <c r="AC41" s="2117"/>
      <c r="AD41" s="2117"/>
      <c r="AE41" s="2117"/>
      <c r="AF41" s="2117"/>
      <c r="AG41" s="2117"/>
      <c r="AH41" s="2118"/>
    </row>
    <row r="42" spans="1:44" ht="12.8"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2500000</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5000000</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10">
        <f>'Sources and Uses Budget'!B104-'Sources and Uses Budget'!$B$15</f>
        <v>61349835</v>
      </c>
      <c r="AC46" s="2111"/>
      <c r="AD46" s="2111"/>
      <c r="AE46" s="2111"/>
      <c r="AF46" s="2112"/>
    </row>
    <row r="47" spans="1:44" ht="12.8" customHeight="1">
      <c r="D47" s="6" t="s">
        <v>928</v>
      </c>
      <c r="AB47" s="2110">
        <f>Application!AG629-MIN('Sources and Uses Budget'!B15,Application!AG390)</f>
        <v>24280000</v>
      </c>
      <c r="AC47" s="2111"/>
      <c r="AD47" s="2111"/>
      <c r="AE47" s="2111"/>
      <c r="AF47" s="2112"/>
    </row>
    <row r="48" spans="1:44" ht="12.9">
      <c r="D48" s="6" t="s">
        <v>428</v>
      </c>
      <c r="AB48" s="2110">
        <f>AB46-AB47</f>
        <v>37069835</v>
      </c>
      <c r="AC48" s="2111"/>
      <c r="AD48" s="2111"/>
      <c r="AE48" s="2111"/>
      <c r="AF48" s="2112"/>
    </row>
    <row r="49" spans="1:40" ht="12.9">
      <c r="D49" s="6" t="s">
        <v>967</v>
      </c>
      <c r="X49" s="2"/>
      <c r="Y49" s="2"/>
      <c r="Z49" s="2"/>
      <c r="AA49" s="427"/>
      <c r="AB49" s="2129">
        <f>0.9999*0.86</f>
        <v>0.85991399999999996</v>
      </c>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43108770</v>
      </c>
      <c r="AC53" s="2111"/>
      <c r="AD53" s="2111"/>
      <c r="AE53" s="2111"/>
      <c r="AF53" s="2112"/>
    </row>
    <row r="54" spans="1:40" ht="12.8" customHeight="1">
      <c r="D54" s="6" t="s">
        <v>628</v>
      </c>
      <c r="AB54" s="2110">
        <f>(AB53/10)</f>
        <v>4310877</v>
      </c>
      <c r="AC54" s="2111"/>
      <c r="AD54" s="2111"/>
      <c r="AE54" s="2111"/>
      <c r="AF54" s="2112"/>
    </row>
    <row r="55" spans="1:40" ht="12.9">
      <c r="D55" s="6" t="s">
        <v>384</v>
      </c>
      <c r="AB55" s="2137">
        <f>(IF((Y41&lt;AB54),Y41,AB54))</f>
        <v>4310877</v>
      </c>
      <c r="AC55" s="2138"/>
      <c r="AD55" s="2138"/>
      <c r="AE55" s="2138"/>
      <c r="AF55" s="2139"/>
    </row>
    <row r="56" spans="1:40" ht="12.9">
      <c r="D56" s="6" t="s">
        <v>118</v>
      </c>
      <c r="AB56" s="2110">
        <f>ROUND((10*AB55*AB49),0)</f>
        <v>37069835</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0</v>
      </c>
      <c r="AC58" s="2108"/>
      <c r="AD58" s="2108"/>
      <c r="AE58" s="2108"/>
      <c r="AF58" s="2108"/>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0">
        <f>IF(AND(T25=1.3,Application!D221="At-Risk"),AI28,IF(Application!D221&lt;&gt;"At-Risk",0,AD28))</f>
        <v>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8"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0</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7" sqref="E597:J597"/>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8"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1662</v>
      </c>
      <c r="AE4" s="2378" t="s">
        <v>413</v>
      </c>
      <c r="AF4" s="2378"/>
      <c r="AG4" s="2378"/>
      <c r="AH4" s="2378"/>
      <c r="AI4" s="2378"/>
      <c r="AJ4" s="2378"/>
      <c r="AK4" s="2378"/>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8"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1404</v>
      </c>
      <c r="AB13" s="2381" t="s">
        <v>136</v>
      </c>
      <c r="AC13" s="2381"/>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8"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8"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8"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8"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8"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8"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8"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8"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8"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8"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9">
        <f>IF((AND(AND(OR(Application!D218="Nonprofit (qualified nonprofit organization)",Application!D218="Nonprofit (homeless assistance)",Application!D218="Special Needs/SRO"),Application!D221="Special Needs"),$AB$13="N/A")),VLOOKUP($B$16,$AO$14:$AP$16,2,FALSE),VLOOKUP($B$11,$AO$9:$AP$11,2,FALSE))</f>
        <v>6</v>
      </c>
      <c r="AK31" s="2379"/>
      <c r="AL31" s="1360"/>
      <c r="AM31" s="147"/>
      <c r="AN31" s="1189"/>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190" t="s">
        <v>2412</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8"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8"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8"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8"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8"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50000000000003"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8"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8"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00000000000001"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8"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85"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190" t="s">
        <v>736</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8" customHeight="1">
      <c r="B72" s="2380" t="s">
        <v>1486</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1100</v>
      </c>
      <c r="AF78" s="2270"/>
      <c r="AG78" s="2270"/>
      <c r="AH78" s="2270"/>
      <c r="AI78" s="2270"/>
      <c r="AJ78" s="2270"/>
      <c r="AK78" s="2270"/>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8"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8"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8"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8"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8"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8"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8"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8"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5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8"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43" t="s">
        <v>136</v>
      </c>
      <c r="I117" s="2243"/>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8"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8"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8"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0</v>
      </c>
      <c r="AK129" s="2044"/>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8"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8"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8"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85"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8" customHeight="1">
      <c r="A142" s="28"/>
      <c r="B142" s="74"/>
      <c r="C142" s="77"/>
      <c r="D142" s="28" t="s">
        <v>163</v>
      </c>
      <c r="E142" s="202"/>
      <c r="F142" s="202"/>
      <c r="G142" s="202"/>
      <c r="H142" s="2243" t="s">
        <v>136</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0</v>
      </c>
      <c r="AK144" s="2044"/>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43" t="s">
        <v>136</v>
      </c>
      <c r="I154" s="2243"/>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0</v>
      </c>
      <c r="AK156" s="2044"/>
      <c r="AL156" s="25"/>
      <c r="AN156" s="1188"/>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8"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8"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8"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0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8"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8"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8"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8"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8"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8"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85"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85"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43" t="s">
        <v>136</v>
      </c>
      <c r="I187" s="2243"/>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0</v>
      </c>
      <c r="AK189" s="2044"/>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8"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0"/>
      <c r="AP194" s="2450"/>
    </row>
    <row r="195" spans="1:42" s="149" customFormat="1" ht="12.8"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8"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55"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86" t="s">
        <v>1415</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85"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85"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8"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8"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43" t="s">
        <v>136</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0</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43" t="s">
        <v>136</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449" t="s">
        <v>1705</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8"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55"/>
      <c r="AM263" s="187"/>
      <c r="AN263" s="457"/>
    </row>
    <row r="264" spans="1:82" s="46" customFormat="1" ht="12.8"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55"/>
      <c r="AM264" s="187"/>
      <c r="AN264" s="457"/>
    </row>
    <row r="265" spans="1:82" s="46" customFormat="1" ht="12.8"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0</v>
      </c>
      <c r="AL281" s="2043"/>
      <c r="AM281" s="2044"/>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595"/>
      <c r="I285" s="1595"/>
      <c r="J285" s="1595"/>
      <c r="K285" s="1595"/>
      <c r="L285" s="1595"/>
      <c r="M285" s="1595"/>
      <c r="N285" s="1595"/>
      <c r="O285" s="1595"/>
      <c r="P285" s="1595"/>
      <c r="Q285" s="1595"/>
      <c r="R285" s="1595"/>
      <c r="S285" s="16"/>
      <c r="T285" s="72" t="s">
        <v>100</v>
      </c>
      <c r="U285" s="16"/>
      <c r="V285" s="72"/>
      <c r="W285" s="72"/>
      <c r="X285" s="72"/>
      <c r="Y285" s="72"/>
      <c r="Z285" s="16"/>
      <c r="AA285" s="1595"/>
      <c r="AB285" s="1595"/>
      <c r="AC285" s="1595"/>
      <c r="AD285" s="1595"/>
      <c r="AE285" s="1595"/>
      <c r="AF285" s="1595"/>
      <c r="AG285" s="1595"/>
      <c r="AH285" s="1595"/>
      <c r="AI285" s="1595"/>
      <c r="AJ285" s="1595"/>
      <c r="AK285" s="1595"/>
      <c r="AL285" s="25"/>
      <c r="AM285" s="149"/>
      <c r="AN285" s="457"/>
    </row>
    <row r="286" spans="1:82" s="46" customFormat="1" ht="12.8" customHeight="1">
      <c r="A286" s="165"/>
      <c r="B286" s="72" t="s">
        <v>772</v>
      </c>
      <c r="C286" s="72"/>
      <c r="D286" s="72"/>
      <c r="E286" s="72"/>
      <c r="F286" s="72"/>
      <c r="G286" s="16"/>
      <c r="H286" s="1719"/>
      <c r="I286" s="1719"/>
      <c r="J286" s="1719"/>
      <c r="K286" s="1719"/>
      <c r="L286" s="1719"/>
      <c r="M286" s="1719"/>
      <c r="N286" s="1719"/>
      <c r="O286" s="1719"/>
      <c r="P286" s="1719"/>
      <c r="Q286" s="1719"/>
      <c r="R286" s="1719"/>
      <c r="S286" s="16"/>
      <c r="T286" s="72" t="s">
        <v>772</v>
      </c>
      <c r="U286" s="16"/>
      <c r="V286" s="72"/>
      <c r="W286" s="72"/>
      <c r="X286" s="72"/>
      <c r="Y286" s="72"/>
      <c r="Z286" s="16"/>
      <c r="AA286" s="1719"/>
      <c r="AB286" s="1719"/>
      <c r="AC286" s="1719"/>
      <c r="AD286" s="1719"/>
      <c r="AE286" s="1719"/>
      <c r="AF286" s="1719"/>
      <c r="AG286" s="1719"/>
      <c r="AH286" s="1719"/>
      <c r="AI286" s="1719"/>
      <c r="AJ286" s="1719"/>
      <c r="AK286" s="1719"/>
      <c r="AL286" s="25"/>
      <c r="AM286" s="149"/>
      <c r="AN286" s="457"/>
    </row>
    <row r="287" spans="1:82" s="46" customFormat="1" ht="12.8" customHeight="1">
      <c r="A287" s="165"/>
      <c r="B287" s="72" t="s">
        <v>110</v>
      </c>
      <c r="C287" s="72"/>
      <c r="D287" s="72"/>
      <c r="E287" s="72"/>
      <c r="F287" s="72"/>
      <c r="G287" s="16"/>
      <c r="H287" s="1719"/>
      <c r="I287" s="1719"/>
      <c r="J287" s="1719"/>
      <c r="K287" s="1719"/>
      <c r="L287" s="1719"/>
      <c r="M287" s="1719"/>
      <c r="N287" s="1719"/>
      <c r="O287" s="1719"/>
      <c r="P287" s="1719"/>
      <c r="Q287" s="1719"/>
      <c r="R287" s="1719"/>
      <c r="S287" s="16"/>
      <c r="T287" s="72" t="s">
        <v>110</v>
      </c>
      <c r="U287" s="16"/>
      <c r="V287" s="72"/>
      <c r="W287" s="72"/>
      <c r="X287" s="72"/>
      <c r="Y287" s="72"/>
      <c r="Z287" s="16"/>
      <c r="AA287" s="1719"/>
      <c r="AB287" s="1719"/>
      <c r="AC287" s="1719"/>
      <c r="AD287" s="1719"/>
      <c r="AE287" s="1719"/>
      <c r="AF287" s="1719"/>
      <c r="AG287" s="1719"/>
      <c r="AH287" s="1719"/>
      <c r="AI287" s="1719"/>
      <c r="AJ287" s="1719"/>
      <c r="AK287" s="1719"/>
      <c r="AL287" s="25"/>
      <c r="AM287" s="149"/>
      <c r="AN287" s="457"/>
      <c r="AO287" s="345"/>
    </row>
    <row r="288" spans="1:82" s="46" customFormat="1" ht="12.8" customHeight="1">
      <c r="A288" s="165"/>
      <c r="B288" s="72" t="s">
        <v>424</v>
      </c>
      <c r="C288" s="72"/>
      <c r="D288" s="72"/>
      <c r="E288" s="72"/>
      <c r="F288" s="72"/>
      <c r="G288" s="16"/>
      <c r="H288" s="1719"/>
      <c r="I288" s="1719"/>
      <c r="J288" s="1719"/>
      <c r="K288" s="1719"/>
      <c r="L288" s="1719"/>
      <c r="M288" s="1719"/>
      <c r="N288" s="1719"/>
      <c r="O288" s="1719"/>
      <c r="P288" s="1719"/>
      <c r="Q288" s="1719"/>
      <c r="R288" s="1719"/>
      <c r="S288" s="16"/>
      <c r="T288" s="72" t="s">
        <v>424</v>
      </c>
      <c r="U288" s="16"/>
      <c r="V288" s="72"/>
      <c r="W288" s="72"/>
      <c r="X288" s="72"/>
      <c r="Y288" s="72"/>
      <c r="Z288" s="16"/>
      <c r="AA288" s="1719"/>
      <c r="AB288" s="1719"/>
      <c r="AC288" s="1719"/>
      <c r="AD288" s="1719"/>
      <c r="AE288" s="1719"/>
      <c r="AF288" s="1719"/>
      <c r="AG288" s="1719"/>
      <c r="AH288" s="1719"/>
      <c r="AI288" s="1719"/>
      <c r="AJ288" s="1719"/>
      <c r="AK288" s="1719"/>
      <c r="AL288" s="25"/>
      <c r="AM288" s="149"/>
      <c r="AN288" s="457"/>
      <c r="AO288" s="345"/>
    </row>
    <row r="289" spans="1:41" s="46" customFormat="1" ht="12.8" customHeight="1">
      <c r="A289" s="165"/>
      <c r="B289" s="72" t="s">
        <v>425</v>
      </c>
      <c r="C289" s="72"/>
      <c r="D289" s="72"/>
      <c r="E289" s="72"/>
      <c r="F289" s="72"/>
      <c r="G289" s="72"/>
      <c r="H289" s="1591"/>
      <c r="I289" s="1591"/>
      <c r="J289" s="1591"/>
      <c r="K289" s="1591"/>
      <c r="L289" s="1591"/>
      <c r="M289" s="1591"/>
      <c r="N289" s="8" t="s">
        <v>907</v>
      </c>
      <c r="O289" s="8"/>
      <c r="P289" s="1593"/>
      <c r="Q289" s="1593"/>
      <c r="R289" s="1593"/>
      <c r="S289" s="72"/>
      <c r="T289" s="72" t="s">
        <v>425</v>
      </c>
      <c r="U289" s="16"/>
      <c r="V289" s="72"/>
      <c r="W289" s="72"/>
      <c r="X289" s="72"/>
      <c r="Y289" s="72"/>
      <c r="Z289" s="16"/>
      <c r="AA289" s="1591"/>
      <c r="AB289" s="1591"/>
      <c r="AC289" s="1591"/>
      <c r="AD289" s="1591"/>
      <c r="AE289" s="1591"/>
      <c r="AF289" s="1591"/>
      <c r="AG289" s="8" t="s">
        <v>907</v>
      </c>
      <c r="AH289" s="8"/>
      <c r="AI289" s="1593"/>
      <c r="AJ289" s="1593"/>
      <c r="AK289" s="1593"/>
      <c r="AL289" s="25"/>
      <c r="AM289" s="149"/>
      <c r="AN289" s="457"/>
      <c r="AO289" s="345"/>
    </row>
    <row r="290" spans="1:41" s="46" customFormat="1" ht="12.8" customHeight="1">
      <c r="A290" s="165"/>
      <c r="B290" s="72" t="s">
        <v>99</v>
      </c>
      <c r="C290" s="72"/>
      <c r="D290" s="72"/>
      <c r="E290" s="72"/>
      <c r="F290" s="72"/>
      <c r="G290" s="72"/>
      <c r="H290" s="1719"/>
      <c r="I290" s="1719"/>
      <c r="J290" s="1719"/>
      <c r="K290" s="1719"/>
      <c r="L290" s="1719"/>
      <c r="M290" s="1719"/>
      <c r="N290" s="1719"/>
      <c r="O290" s="1719"/>
      <c r="P290" s="1719"/>
      <c r="Q290" s="1719"/>
      <c r="R290" s="1719"/>
      <c r="S290" s="72"/>
      <c r="T290" s="72" t="s">
        <v>99</v>
      </c>
      <c r="U290" s="16"/>
      <c r="V290" s="72"/>
      <c r="W290" s="72"/>
      <c r="X290" s="72"/>
      <c r="Y290" s="72"/>
      <c r="Z290" s="16"/>
      <c r="AA290" s="1719"/>
      <c r="AB290" s="1719"/>
      <c r="AC290" s="1719"/>
      <c r="AD290" s="1719"/>
      <c r="AE290" s="1719"/>
      <c r="AF290" s="1719"/>
      <c r="AG290" s="1719"/>
      <c r="AH290" s="1719"/>
      <c r="AI290" s="1719"/>
      <c r="AJ290" s="1719"/>
      <c r="AK290" s="1719"/>
      <c r="AL290" s="25"/>
      <c r="AM290" s="149"/>
      <c r="AN290" s="457"/>
      <c r="AO290" s="345"/>
    </row>
    <row r="291" spans="1:41" s="46" customFormat="1" ht="12.8" customHeight="1">
      <c r="A291" s="165"/>
      <c r="B291" s="72" t="s">
        <v>101</v>
      </c>
      <c r="C291" s="72"/>
      <c r="D291" s="72"/>
      <c r="E291" s="72"/>
      <c r="F291" s="72"/>
      <c r="G291" s="72"/>
      <c r="H291" s="1719"/>
      <c r="I291" s="1719"/>
      <c r="J291" s="1719"/>
      <c r="K291" s="1719"/>
      <c r="L291" s="1719"/>
      <c r="M291" s="1719"/>
      <c r="N291" s="1719"/>
      <c r="O291" s="1719"/>
      <c r="P291" s="1719"/>
      <c r="Q291" s="1719"/>
      <c r="R291" s="1719"/>
      <c r="S291" s="72"/>
      <c r="T291" s="72" t="s">
        <v>101</v>
      </c>
      <c r="U291" s="16"/>
      <c r="V291" s="72"/>
      <c r="W291" s="72"/>
      <c r="X291" s="72"/>
      <c r="Y291" s="72"/>
      <c r="Z291" s="16"/>
      <c r="AA291" s="1719"/>
      <c r="AB291" s="1719"/>
      <c r="AC291" s="1719"/>
      <c r="AD291" s="1719"/>
      <c r="AE291" s="1719"/>
      <c r="AF291" s="1719"/>
      <c r="AG291" s="1719"/>
      <c r="AH291" s="1719"/>
      <c r="AI291" s="1719"/>
      <c r="AJ291" s="1719"/>
      <c r="AK291" s="1719"/>
      <c r="AL291" s="25"/>
      <c r="AM291" s="149"/>
      <c r="AN291" s="457"/>
    </row>
    <row r="292" spans="1:41" s="149" customFormat="1" ht="12.8" customHeight="1">
      <c r="A292" s="165"/>
      <c r="B292" s="72" t="s">
        <v>112</v>
      </c>
      <c r="C292" s="72"/>
      <c r="D292" s="72"/>
      <c r="E292" s="72"/>
      <c r="F292" s="72"/>
      <c r="G292" s="72"/>
      <c r="H292" s="2269"/>
      <c r="I292" s="2269"/>
      <c r="J292" s="2269"/>
      <c r="K292" s="2269"/>
      <c r="L292" s="2269"/>
      <c r="M292" s="2269"/>
      <c r="N292" s="2269"/>
      <c r="O292" s="2269"/>
      <c r="P292" s="2269"/>
      <c r="Q292" s="2269"/>
      <c r="R292" s="2269"/>
      <c r="S292" s="72"/>
      <c r="T292" s="72" t="s">
        <v>112</v>
      </c>
      <c r="U292" s="72"/>
      <c r="V292" s="72"/>
      <c r="W292" s="72"/>
      <c r="X292" s="72"/>
      <c r="Y292" s="72"/>
      <c r="Z292" s="18"/>
      <c r="AA292" s="2269"/>
      <c r="AB292" s="2269"/>
      <c r="AC292" s="2269"/>
      <c r="AD292" s="2269"/>
      <c r="AE292" s="2269"/>
      <c r="AF292" s="2269"/>
      <c r="AG292" s="2269"/>
      <c r="AH292" s="2269"/>
      <c r="AI292" s="2269"/>
      <c r="AJ292" s="2269"/>
      <c r="AK292" s="2269"/>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595"/>
      <c r="I294" s="1595"/>
      <c r="J294" s="1595"/>
      <c r="K294" s="1595"/>
      <c r="L294" s="1595"/>
      <c r="M294" s="1595"/>
      <c r="N294" s="1595"/>
      <c r="O294" s="1595"/>
      <c r="P294" s="1595"/>
      <c r="Q294" s="1595"/>
      <c r="R294" s="1595"/>
      <c r="S294" s="16"/>
      <c r="T294" s="72" t="s">
        <v>100</v>
      </c>
      <c r="U294" s="16"/>
      <c r="V294" s="72"/>
      <c r="W294" s="72"/>
      <c r="X294" s="72"/>
      <c r="Y294" s="72"/>
      <c r="Z294" s="16"/>
      <c r="AA294" s="1595"/>
      <c r="AB294" s="1595"/>
      <c r="AC294" s="1595"/>
      <c r="AD294" s="1595"/>
      <c r="AE294" s="1595"/>
      <c r="AF294" s="1595"/>
      <c r="AG294" s="1595"/>
      <c r="AH294" s="1595"/>
      <c r="AI294" s="1595"/>
      <c r="AJ294" s="1595"/>
      <c r="AK294" s="1595"/>
      <c r="AL294" s="25"/>
      <c r="AM294" s="149"/>
      <c r="AN294" s="457"/>
    </row>
    <row r="295" spans="1:41" s="217" customFormat="1" ht="12.8" customHeight="1">
      <c r="A295" s="165"/>
      <c r="B295" s="72" t="s">
        <v>772</v>
      </c>
      <c r="C295" s="72"/>
      <c r="D295" s="72"/>
      <c r="E295" s="72"/>
      <c r="F295" s="72"/>
      <c r="G295" s="16"/>
      <c r="H295" s="1719"/>
      <c r="I295" s="1719"/>
      <c r="J295" s="1719"/>
      <c r="K295" s="1719"/>
      <c r="L295" s="1719"/>
      <c r="M295" s="1719"/>
      <c r="N295" s="1719"/>
      <c r="O295" s="1719"/>
      <c r="P295" s="1719"/>
      <c r="Q295" s="1719"/>
      <c r="R295" s="1719"/>
      <c r="S295" s="16"/>
      <c r="T295" s="72" t="s">
        <v>772</v>
      </c>
      <c r="U295" s="16"/>
      <c r="V295" s="72"/>
      <c r="W295" s="72"/>
      <c r="X295" s="72"/>
      <c r="Y295" s="72"/>
      <c r="Z295" s="16"/>
      <c r="AA295" s="1719"/>
      <c r="AB295" s="1719"/>
      <c r="AC295" s="1719"/>
      <c r="AD295" s="1719"/>
      <c r="AE295" s="1719"/>
      <c r="AF295" s="1719"/>
      <c r="AG295" s="1719"/>
      <c r="AH295" s="1719"/>
      <c r="AI295" s="1719"/>
      <c r="AJ295" s="1719"/>
      <c r="AK295" s="1719"/>
      <c r="AL295" s="25"/>
      <c r="AM295" s="149"/>
      <c r="AN295" s="457"/>
      <c r="AO295" s="46"/>
    </row>
    <row r="296" spans="1:41" s="217" customFormat="1" ht="12.8" customHeight="1">
      <c r="A296" s="165"/>
      <c r="B296" s="72" t="s">
        <v>110</v>
      </c>
      <c r="C296" s="72"/>
      <c r="D296" s="72"/>
      <c r="E296" s="72"/>
      <c r="F296" s="72"/>
      <c r="G296" s="16"/>
      <c r="H296" s="1719"/>
      <c r="I296" s="1719"/>
      <c r="J296" s="1719"/>
      <c r="K296" s="1719"/>
      <c r="L296" s="1719"/>
      <c r="M296" s="1719"/>
      <c r="N296" s="1719"/>
      <c r="O296" s="1719"/>
      <c r="P296" s="1719"/>
      <c r="Q296" s="1719"/>
      <c r="R296" s="1719"/>
      <c r="S296" s="16"/>
      <c r="T296" s="72" t="s">
        <v>110</v>
      </c>
      <c r="U296" s="16"/>
      <c r="V296" s="72"/>
      <c r="W296" s="72"/>
      <c r="X296" s="72"/>
      <c r="Y296" s="72"/>
      <c r="Z296" s="16"/>
      <c r="AA296" s="1719"/>
      <c r="AB296" s="1719"/>
      <c r="AC296" s="1719"/>
      <c r="AD296" s="1719"/>
      <c r="AE296" s="1719"/>
      <c r="AF296" s="1719"/>
      <c r="AG296" s="1719"/>
      <c r="AH296" s="1719"/>
      <c r="AI296" s="1719"/>
      <c r="AJ296" s="1719"/>
      <c r="AK296" s="1719"/>
      <c r="AL296" s="25"/>
      <c r="AM296" s="149"/>
      <c r="AN296" s="457"/>
      <c r="AO296" s="46"/>
    </row>
    <row r="297" spans="1:41" s="46" customFormat="1" ht="12.8" customHeight="1">
      <c r="A297" s="165"/>
      <c r="B297" s="72" t="s">
        <v>424</v>
      </c>
      <c r="C297" s="72"/>
      <c r="D297" s="72"/>
      <c r="E297" s="72"/>
      <c r="F297" s="72"/>
      <c r="G297" s="16"/>
      <c r="H297" s="1719"/>
      <c r="I297" s="1719"/>
      <c r="J297" s="1719"/>
      <c r="K297" s="1719"/>
      <c r="L297" s="1719"/>
      <c r="M297" s="1719"/>
      <c r="N297" s="1719"/>
      <c r="O297" s="1719"/>
      <c r="P297" s="1719"/>
      <c r="Q297" s="1719"/>
      <c r="R297" s="1719"/>
      <c r="S297" s="16"/>
      <c r="T297" s="72" t="s">
        <v>424</v>
      </c>
      <c r="U297" s="16"/>
      <c r="V297" s="72"/>
      <c r="W297" s="72"/>
      <c r="X297" s="72"/>
      <c r="Y297" s="72"/>
      <c r="Z297" s="16"/>
      <c r="AA297" s="1719"/>
      <c r="AB297" s="1719"/>
      <c r="AC297" s="1719"/>
      <c r="AD297" s="1719"/>
      <c r="AE297" s="1719"/>
      <c r="AF297" s="1719"/>
      <c r="AG297" s="1719"/>
      <c r="AH297" s="1719"/>
      <c r="AI297" s="1719"/>
      <c r="AJ297" s="1719"/>
      <c r="AK297" s="1719"/>
      <c r="AL297" s="25"/>
      <c r="AM297" s="149"/>
      <c r="AN297" s="457"/>
    </row>
    <row r="298" spans="1:41" s="46" customFormat="1" ht="12.8" customHeight="1">
      <c r="A298" s="165"/>
      <c r="B298" s="72" t="s">
        <v>425</v>
      </c>
      <c r="C298" s="72"/>
      <c r="D298" s="72"/>
      <c r="E298" s="72"/>
      <c r="F298" s="72"/>
      <c r="G298" s="72"/>
      <c r="H298" s="1591"/>
      <c r="I298" s="1591"/>
      <c r="J298" s="1591"/>
      <c r="K298" s="1591"/>
      <c r="L298" s="1591"/>
      <c r="M298" s="1591"/>
      <c r="N298" s="8" t="s">
        <v>907</v>
      </c>
      <c r="O298" s="8"/>
      <c r="P298" s="1593"/>
      <c r="Q298" s="1593"/>
      <c r="R298" s="1593"/>
      <c r="S298" s="72"/>
      <c r="T298" s="72" t="s">
        <v>425</v>
      </c>
      <c r="U298" s="16"/>
      <c r="V298" s="72"/>
      <c r="W298" s="72"/>
      <c r="X298" s="72"/>
      <c r="Y298" s="72"/>
      <c r="Z298" s="16"/>
      <c r="AA298" s="1591"/>
      <c r="AB298" s="1591"/>
      <c r="AC298" s="1591"/>
      <c r="AD298" s="1591"/>
      <c r="AE298" s="1591"/>
      <c r="AF298" s="1591"/>
      <c r="AG298" s="8" t="s">
        <v>907</v>
      </c>
      <c r="AH298" s="8"/>
      <c r="AI298" s="1593"/>
      <c r="AJ298" s="1593"/>
      <c r="AK298" s="1593"/>
      <c r="AL298" s="25"/>
      <c r="AM298" s="149"/>
      <c r="AN298" s="457"/>
    </row>
    <row r="299" spans="1:41" s="46" customFormat="1" ht="12.8" customHeight="1">
      <c r="A299" s="165"/>
      <c r="B299" s="72" t="s">
        <v>99</v>
      </c>
      <c r="C299" s="72"/>
      <c r="D299" s="72"/>
      <c r="E299" s="72"/>
      <c r="F299" s="72"/>
      <c r="G299" s="72"/>
      <c r="H299" s="1719"/>
      <c r="I299" s="1719"/>
      <c r="J299" s="1719"/>
      <c r="K299" s="1719"/>
      <c r="L299" s="1719"/>
      <c r="M299" s="1719"/>
      <c r="N299" s="1719"/>
      <c r="O299" s="1719"/>
      <c r="P299" s="1719"/>
      <c r="Q299" s="1719"/>
      <c r="R299" s="1719"/>
      <c r="S299" s="72"/>
      <c r="T299" s="72" t="s">
        <v>99</v>
      </c>
      <c r="U299" s="16"/>
      <c r="V299" s="72"/>
      <c r="W299" s="72"/>
      <c r="X299" s="72"/>
      <c r="Y299" s="72"/>
      <c r="Z299" s="16"/>
      <c r="AA299" s="1719"/>
      <c r="AB299" s="1719"/>
      <c r="AC299" s="1719"/>
      <c r="AD299" s="1719"/>
      <c r="AE299" s="1719"/>
      <c r="AF299" s="1719"/>
      <c r="AG299" s="1719"/>
      <c r="AH299" s="1719"/>
      <c r="AI299" s="1719"/>
      <c r="AJ299" s="1719"/>
      <c r="AK299" s="1719"/>
      <c r="AL299" s="25"/>
      <c r="AM299" s="149"/>
      <c r="AN299" s="457"/>
    </row>
    <row r="300" spans="1:41" s="46" customFormat="1" ht="12.8" customHeight="1">
      <c r="A300" s="165"/>
      <c r="B300" s="72" t="s">
        <v>101</v>
      </c>
      <c r="C300" s="72"/>
      <c r="D300" s="72"/>
      <c r="E300" s="72"/>
      <c r="F300" s="72"/>
      <c r="G300" s="72"/>
      <c r="H300" s="1719"/>
      <c r="I300" s="1719"/>
      <c r="J300" s="1719"/>
      <c r="K300" s="1719"/>
      <c r="L300" s="1719"/>
      <c r="M300" s="1719"/>
      <c r="N300" s="1719"/>
      <c r="O300" s="1719"/>
      <c r="P300" s="1719"/>
      <c r="Q300" s="1719"/>
      <c r="R300" s="1719"/>
      <c r="S300" s="72"/>
      <c r="T300" s="72" t="s">
        <v>101</v>
      </c>
      <c r="U300" s="16"/>
      <c r="V300" s="72"/>
      <c r="W300" s="72"/>
      <c r="X300" s="72"/>
      <c r="Y300" s="72"/>
      <c r="Z300" s="16"/>
      <c r="AA300" s="1719"/>
      <c r="AB300" s="1719"/>
      <c r="AC300" s="1719"/>
      <c r="AD300" s="1719"/>
      <c r="AE300" s="1719"/>
      <c r="AF300" s="1719"/>
      <c r="AG300" s="1719"/>
      <c r="AH300" s="1719"/>
      <c r="AI300" s="1719"/>
      <c r="AJ300" s="1719"/>
      <c r="AK300" s="1719"/>
      <c r="AL300" s="25"/>
      <c r="AM300" s="149"/>
      <c r="AN300" s="457"/>
    </row>
    <row r="301" spans="1:41" s="46" customFormat="1" ht="12.8" customHeight="1">
      <c r="A301" s="165"/>
      <c r="B301" s="72" t="s">
        <v>112</v>
      </c>
      <c r="C301" s="72"/>
      <c r="D301" s="72"/>
      <c r="E301" s="72"/>
      <c r="F301" s="72"/>
      <c r="G301" s="72"/>
      <c r="H301" s="2269"/>
      <c r="I301" s="2269"/>
      <c r="J301" s="2269"/>
      <c r="K301" s="2269"/>
      <c r="L301" s="2269"/>
      <c r="M301" s="2269"/>
      <c r="N301" s="2269"/>
      <c r="O301" s="2269"/>
      <c r="P301" s="2269"/>
      <c r="Q301" s="2269"/>
      <c r="R301" s="2269"/>
      <c r="S301" s="72"/>
      <c r="T301" s="72" t="s">
        <v>112</v>
      </c>
      <c r="U301" s="72"/>
      <c r="V301" s="72"/>
      <c r="W301" s="72"/>
      <c r="X301" s="72"/>
      <c r="Y301" s="72"/>
      <c r="Z301" s="18"/>
      <c r="AA301" s="2269"/>
      <c r="AB301" s="2269"/>
      <c r="AC301" s="2269"/>
      <c r="AD301" s="2269"/>
      <c r="AE301" s="2269"/>
      <c r="AF301" s="2269"/>
      <c r="AG301" s="2269"/>
      <c r="AH301" s="2269"/>
      <c r="AI301" s="2269"/>
      <c r="AJ301" s="2269"/>
      <c r="AK301" s="2269"/>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595"/>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8" customHeight="1">
      <c r="A304" s="165"/>
      <c r="B304" s="72" t="s">
        <v>772</v>
      </c>
      <c r="C304" s="72"/>
      <c r="D304" s="72"/>
      <c r="E304" s="72"/>
      <c r="F304" s="72"/>
      <c r="G304" s="16"/>
      <c r="H304" s="1719"/>
      <c r="I304" s="1719"/>
      <c r="J304" s="1719"/>
      <c r="K304" s="1719"/>
      <c r="L304" s="1719"/>
      <c r="M304" s="1719"/>
      <c r="N304" s="1719"/>
      <c r="O304" s="1719"/>
      <c r="P304" s="1719"/>
      <c r="Q304" s="1719"/>
      <c r="R304" s="1719"/>
      <c r="S304" s="16"/>
      <c r="T304" s="72" t="s">
        <v>772</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8" customHeight="1">
      <c r="A305" s="165"/>
      <c r="B305" s="72" t="s">
        <v>110</v>
      </c>
      <c r="C305" s="72"/>
      <c r="D305" s="72"/>
      <c r="E305" s="72"/>
      <c r="F305" s="72"/>
      <c r="G305" s="16"/>
      <c r="H305" s="1719"/>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8" customHeight="1">
      <c r="A306" s="165"/>
      <c r="B306" s="72" t="s">
        <v>424</v>
      </c>
      <c r="C306" s="72"/>
      <c r="D306" s="72"/>
      <c r="E306" s="72"/>
      <c r="F306" s="72"/>
      <c r="G306" s="16"/>
      <c r="H306" s="1719"/>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8" customHeight="1">
      <c r="A307" s="165"/>
      <c r="B307" s="72" t="s">
        <v>425</v>
      </c>
      <c r="C307" s="72"/>
      <c r="D307" s="72"/>
      <c r="E307" s="72"/>
      <c r="F307" s="72"/>
      <c r="G307" s="72"/>
      <c r="H307" s="1591"/>
      <c r="I307" s="1591"/>
      <c r="J307" s="1591"/>
      <c r="K307" s="1591"/>
      <c r="L307" s="1591"/>
      <c r="M307" s="1591"/>
      <c r="N307" s="8" t="s">
        <v>907</v>
      </c>
      <c r="O307" s="8"/>
      <c r="P307" s="1593"/>
      <c r="Q307" s="1593"/>
      <c r="R307" s="1593"/>
      <c r="S307" s="72"/>
      <c r="T307" s="72" t="s">
        <v>425</v>
      </c>
      <c r="U307" s="16"/>
      <c r="V307" s="72"/>
      <c r="W307" s="72"/>
      <c r="X307" s="72"/>
      <c r="Y307" s="72"/>
      <c r="Z307" s="16"/>
      <c r="AA307" s="1591"/>
      <c r="AB307" s="1591"/>
      <c r="AC307" s="1591"/>
      <c r="AD307" s="1591"/>
      <c r="AE307" s="1591"/>
      <c r="AF307" s="1591"/>
      <c r="AG307" s="8" t="s">
        <v>907</v>
      </c>
      <c r="AH307" s="8"/>
      <c r="AI307" s="1593"/>
      <c r="AJ307" s="1593"/>
      <c r="AK307" s="1593"/>
      <c r="AL307" s="25"/>
      <c r="AM307" s="149"/>
      <c r="AN307" s="457"/>
    </row>
    <row r="308" spans="1:40" s="46" customFormat="1" ht="12.8" customHeight="1">
      <c r="A308" s="165"/>
      <c r="B308" s="72" t="s">
        <v>99</v>
      </c>
      <c r="C308" s="72"/>
      <c r="D308" s="72"/>
      <c r="E308" s="72"/>
      <c r="F308" s="72"/>
      <c r="G308" s="72"/>
      <c r="H308" s="1719"/>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8" customHeight="1">
      <c r="A309" s="165"/>
      <c r="B309" s="72" t="s">
        <v>101</v>
      </c>
      <c r="C309" s="72"/>
      <c r="D309" s="72"/>
      <c r="E309" s="72"/>
      <c r="F309" s="72"/>
      <c r="G309" s="72"/>
      <c r="H309" s="1719"/>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8" customHeight="1">
      <c r="A310" s="165"/>
      <c r="B310" s="72" t="s">
        <v>112</v>
      </c>
      <c r="C310" s="72"/>
      <c r="D310" s="72"/>
      <c r="E310" s="72"/>
      <c r="F310" s="72"/>
      <c r="G310" s="72"/>
      <c r="H310" s="2269"/>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8" customHeight="1">
      <c r="A313" s="165"/>
      <c r="B313" s="72" t="s">
        <v>772</v>
      </c>
      <c r="C313" s="72"/>
      <c r="D313" s="72"/>
      <c r="E313" s="72"/>
      <c r="F313" s="72"/>
      <c r="G313" s="16"/>
      <c r="H313" s="1719"/>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8"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8"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8" customHeight="1">
      <c r="A316" s="165"/>
      <c r="B316" s="72" t="s">
        <v>425</v>
      </c>
      <c r="C316" s="72"/>
      <c r="D316" s="72"/>
      <c r="E316" s="72"/>
      <c r="F316" s="72"/>
      <c r="G316" s="72"/>
      <c r="H316" s="1591"/>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8"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8"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8" customHeight="1">
      <c r="A319" s="165"/>
      <c r="B319" s="72" t="s">
        <v>112</v>
      </c>
      <c r="C319" s="72"/>
      <c r="D319" s="72"/>
      <c r="E319" s="72"/>
      <c r="F319" s="72"/>
      <c r="G319" s="72"/>
      <c r="H319" s="2269"/>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8"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8"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8"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8"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8"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8"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8" customHeight="1">
      <c r="A332" s="164"/>
      <c r="B332" s="173"/>
      <c r="C332" s="2271" t="s">
        <v>2149</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8" customHeight="1">
      <c r="A340" s="175"/>
      <c r="B340" s="176"/>
      <c r="C340" s="2271" t="s">
        <v>2150</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8"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8"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8"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8" customHeight="1">
      <c r="A345" s="175"/>
      <c r="B345" s="156"/>
      <c r="C345" s="2271" t="s">
        <v>2151</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8"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8"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8" customHeight="1">
      <c r="A348" s="175"/>
      <c r="B348" s="156"/>
      <c r="C348" s="2271" t="s">
        <v>2152</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8"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2"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8"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17" t="s">
        <v>1015</v>
      </c>
      <c r="AP352" s="1218">
        <f>IF(C377="Yes",5,0)</f>
        <v>0</v>
      </c>
      <c r="AQ352" s="149"/>
      <c r="AR352" s="149"/>
      <c r="AS352" s="63" t="s">
        <v>2065</v>
      </c>
    </row>
    <row r="353" spans="1:46" s="46" customFormat="1" ht="12.8"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17"/>
      <c r="AP353" s="1218">
        <f>IF(C379="Yes",3,0)</f>
        <v>0</v>
      </c>
      <c r="AQ353" s="149"/>
      <c r="AR353" s="149"/>
      <c r="AS353" s="2268">
        <f>IF(AQ366=0,AQ379,AQ366)</f>
        <v>10</v>
      </c>
      <c r="AT353" s="2268"/>
    </row>
    <row r="354" spans="1:46" s="46" customFormat="1" ht="12.8"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17" t="s">
        <v>1016</v>
      </c>
      <c r="AP354" s="1218">
        <f>IF(C387="Yes",5,0)</f>
        <v>0</v>
      </c>
      <c r="AS354" s="63" t="s">
        <v>2105</v>
      </c>
    </row>
    <row r="355" spans="1:46" s="46" customFormat="1" ht="12.8"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17"/>
      <c r="AP355" s="1218">
        <f>IF(C389="Yes",3,0)</f>
        <v>0</v>
      </c>
      <c r="AS355" s="2268">
        <f>IF(AND(AQ366&gt;0,AQ379&gt;0),(AQ366+AQ379)/2,0)</f>
        <v>0</v>
      </c>
      <c r="AT355" s="2268"/>
    </row>
    <row r="356" spans="1:46" s="46" customFormat="1" ht="12.8"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17" t="s">
        <v>1022</v>
      </c>
      <c r="AP356" s="1218">
        <f>IF(C396="Yes",7,0)</f>
        <v>7</v>
      </c>
      <c r="AQ356" s="149"/>
      <c r="AR356" s="149"/>
    </row>
    <row r="357" spans="1:46" s="46" customFormat="1" ht="12.8" customHeight="1">
      <c r="A357" s="175"/>
      <c r="B357" s="156"/>
      <c r="C357" s="2271" t="s">
        <v>2153</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18">
        <f>IF(C398="Yes",5,0)</f>
        <v>0</v>
      </c>
    </row>
    <row r="358" spans="1:46" s="46" customFormat="1" ht="12.8"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18">
        <f>IF(C400="Yes",3,0)</f>
        <v>0</v>
      </c>
    </row>
    <row r="359" spans="1:46" s="46" customFormat="1" ht="12.8"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17" t="s">
        <v>485</v>
      </c>
      <c r="AP359" s="1218">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18">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18">
        <f>IF(C412="Yes",2,0)</f>
        <v>0</v>
      </c>
    </row>
    <row r="362" spans="1:46" s="46" customFormat="1" ht="12.8"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17" t="s">
        <v>189</v>
      </c>
      <c r="AP362" s="1218">
        <f>IF(C415="Yes",5,0)</f>
        <v>0</v>
      </c>
    </row>
    <row r="363" spans="1:46" s="46" customFormat="1" ht="12.8"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17" t="s">
        <v>488</v>
      </c>
      <c r="AP363" s="1218">
        <f>IF(C424="Yes",5,0)</f>
        <v>0</v>
      </c>
    </row>
    <row r="364" spans="1:46" s="46" customFormat="1" ht="12.8" customHeight="1">
      <c r="A364" s="175"/>
      <c r="B364" s="156"/>
      <c r="C364" s="2271" t="s">
        <v>2154</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18">
        <f>IF(C426="Yes",3,0)</f>
        <v>0</v>
      </c>
    </row>
    <row r="365" spans="1:46" s="46" customFormat="1" ht="12.8"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19"/>
      <c r="AP365" s="1220">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8"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7">
        <f>'Service Amenities Budget'!J10</f>
        <v>324</v>
      </c>
      <c r="V368" s="2457"/>
      <c r="W368" s="245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8">
        <f>'Service Amenities Budget'!J9</f>
        <v>0</v>
      </c>
      <c r="V369" s="2458"/>
      <c r="W369" s="2458"/>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8"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8"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8"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8"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8"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8"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8"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8"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8"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8"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8"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3"/>
      <c r="AO464" s="174"/>
      <c r="AP464" s="174"/>
      <c r="AQ464" s="261"/>
    </row>
    <row r="465" spans="1:54" s="149" customFormat="1" ht="12.8"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8"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196"/>
      <c r="AO468" s="46" t="s">
        <v>1502</v>
      </c>
      <c r="AP468" s="46">
        <v>5</v>
      </c>
      <c r="AQ468" s="263"/>
    </row>
    <row r="469" spans="1:54" s="46" customFormat="1" ht="12.8"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8"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8"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8"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8"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8"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1418</v>
      </c>
      <c r="AF486" s="2290"/>
      <c r="AG486" s="2290"/>
      <c r="AH486" s="2290"/>
      <c r="AI486" s="2290"/>
      <c r="AJ486" s="2290"/>
      <c r="AK486" s="2290"/>
      <c r="AL486" s="1352"/>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185" t="s">
        <v>136</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8"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8" customHeight="1">
      <c r="A494" s="28"/>
      <c r="C494" s="1275"/>
      <c r="D494" s="1256"/>
      <c r="E494" s="1276"/>
      <c r="F494" s="2190" t="s">
        <v>136</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8"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8"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8"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8"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9" t="s">
        <v>730</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8"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1" t="s">
        <v>1714</v>
      </c>
      <c r="AQ516" s="2432"/>
      <c r="AR516" s="2433"/>
      <c r="AS516" s="1027">
        <v>80</v>
      </c>
      <c r="AT516" s="46">
        <v>0</v>
      </c>
      <c r="AU516" s="255">
        <v>10</v>
      </c>
      <c r="AV516" s="255">
        <v>25</v>
      </c>
      <c r="AW516" s="255">
        <v>37.5</v>
      </c>
      <c r="AX516" s="255">
        <v>35</v>
      </c>
      <c r="AY516" s="255">
        <v>37.5</v>
      </c>
      <c r="AZ516" s="255">
        <v>50</v>
      </c>
      <c r="BA516" s="255">
        <v>50</v>
      </c>
      <c r="BB516" s="65"/>
      <c r="BC516" s="65"/>
      <c r="BE516" s="2431" t="s">
        <v>1714</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2" t="s">
        <v>136</v>
      </c>
      <c r="G522" s="2312"/>
      <c r="H522" s="2312"/>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314" t="s">
        <v>136</v>
      </c>
      <c r="D529" s="231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314" t="s">
        <v>136</v>
      </c>
      <c r="D533" s="2315"/>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6">
        <f>BJ537</f>
        <v>184</v>
      </c>
      <c r="BE533" s="2456"/>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1"/>
      <c r="D534" s="1294"/>
      <c r="E534" s="1276"/>
      <c r="F534" s="1302"/>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6">
        <f>SUM(E590:J598)</f>
        <v>184</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184</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8"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1</v>
      </c>
      <c r="CB538" s="2336"/>
      <c r="CC538" s="2302"/>
      <c r="CD538" s="2303"/>
      <c r="CE538" s="2302"/>
      <c r="CF538" s="2303"/>
      <c r="CG538" s="16"/>
      <c r="CH538" s="16"/>
      <c r="CI538" s="16"/>
      <c r="CJ538" s="16"/>
      <c r="CW538" s="16"/>
    </row>
    <row r="539" spans="1:122" s="46" customFormat="1" ht="12.8"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1</v>
      </c>
      <c r="CD539" s="2303"/>
      <c r="CE539" s="2302">
        <f>IF(Y619&gt;=0.1,1,0)</f>
        <v>0</v>
      </c>
      <c r="CF539" s="2303"/>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1</v>
      </c>
      <c r="BR540" s="2303"/>
      <c r="BS540" s="2302">
        <f>SUM(BS535:BT539)</f>
        <v>1</v>
      </c>
      <c r="BT540" s="2303"/>
      <c r="BU540" s="2302">
        <f>SUM(BU535:BV539)</f>
        <v>1</v>
      </c>
      <c r="BV540" s="2303"/>
      <c r="BW540" s="2302">
        <f>SUM(BW535:BX539)</f>
        <v>1</v>
      </c>
      <c r="BX540" s="2303"/>
      <c r="BY540" s="2302">
        <f>SUM(BY535:BZ539)</f>
        <v>1</v>
      </c>
      <c r="BZ540" s="2303"/>
      <c r="CA540" s="2302">
        <f>SUM(CA535:CB539)</f>
        <v>1</v>
      </c>
      <c r="CB540" s="2303"/>
      <c r="CC540" s="2302">
        <f>SUM(CC535:CD539)</f>
        <v>1</v>
      </c>
      <c r="CD540" s="2303"/>
      <c r="CE540" s="2302">
        <f>SUM(CE535:CF539)</f>
        <v>0</v>
      </c>
      <c r="CF540" s="2303"/>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2</v>
      </c>
      <c r="BR541" s="2343"/>
      <c r="BS541" s="2343"/>
      <c r="BT541" s="2326"/>
      <c r="BU541" s="2325">
        <f>SUM(BU540:BX540)</f>
        <v>2</v>
      </c>
      <c r="BV541" s="2343"/>
      <c r="BW541" s="2343"/>
      <c r="BX541" s="2326"/>
      <c r="BY541" s="2325">
        <f>SUM(BY540:CB540)</f>
        <v>2</v>
      </c>
      <c r="BZ541" s="2343"/>
      <c r="CA541" s="2343"/>
      <c r="CB541" s="2326"/>
      <c r="CC541" s="2325">
        <f>SUM(CC540:CF540)</f>
        <v>1</v>
      </c>
      <c r="CD541" s="2343"/>
      <c r="CE541" s="2343"/>
      <c r="CF541" s="2326"/>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3</v>
      </c>
      <c r="AQ543" s="2367"/>
      <c r="AR543" s="2367"/>
      <c r="AS543" s="2367"/>
      <c r="AT543" s="2368"/>
      <c r="AU543" s="2366">
        <f>RANK(Y616,$Y$615:$AC$619,0)+COUNTIF($Y$615:$AC$619,Y616)-1</f>
        <v>1</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3</v>
      </c>
      <c r="AQ544" s="2367"/>
      <c r="AR544" s="2367"/>
      <c r="AS544" s="2367"/>
      <c r="AT544" s="2368"/>
      <c r="AU544" s="2366">
        <f>RANK(Y617,$Y$615:$AC$619,0)+COUNTIF($Y$615:$AC$619,Y617)-1</f>
        <v>3</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1</v>
      </c>
      <c r="AQ545" s="2367"/>
      <c r="AR545" s="2367"/>
      <c r="AS545" s="2367"/>
      <c r="AT545" s="2368"/>
      <c r="AU545" s="2366">
        <f>RANK(Y618,$Y$615:$AC$619,0)+COUNTIF($Y$615:$AC$619,Y618)-1</f>
        <v>2</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4</v>
      </c>
      <c r="AQ546" s="2367"/>
      <c r="AR546" s="2367"/>
      <c r="AS546" s="2367"/>
      <c r="AT546" s="2368"/>
      <c r="AU546" s="2366">
        <f>RANK(Y619,$Y$615:$AC$619,0)+COUNTIF($Y$615:$AC$619,Y619)-1</f>
        <v>4</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0</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2">
        <f>SUM(O615:S619)</f>
        <v>184</v>
      </c>
      <c r="AZ550" s="2303"/>
      <c r="CG550" s="35"/>
      <c r="CH550" s="2344" t="s">
        <v>855</v>
      </c>
      <c r="CI550" s="2345"/>
      <c r="CJ550" s="2345"/>
      <c r="CK550" s="2346"/>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7"/>
      <c r="CI552" s="2348"/>
      <c r="CJ552" s="2348"/>
      <c r="CK552" s="2349"/>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5" t="s">
        <v>250</v>
      </c>
      <c r="BF553" s="2343"/>
      <c r="BG553" s="2343"/>
      <c r="BH553" s="2326"/>
      <c r="BI553" s="2325" t="s">
        <v>790</v>
      </c>
      <c r="BJ553" s="2343"/>
      <c r="BK553" s="2343"/>
      <c r="BL553" s="2326"/>
      <c r="BM553" s="2325" t="s">
        <v>791</v>
      </c>
      <c r="BN553" s="2343"/>
      <c r="BO553" s="2343"/>
      <c r="BP553" s="2326"/>
      <c r="BQ553" s="2325" t="s">
        <v>792</v>
      </c>
      <c r="BR553" s="2343"/>
      <c r="BS553" s="2343"/>
      <c r="BT553" s="2326"/>
      <c r="BU553" s="2325" t="s">
        <v>793</v>
      </c>
      <c r="BV553" s="2343"/>
      <c r="BW553" s="2343"/>
      <c r="BX553" s="2326"/>
      <c r="BY553" s="2325" t="s">
        <v>251</v>
      </c>
      <c r="BZ553" s="2343"/>
      <c r="CA553" s="2343"/>
      <c r="CB553" s="2326"/>
      <c r="CC553" s="16"/>
      <c r="CG553" s="16"/>
      <c r="CH553" s="2347"/>
      <c r="CI553" s="2348"/>
      <c r="CJ553" s="2348"/>
      <c r="CK553" s="2349"/>
    </row>
    <row r="554" spans="1:89" s="46" customFormat="1" ht="12.8"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8"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69">
        <f>ROUNDUP(BK577*0.1,0)</f>
        <v>19</v>
      </c>
      <c r="AV555" s="2371"/>
      <c r="AW555" s="722"/>
      <c r="AX555" s="722">
        <f>AU555-AP557</f>
        <v>0</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8"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8"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19</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0</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8"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1</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2">
        <f>SUM(BE554:BH558)</f>
        <v>0</v>
      </c>
      <c r="BF559" s="2308"/>
      <c r="BG559" s="2308"/>
      <c r="BH559" s="2303"/>
      <c r="BI559" s="2302">
        <f>SUM(BI554:BL558)</f>
        <v>0</v>
      </c>
      <c r="BJ559" s="2308"/>
      <c r="BK559" s="2308"/>
      <c r="BL559" s="2303"/>
      <c r="BM559" s="2302">
        <f>SUM(BM554:BP558)</f>
        <v>0</v>
      </c>
      <c r="BN559" s="2308"/>
      <c r="BO559" s="2308"/>
      <c r="BP559" s="2303"/>
      <c r="BQ559" s="2302">
        <f>SUM(BQ554:BT558)</f>
        <v>0</v>
      </c>
      <c r="BR559" s="2308"/>
      <c r="BS559" s="2308"/>
      <c r="BT559" s="2303"/>
      <c r="BU559" s="2302">
        <f>SUM(BU554:BX558)</f>
        <v>1</v>
      </c>
      <c r="BV559" s="2308"/>
      <c r="BW559" s="2308"/>
      <c r="BX559" s="2303"/>
      <c r="BY559" s="2302">
        <f>SUM(BY554:CB558)</f>
        <v>0</v>
      </c>
      <c r="BZ559" s="2308"/>
      <c r="CA559" s="2308"/>
      <c r="CB559" s="2303"/>
      <c r="CC559" s="2325">
        <f>IF(AND(CH555=1,T615&gt;0),0,SUM(BE559:CB559))</f>
        <v>1</v>
      </c>
      <c r="CD559" s="2343"/>
      <c r="CE559" s="2343"/>
      <c r="CF559" s="2326"/>
      <c r="CG559" s="16"/>
      <c r="CH559" s="2325">
        <f>IF(OR(Y619=0,Y619&gt;=0.1),1,0)</f>
        <v>0</v>
      </c>
      <c r="CI559" s="2343"/>
      <c r="CJ559" s="2343"/>
      <c r="CK559" s="2326"/>
    </row>
    <row r="560" spans="1:89" s="149" customFormat="1" ht="12.4" customHeight="1">
      <c r="A560" s="28"/>
      <c r="B560" s="2365" t="s">
        <v>1715</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0.95"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65" t="s">
        <v>2048</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679</v>
      </c>
      <c r="AU563" s="245"/>
      <c r="AV563" s="2302" t="str">
        <f>IF(BJ599&gt;0,"failed","passed")</f>
        <v>failed</v>
      </c>
      <c r="AW563" s="2308"/>
      <c r="AX563" s="2308"/>
      <c r="AY563" s="2303"/>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445" t="s">
        <v>1716</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39" t="s">
        <v>2047</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787</v>
      </c>
      <c r="AQ569" s="91"/>
      <c r="AR569" s="91"/>
      <c r="AS569" s="91"/>
      <c r="AT569" s="2325" t="str">
        <f>IF(OR(AV563="passed",BD567="passed"),"passed","failed")</f>
        <v>passed</v>
      </c>
      <c r="AU569" s="2343"/>
      <c r="AV569" s="2343"/>
      <c r="AW569" s="2343"/>
      <c r="AX569" s="2326"/>
    </row>
    <row r="570" spans="1:91" s="46" customFormat="1" ht="12.8"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680</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8"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8"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3" t="s">
        <v>788</v>
      </c>
      <c r="BB574" s="2354"/>
      <c r="BC574" s="2354"/>
      <c r="BD574" s="2354"/>
      <c r="BE574" s="2355"/>
      <c r="BF574" s="2362">
        <f>SUM(O615:S619)</f>
        <v>184</v>
      </c>
      <c r="BG574" s="2363"/>
      <c r="BH574" s="2363"/>
      <c r="BI574" s="2363"/>
      <c r="BJ574" s="2364"/>
      <c r="BK574" s="2200">
        <f>SUM(T615:X619)</f>
        <v>19</v>
      </c>
      <c r="BL574" s="2201"/>
      <c r="BM574" s="2201"/>
      <c r="BN574" s="2201"/>
      <c r="BO574" s="2202"/>
    </row>
    <row r="575" spans="1:91" s="46" customFormat="1" ht="12.8" customHeight="1">
      <c r="A575" s="28"/>
      <c r="B575" s="57"/>
      <c r="C575" s="28"/>
      <c r="I575" s="2250" t="s">
        <v>1714</v>
      </c>
      <c r="J575" s="2251"/>
      <c r="K575" s="2251"/>
      <c r="L575" s="2251"/>
      <c r="M575" s="2251"/>
      <c r="N575" s="2252"/>
      <c r="O575" s="2188">
        <v>0.5</v>
      </c>
      <c r="P575" s="2189"/>
      <c r="Q575" s="2443"/>
      <c r="R575" s="2235"/>
      <c r="S575" s="2211"/>
      <c r="T575" s="2211"/>
      <c r="U575" s="2437" t="s">
        <v>1718</v>
      </c>
      <c r="V575" s="2437"/>
      <c r="W575" s="2444">
        <v>37.5</v>
      </c>
      <c r="X575" s="2444"/>
      <c r="Y575" s="2235"/>
      <c r="Z575" s="2235"/>
      <c r="AA575" s="2444"/>
      <c r="AB575" s="2444"/>
      <c r="AC575" s="2235"/>
      <c r="AD575" s="2235"/>
      <c r="AE575" s="2435"/>
      <c r="AF575" s="2436"/>
      <c r="AN575" s="457"/>
      <c r="CL575" s="16"/>
      <c r="CM575" s="16"/>
    </row>
    <row r="576" spans="1:91" s="46" customFormat="1" ht="12.8"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8"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184</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8"/>
      <c r="BL579" s="2318"/>
      <c r="BM579" s="2318"/>
      <c r="BN579" s="1789"/>
      <c r="BO579" s="1788">
        <v>4</v>
      </c>
      <c r="BP579" s="2318"/>
      <c r="BQ579" s="2318"/>
      <c r="BR579" s="2318"/>
      <c r="BS579" s="1789"/>
      <c r="BT579" s="1788">
        <v>3</v>
      </c>
      <c r="BU579" s="2318"/>
      <c r="BV579" s="2318"/>
      <c r="BW579" s="2318"/>
      <c r="BX579" s="1789"/>
      <c r="BY579" s="1788">
        <v>2</v>
      </c>
      <c r="BZ579" s="2318"/>
      <c r="CA579" s="2318"/>
      <c r="CB579" s="2318"/>
      <c r="CC579" s="1789"/>
      <c r="CD579" s="1788">
        <v>1</v>
      </c>
      <c r="CE579" s="2318"/>
      <c r="CF579" s="2318"/>
      <c r="CG579" s="2318"/>
      <c r="CH579" s="1789"/>
      <c r="CI579" s="1788">
        <v>0</v>
      </c>
      <c r="CJ579" s="2318"/>
      <c r="CK579" s="2318"/>
      <c r="CL579" s="2318"/>
      <c r="CM579" s="1789"/>
      <c r="CN579" s="65"/>
      <c r="CO579" s="65"/>
      <c r="CP579" s="65"/>
      <c r="CQ579" s="65"/>
      <c r="CR579" s="65"/>
    </row>
    <row r="580" spans="1:96" s="46" customFormat="1" ht="12.8"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17">
        <f t="shared" ref="BE580:BE585" si="3">Y614</f>
        <v>0</v>
      </c>
      <c r="BF580" s="1918"/>
      <c r="BG580" s="1918"/>
      <c r="BH580" s="1918"/>
      <c r="BI580" s="1919"/>
      <c r="BJ580" s="1788">
        <f>IF(OR(AP590=0,BE580&gt;=0.1),0,1)</f>
        <v>0</v>
      </c>
      <c r="BK580" s="2318"/>
      <c r="BL580" s="2318"/>
      <c r="BM580" s="2318"/>
      <c r="BN580" s="1789"/>
      <c r="BO580" s="1788"/>
      <c r="BP580" s="2318"/>
      <c r="BQ580" s="2318"/>
      <c r="BR580" s="2318"/>
      <c r="BS580" s="1789"/>
      <c r="BT580" s="1788"/>
      <c r="BU580" s="2318"/>
      <c r="BV580" s="2318"/>
      <c r="BW580" s="2318"/>
      <c r="BX580" s="1789"/>
      <c r="BY580" s="1788"/>
      <c r="BZ580" s="2318"/>
      <c r="CA580" s="2318"/>
      <c r="CB580" s="2318"/>
      <c r="CC580" s="1789"/>
      <c r="CD580" s="1788"/>
      <c r="CE580" s="2318"/>
      <c r="CF580" s="2318"/>
      <c r="CG580" s="2318"/>
      <c r="CH580" s="1789"/>
      <c r="CI580" s="1788"/>
      <c r="CJ580" s="2318"/>
      <c r="CK580" s="2318"/>
      <c r="CL580" s="2318"/>
      <c r="CM580" s="1789"/>
      <c r="CN580" s="65"/>
      <c r="CO580" s="65"/>
      <c r="CP580" s="65"/>
      <c r="CQ580" s="65"/>
      <c r="CR580" s="65"/>
    </row>
    <row r="581" spans="1:96" s="46" customFormat="1" ht="12.8" customHeight="1">
      <c r="A581" s="207"/>
      <c r="B581" s="8"/>
      <c r="C581" s="8"/>
      <c r="D581" s="8"/>
      <c r="E581" s="8"/>
      <c r="I581" s="2250"/>
      <c r="J581" s="2251"/>
      <c r="K581" s="2251"/>
      <c r="L581" s="2251"/>
      <c r="M581" s="2251"/>
      <c r="N581" s="2252"/>
      <c r="O581" s="2188">
        <v>0.2</v>
      </c>
      <c r="P581" s="2189"/>
      <c r="Q581" s="2210"/>
      <c r="R581" s="2211"/>
      <c r="S581" s="2298" t="s">
        <v>2054</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17">
        <f t="shared" si="3"/>
        <v>0</v>
      </c>
      <c r="BF581" s="1918"/>
      <c r="BG581" s="1918"/>
      <c r="BH581" s="1918"/>
      <c r="BI581" s="1919"/>
      <c r="BJ581" s="1788"/>
      <c r="BK581" s="2318"/>
      <c r="BL581" s="2318"/>
      <c r="BM581" s="2318"/>
      <c r="BN581" s="1789"/>
      <c r="BO581" s="1788">
        <f>IF(AND(AND(AZ580=0,BJ580=0,AP591=1)),1,0)</f>
        <v>0</v>
      </c>
      <c r="BP581" s="2318"/>
      <c r="BQ581" s="2318"/>
      <c r="BR581" s="2318"/>
      <c r="BS581" s="1789"/>
      <c r="BT581" s="1788"/>
      <c r="BU581" s="2318"/>
      <c r="BV581" s="2318"/>
      <c r="BW581" s="2318"/>
      <c r="BX581" s="1789"/>
      <c r="BY581" s="1788"/>
      <c r="BZ581" s="2318"/>
      <c r="CA581" s="2318"/>
      <c r="CB581" s="2318"/>
      <c r="CC581" s="1789"/>
      <c r="CD581" s="1788"/>
      <c r="CE581" s="2318"/>
      <c r="CF581" s="2318"/>
      <c r="CG581" s="2318"/>
      <c r="CH581" s="1789"/>
      <c r="CI581" s="1788"/>
      <c r="CJ581" s="2318"/>
      <c r="CK581" s="2318"/>
      <c r="CL581" s="2318"/>
      <c r="CM581" s="1789"/>
      <c r="CN581" s="65"/>
      <c r="CO581" s="65"/>
      <c r="CP581" s="65"/>
      <c r="CQ581" s="65"/>
      <c r="CR581" s="65"/>
    </row>
    <row r="582" spans="1:96" s="46" customFormat="1" ht="12.8"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46</v>
      </c>
      <c r="AV582" s="2306"/>
      <c r="AW582" s="2306"/>
      <c r="AX582" s="2306"/>
      <c r="AY582" s="2307"/>
      <c r="AZ582" s="2305">
        <f t="shared" si="2"/>
        <v>5</v>
      </c>
      <c r="BA582" s="2306"/>
      <c r="BB582" s="2306"/>
      <c r="BC582" s="2306"/>
      <c r="BD582" s="2307"/>
      <c r="BE582" s="1917">
        <f t="shared" si="3"/>
        <v>0.10869565217391304</v>
      </c>
      <c r="BF582" s="1918"/>
      <c r="BG582" s="1918"/>
      <c r="BH582" s="1918"/>
      <c r="BI582" s="1919"/>
      <c r="BJ582" s="1788"/>
      <c r="BK582" s="2318"/>
      <c r="BL582" s="2318"/>
      <c r="BM582" s="2318"/>
      <c r="BN582" s="1789"/>
      <c r="BO582" s="1788"/>
      <c r="BP582" s="2318"/>
      <c r="BQ582" s="2318"/>
      <c r="BR582" s="2318"/>
      <c r="BS582" s="1789"/>
      <c r="BT582" s="1788">
        <f>IF(AND(AND(AZ580+AZ581=0,BJ580+BO581=0,AP592=1)),1,0)</f>
        <v>0</v>
      </c>
      <c r="BU582" s="2318"/>
      <c r="BV582" s="2318"/>
      <c r="BW582" s="2318"/>
      <c r="BX582" s="1789"/>
      <c r="BY582" s="1788"/>
      <c r="BZ582" s="2318"/>
      <c r="CA582" s="2318"/>
      <c r="CB582" s="2318"/>
      <c r="CC582" s="1789"/>
      <c r="CD582" s="1788"/>
      <c r="CE582" s="2318"/>
      <c r="CF582" s="2318"/>
      <c r="CG582" s="2318"/>
      <c r="CH582" s="1789"/>
      <c r="CI582" s="1788"/>
      <c r="CJ582" s="2318"/>
      <c r="CK582" s="2318"/>
      <c r="CL582" s="2318"/>
      <c r="CM582" s="1789"/>
      <c r="CN582" s="65"/>
      <c r="CO582" s="65"/>
      <c r="CP582" s="65"/>
      <c r="CQ582" s="65"/>
      <c r="CR582" s="65"/>
    </row>
    <row r="583" spans="1:96" s="46" customFormat="1" ht="12.8" customHeight="1" thickBot="1">
      <c r="B583" s="8"/>
      <c r="C583" s="8"/>
      <c r="D583" s="8"/>
      <c r="E583" s="8"/>
      <c r="I583" s="2253"/>
      <c r="J583" s="2254"/>
      <c r="K583" s="2254"/>
      <c r="L583" s="2254"/>
      <c r="M583" s="2254"/>
      <c r="N583" s="2255"/>
      <c r="O583" s="2188">
        <v>0.1</v>
      </c>
      <c r="P583" s="2189"/>
      <c r="Q583" s="2296"/>
      <c r="R583" s="2297"/>
      <c r="S583" s="2217" t="s">
        <v>2053</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48</v>
      </c>
      <c r="AV583" s="2306"/>
      <c r="AW583" s="2306"/>
      <c r="AX583" s="2306"/>
      <c r="AY583" s="2307"/>
      <c r="AZ583" s="2305">
        <f t="shared" si="2"/>
        <v>5</v>
      </c>
      <c r="BA583" s="2306"/>
      <c r="BB583" s="2306"/>
      <c r="BC583" s="2306"/>
      <c r="BD583" s="2307"/>
      <c r="BE583" s="1917">
        <f t="shared" si="3"/>
        <v>0.10416666666666667</v>
      </c>
      <c r="BF583" s="1918"/>
      <c r="BG583" s="1918"/>
      <c r="BH583" s="1918"/>
      <c r="BI583" s="1919"/>
      <c r="BJ583" s="1788"/>
      <c r="BK583" s="2318"/>
      <c r="BL583" s="2318"/>
      <c r="BM583" s="2318"/>
      <c r="BN583" s="1789"/>
      <c r="BO583" s="1788"/>
      <c r="BP583" s="2318"/>
      <c r="BQ583" s="2318"/>
      <c r="BR583" s="2318"/>
      <c r="BS583" s="1789"/>
      <c r="BT583" s="1788"/>
      <c r="BU583" s="2318"/>
      <c r="BV583" s="2318"/>
      <c r="BW583" s="2318"/>
      <c r="BX583" s="1789"/>
      <c r="BY583" s="1788">
        <f>IF(AND(AND(AZ580+AZ581+AZ582=0,BO581+BT582+BJ580=0,AP593=1)),1,0)</f>
        <v>0</v>
      </c>
      <c r="BZ583" s="2318"/>
      <c r="CA583" s="2318"/>
      <c r="CB583" s="2318"/>
      <c r="CC583" s="1789"/>
      <c r="CD583" s="1788"/>
      <c r="CE583" s="2318"/>
      <c r="CF583" s="2318"/>
      <c r="CG583" s="2318"/>
      <c r="CH583" s="1789"/>
      <c r="CI583" s="1788"/>
      <c r="CJ583" s="2318"/>
      <c r="CK583" s="2318"/>
      <c r="CL583" s="2318"/>
      <c r="CM583" s="1789"/>
      <c r="CN583" s="65"/>
      <c r="CO583" s="65"/>
      <c r="CP583" s="65"/>
      <c r="CQ583" s="65"/>
      <c r="CR583" s="65"/>
    </row>
    <row r="584" spans="1:96" s="46" customFormat="1" ht="12.8"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2" t="str">
        <f t="shared" si="0"/>
        <v>1 BR</v>
      </c>
      <c r="AQ584" s="2323"/>
      <c r="AR584" s="2323"/>
      <c r="AS584" s="2323"/>
      <c r="AT584" s="2324"/>
      <c r="AU584" s="2305">
        <f t="shared" si="1"/>
        <v>66</v>
      </c>
      <c r="AV584" s="2306"/>
      <c r="AW584" s="2306"/>
      <c r="AX584" s="2306"/>
      <c r="AY584" s="2307"/>
      <c r="AZ584" s="2305">
        <f t="shared" si="2"/>
        <v>7</v>
      </c>
      <c r="BA584" s="2306"/>
      <c r="BB584" s="2306"/>
      <c r="BC584" s="2306"/>
      <c r="BD584" s="2307"/>
      <c r="BE584" s="1917">
        <f t="shared" si="3"/>
        <v>0.10606060606060606</v>
      </c>
      <c r="BF584" s="1918"/>
      <c r="BG584" s="1918"/>
      <c r="BH584" s="1918"/>
      <c r="BI584" s="1919"/>
      <c r="BJ584" s="1788"/>
      <c r="BK584" s="2318"/>
      <c r="BL584" s="2318"/>
      <c r="BM584" s="2318"/>
      <c r="BN584" s="1789"/>
      <c r="BO584" s="1788"/>
      <c r="BP584" s="2318"/>
      <c r="BQ584" s="2318"/>
      <c r="BR584" s="2318"/>
      <c r="BS584" s="1789"/>
      <c r="BT584" s="1788"/>
      <c r="BU584" s="2318"/>
      <c r="BV584" s="2318"/>
      <c r="BW584" s="2318"/>
      <c r="BX584" s="1789"/>
      <c r="BY584" s="1788"/>
      <c r="BZ584" s="2318"/>
      <c r="CA584" s="2318"/>
      <c r="CB584" s="2318"/>
      <c r="CC584" s="1789"/>
      <c r="CD584" s="1788">
        <f>IF(AND(AND(BE581+BE582+BE583+BE580=0,BT582+BY583+BO581+BJ580=0,AP594=1)),1,0)</f>
        <v>0</v>
      </c>
      <c r="CE584" s="2318"/>
      <c r="CF584" s="2318"/>
      <c r="CG584" s="2318"/>
      <c r="CH584" s="1789"/>
      <c r="CI584" s="1788"/>
      <c r="CJ584" s="2318"/>
      <c r="CK584" s="2318"/>
      <c r="CL584" s="2318"/>
      <c r="CM584" s="1789"/>
      <c r="CN584" s="65"/>
      <c r="CO584" s="65"/>
      <c r="CP584" s="65"/>
      <c r="CQ584" s="65"/>
      <c r="CR584" s="65"/>
    </row>
    <row r="585" spans="1:96" s="46" customFormat="1" ht="12.8" customHeight="1">
      <c r="E585" s="2423"/>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4"/>
      <c r="AN585" s="457"/>
      <c r="AP585" s="2322" t="str">
        <f t="shared" si="0"/>
        <v>SRO</v>
      </c>
      <c r="AQ585" s="2323"/>
      <c r="AR585" s="2323"/>
      <c r="AS585" s="2323"/>
      <c r="AT585" s="2324"/>
      <c r="AU585" s="2305">
        <f t="shared" si="1"/>
        <v>24</v>
      </c>
      <c r="AV585" s="2306"/>
      <c r="AW585" s="2306"/>
      <c r="AX585" s="2306"/>
      <c r="AY585" s="2307"/>
      <c r="AZ585" s="2305">
        <f t="shared" si="2"/>
        <v>2</v>
      </c>
      <c r="BA585" s="2306"/>
      <c r="BB585" s="2306"/>
      <c r="BC585" s="2306"/>
      <c r="BD585" s="2307"/>
      <c r="BE585" s="1917">
        <f t="shared" si="3"/>
        <v>8.3333333333333329E-2</v>
      </c>
      <c r="BF585" s="1918"/>
      <c r="BG585" s="1918"/>
      <c r="BH585" s="1918"/>
      <c r="BI585" s="1919"/>
      <c r="BJ585" s="1788"/>
      <c r="BK585" s="2318"/>
      <c r="BL585" s="2318"/>
      <c r="BM585" s="2318"/>
      <c r="BN585" s="1789"/>
      <c r="BO585" s="1788"/>
      <c r="BP585" s="2318"/>
      <c r="BQ585" s="2318"/>
      <c r="BR585" s="2318"/>
      <c r="BS585" s="1789"/>
      <c r="BT585" s="1788"/>
      <c r="BU585" s="2318"/>
      <c r="BV585" s="2318"/>
      <c r="BW585" s="2318"/>
      <c r="BX585" s="1789"/>
      <c r="BY585" s="1788"/>
      <c r="BZ585" s="2318"/>
      <c r="CA585" s="2318"/>
      <c r="CB585" s="2318"/>
      <c r="CC585" s="1789"/>
      <c r="CD585" s="1788"/>
      <c r="CE585" s="2318"/>
      <c r="CF585" s="2318"/>
      <c r="CG585" s="2318"/>
      <c r="CH585" s="1789"/>
      <c r="CI585" s="1788">
        <f>IF(AND(AND(AZ582+AZ583+AZ584+AZ581+AZ580=0,BY583+CD584+BT582+BO581+BJ580=0,AP595=1)),1,0)</f>
        <v>0</v>
      </c>
      <c r="CJ585" s="2318"/>
      <c r="CK585" s="2318"/>
      <c r="CL585" s="2318"/>
      <c r="CM585" s="1789"/>
      <c r="CN585" s="65"/>
      <c r="CO585" s="65"/>
      <c r="CP585" s="65"/>
      <c r="CQ585" s="65"/>
      <c r="CR585" s="65"/>
    </row>
    <row r="586" spans="1:96" s="46" customFormat="1" ht="12.8" customHeight="1">
      <c r="E586" s="2464" t="s">
        <v>1724</v>
      </c>
      <c r="F586" s="2465"/>
      <c r="G586" s="2465"/>
      <c r="H586" s="2465"/>
      <c r="I586" s="2465"/>
      <c r="J586" s="2466"/>
      <c r="K586" s="2464" t="s">
        <v>2045</v>
      </c>
      <c r="L586" s="2465"/>
      <c r="M586" s="2465"/>
      <c r="N586" s="2465"/>
      <c r="O586" s="2465"/>
      <c r="P586" s="2466"/>
      <c r="Q586" s="2431" t="s">
        <v>1720</v>
      </c>
      <c r="R586" s="2432"/>
      <c r="S586" s="2432"/>
      <c r="T586" s="2432"/>
      <c r="U586" s="2432"/>
      <c r="V586" s="2433"/>
      <c r="W586" s="2431" t="str">
        <f>I575</f>
        <v>Percent of Low-Income Units (exclusive of manager’s units)</v>
      </c>
      <c r="X586" s="2432"/>
      <c r="Y586" s="2432"/>
      <c r="Z586" s="2432"/>
      <c r="AA586" s="2432"/>
      <c r="AB586" s="2433"/>
      <c r="AC586" s="2431" t="s">
        <v>1723</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88">
        <f>SUM(BJ580:BN585)</f>
        <v>0</v>
      </c>
      <c r="BK586" s="2318"/>
      <c r="BL586" s="2318"/>
      <c r="BM586" s="2318"/>
      <c r="BN586" s="1789"/>
      <c r="BO586" s="1788">
        <f>SUM(BO580:BS585)</f>
        <v>0</v>
      </c>
      <c r="BP586" s="2318"/>
      <c r="BQ586" s="2318"/>
      <c r="BR586" s="2318"/>
      <c r="BS586" s="1789"/>
      <c r="BT586" s="1788">
        <f>SUM(BT580:BX585)</f>
        <v>0</v>
      </c>
      <c r="BU586" s="2318"/>
      <c r="BV586" s="2318"/>
      <c r="BW586" s="2318"/>
      <c r="BX586" s="1789"/>
      <c r="BY586" s="1788">
        <f>SUM(BY580:CC585)</f>
        <v>0</v>
      </c>
      <c r="BZ586" s="2318"/>
      <c r="CA586" s="2318"/>
      <c r="CB586" s="2318"/>
      <c r="CC586" s="1789"/>
      <c r="CD586" s="1788">
        <f>SUM(CD580:CH585)</f>
        <v>0</v>
      </c>
      <c r="CE586" s="2318"/>
      <c r="CF586" s="2318"/>
      <c r="CG586" s="2318"/>
      <c r="CH586" s="1789"/>
      <c r="CI586" s="1788">
        <f>SUM(CI580:CM585)</f>
        <v>0</v>
      </c>
      <c r="CJ586" s="2318"/>
      <c r="CK586" s="2318"/>
      <c r="CL586" s="2318"/>
      <c r="CM586" s="1789"/>
      <c r="CN586" s="1788">
        <f>SUM(BJ586:CM586)</f>
        <v>0</v>
      </c>
      <c r="CO586" s="2318"/>
      <c r="CP586" s="2318"/>
      <c r="CQ586" s="2318"/>
      <c r="CR586" s="1789"/>
    </row>
    <row r="587" spans="1:96" s="46" customFormat="1" ht="12.8"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8"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8"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8"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877</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8" customHeight="1">
      <c r="E591" s="2203">
        <v>19</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10.326086956521738</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19">
        <f t="shared" si="6"/>
        <v>0</v>
      </c>
      <c r="AQ591" s="2320"/>
      <c r="AR591" s="2320"/>
      <c r="AS591" s="2320"/>
      <c r="AT591" s="2321"/>
      <c r="AX591" s="2327" t="s">
        <v>689</v>
      </c>
      <c r="AY591" s="2328"/>
      <c r="AZ591" s="1749" t="s">
        <v>689</v>
      </c>
      <c r="BA591" s="1750"/>
      <c r="BB591" s="2327" t="s">
        <v>294</v>
      </c>
      <c r="BC591" s="2328"/>
      <c r="BD591" s="2325" t="s">
        <v>294</v>
      </c>
      <c r="BE591" s="2326"/>
      <c r="BF591" s="2327" t="s">
        <v>293</v>
      </c>
      <c r="BG591" s="2328"/>
      <c r="BH591" s="2325" t="s">
        <v>293</v>
      </c>
      <c r="BI591" s="2326"/>
      <c r="BJ591" s="2327" t="s">
        <v>292</v>
      </c>
      <c r="BK591" s="2328"/>
      <c r="BL591" s="2325" t="s">
        <v>292</v>
      </c>
      <c r="BM591" s="2326"/>
      <c r="BN591" s="2327" t="s">
        <v>688</v>
      </c>
      <c r="BO591" s="2328"/>
      <c r="BP591" s="2325" t="s">
        <v>688</v>
      </c>
      <c r="BQ591" s="2326"/>
    </row>
    <row r="592" spans="1:96" s="46" customFormat="1" ht="12.8"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8" customHeight="1">
      <c r="E593" s="2203">
        <v>28</v>
      </c>
      <c r="F593" s="2204"/>
      <c r="G593" s="2204"/>
      <c r="H593" s="2204"/>
      <c r="I593" s="2204"/>
      <c r="J593" s="2205"/>
      <c r="K593" s="2200">
        <v>40</v>
      </c>
      <c r="L593" s="2201"/>
      <c r="M593" s="2201"/>
      <c r="N593" s="2201"/>
      <c r="O593" s="2201"/>
      <c r="P593" s="2202"/>
      <c r="Q593" s="2214">
        <f t="shared" si="7"/>
        <v>15.217391304347828</v>
      </c>
      <c r="R593" s="2215"/>
      <c r="S593" s="2215"/>
      <c r="T593" s="2215"/>
      <c r="U593" s="2215"/>
      <c r="V593" s="2216"/>
      <c r="W593" s="2206">
        <f t="shared" si="8"/>
        <v>15</v>
      </c>
      <c r="X593" s="2207"/>
      <c r="Y593" s="2207"/>
      <c r="Z593" s="2207"/>
      <c r="AA593" s="2207"/>
      <c r="AB593" s="2208"/>
      <c r="AC593" s="2206">
        <f t="shared" si="5"/>
        <v>15</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1</v>
      </c>
      <c r="BI593" s="2326"/>
      <c r="BJ593" s="2329"/>
      <c r="BK593" s="2330"/>
      <c r="BL593" s="2325">
        <f>IF(AND(T616&gt;0,AP543&gt;0),1,0)</f>
        <v>1</v>
      </c>
      <c r="BM593" s="2326"/>
      <c r="BN593" s="2329"/>
      <c r="BO593" s="2330"/>
      <c r="BP593" s="2325">
        <f>IF(AND(T616&gt;0,AP543&gt;0),1,0)</f>
        <v>1</v>
      </c>
      <c r="BQ593" s="2326"/>
    </row>
    <row r="594" spans="1:69" s="46" customFormat="1" ht="12.8"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8"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19">
        <f t="shared" si="6"/>
        <v>1</v>
      </c>
      <c r="AQ595" s="2320"/>
      <c r="AR595" s="2320"/>
      <c r="AS595" s="2320"/>
      <c r="AT595" s="2321"/>
      <c r="AX595" s="2329"/>
      <c r="AY595" s="2330"/>
      <c r="AZ595" s="2302"/>
      <c r="BA595" s="2303"/>
      <c r="BB595" s="2329"/>
      <c r="BC595" s="2330"/>
      <c r="BD595" s="2302"/>
      <c r="BE595" s="2303"/>
      <c r="BF595" s="2329"/>
      <c r="BG595" s="2330"/>
      <c r="BH595" s="2302"/>
      <c r="BI595" s="2303"/>
      <c r="BJ595" s="2327">
        <f>IF(AP545=1,1,0)</f>
        <v>1</v>
      </c>
      <c r="BK595" s="2328"/>
      <c r="BL595" s="2329"/>
      <c r="BM595" s="2330"/>
      <c r="BN595" s="2329"/>
      <c r="BO595" s="2330"/>
      <c r="BP595" s="2325">
        <f>IF(AND(T618&gt;0,AP545&gt;0),1,0)</f>
        <v>1</v>
      </c>
      <c r="BQ595" s="2326"/>
    </row>
    <row r="596" spans="1:69" s="46" customFormat="1" ht="12.8" customHeight="1">
      <c r="E596" s="2218">
        <v>75</v>
      </c>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50</v>
      </c>
      <c r="L596" s="2292"/>
      <c r="M596" s="2293" t="s">
        <v>2158</v>
      </c>
      <c r="N596" s="2293"/>
      <c r="O596" s="2293"/>
      <c r="P596" s="2294"/>
      <c r="Q596" s="2214">
        <f t="shared" si="7"/>
        <v>40.760869565217391</v>
      </c>
      <c r="R596" s="2215"/>
      <c r="S596" s="2215"/>
      <c r="T596" s="2215"/>
      <c r="U596" s="2215"/>
      <c r="V596" s="2216"/>
      <c r="W596" s="2206">
        <f>IF(FLOOR(Q596,5)&gt;50,50,FLOOR(Q596,5))</f>
        <v>40</v>
      </c>
      <c r="X596" s="2207"/>
      <c r="Y596" s="2207"/>
      <c r="Z596" s="2207"/>
      <c r="AA596" s="2207"/>
      <c r="AB596" s="2208"/>
      <c r="AC596" s="2206">
        <f>IF(W596&gt;0,INDEX($AT$516:$BA$530,MATCH(W596,$AS$516:$AS$530,0),MATCH(K596,$AT$515:$BA$515,0)),0)</f>
        <v>20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8"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55</v>
      </c>
      <c r="L597" s="2292"/>
      <c r="M597" s="2293" t="s">
        <v>2158</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1</v>
      </c>
      <c r="BI597" s="2326"/>
      <c r="BJ597" s="2327">
        <f>SUM(BJ592:BK596)</f>
        <v>1</v>
      </c>
      <c r="BK597" s="2328"/>
      <c r="BL597" s="2325">
        <f>SUM(BL592:BM596)</f>
        <v>2</v>
      </c>
      <c r="BM597" s="2326"/>
      <c r="BN597" s="2327">
        <f>SUM(BN592:BO596)</f>
        <v>0</v>
      </c>
      <c r="BO597" s="2328"/>
      <c r="BP597" s="2325">
        <f>SUM(BP592:BQ596)</f>
        <v>3</v>
      </c>
      <c r="BQ597" s="2326"/>
    </row>
    <row r="598" spans="1:69" s="46" customFormat="1" ht="12.8" customHeight="1">
      <c r="E598" s="2203">
        <v>62</v>
      </c>
      <c r="F598" s="2204"/>
      <c r="G598" s="2204"/>
      <c r="H598" s="2204"/>
      <c r="I598" s="2204"/>
      <c r="J598" s="2205"/>
      <c r="K598" s="2200" t="s">
        <v>2159</v>
      </c>
      <c r="L598" s="2201"/>
      <c r="M598" s="2201"/>
      <c r="N598" s="2201"/>
      <c r="O598" s="2201"/>
      <c r="P598" s="2202"/>
      <c r="Q598" s="2214">
        <f t="shared" si="7"/>
        <v>33.695652173913047</v>
      </c>
      <c r="R598" s="2215"/>
      <c r="S598" s="2215"/>
      <c r="T598" s="2215"/>
      <c r="U598" s="2215"/>
      <c r="V598" s="2216"/>
      <c r="W598" s="2206">
        <f t="shared" si="8"/>
        <v>30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1</v>
      </c>
      <c r="BK598" s="2332"/>
      <c r="BL598" s="2332"/>
      <c r="BM598" s="2333"/>
      <c r="BN598" s="2331">
        <f>IF(AND(BN597=1,BP597&gt;=1),1,0)</f>
        <v>0</v>
      </c>
      <c r="BO598" s="2332"/>
      <c r="BP598" s="2332"/>
      <c r="BQ598" s="2333"/>
    </row>
    <row r="599" spans="1:69" s="46" customFormat="1" ht="12.8" customHeight="1">
      <c r="E599" s="2393">
        <f>SUM(E590:J598)</f>
        <v>184</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678</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683</v>
      </c>
      <c r="BJ599" s="2331">
        <f>AX598+BB598+BF598+BJ598+BN598</f>
        <v>1</v>
      </c>
      <c r="BK599" s="2332"/>
      <c r="BL599" s="2332"/>
      <c r="BM599" s="2333"/>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26" t="s">
        <v>114</v>
      </c>
      <c r="AH602" s="2226"/>
      <c r="AI602" s="2226"/>
      <c r="AJ602" s="2226"/>
      <c r="AK602" s="8"/>
      <c r="AL602" s="8"/>
      <c r="AM602" s="8"/>
      <c r="AN602" s="457"/>
    </row>
    <row r="603" spans="1:69" s="46" customFormat="1" ht="12.8"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8"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8"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8"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8"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8"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8" customHeight="1">
      <c r="J610" s="2387" t="s">
        <v>878</v>
      </c>
      <c r="K610" s="2388"/>
      <c r="L610" s="2388"/>
      <c r="M610" s="2388"/>
      <c r="N610" s="2389"/>
      <c r="O610" s="2431" t="s">
        <v>1721</v>
      </c>
      <c r="P610" s="2432"/>
      <c r="Q610" s="2432"/>
      <c r="R610" s="2432"/>
      <c r="S610" s="2433"/>
      <c r="T610" s="2431" t="s">
        <v>2056</v>
      </c>
      <c r="U610" s="2432"/>
      <c r="V610" s="2432"/>
      <c r="W610" s="2432"/>
      <c r="X610" s="2433"/>
      <c r="Y610" s="2431" t="s">
        <v>1722</v>
      </c>
      <c r="Z610" s="2432"/>
      <c r="AA610" s="2432"/>
      <c r="AB610" s="2432"/>
      <c r="AC610" s="2433"/>
      <c r="AF610" s="16"/>
      <c r="AG610" s="16"/>
      <c r="AH610" s="16"/>
      <c r="AI610" s="16"/>
      <c r="AJ610" s="16"/>
    </row>
    <row r="611" spans="1:60" ht="12.8"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46</v>
      </c>
      <c r="P616" s="2201"/>
      <c r="Q616" s="2201"/>
      <c r="R616" s="2201"/>
      <c r="S616" s="2202"/>
      <c r="T616" s="2200">
        <f>Application!CT612</f>
        <v>5</v>
      </c>
      <c r="U616" s="2201"/>
      <c r="V616" s="2201"/>
      <c r="W616" s="2201"/>
      <c r="X616" s="2202"/>
      <c r="Y616" s="2236">
        <f t="shared" si="9"/>
        <v>0.10869565217391304</v>
      </c>
      <c r="Z616" s="2237"/>
      <c r="AA616" s="2237"/>
      <c r="AB616" s="2237"/>
      <c r="AC616" s="2238"/>
      <c r="AD616" s="16"/>
      <c r="AF616" s="16"/>
      <c r="AG616" s="16"/>
      <c r="AH616" s="16"/>
      <c r="AI616" s="16"/>
      <c r="AJ616" s="16"/>
      <c r="AN616" s="1199"/>
    </row>
    <row r="617" spans="1:60">
      <c r="D617" s="16"/>
      <c r="E617" s="16"/>
      <c r="F617" s="16"/>
      <c r="G617" s="16"/>
      <c r="H617" s="16"/>
      <c r="I617" s="16"/>
      <c r="J617" s="2281" t="s">
        <v>293</v>
      </c>
      <c r="K617" s="2282"/>
      <c r="L617" s="2282"/>
      <c r="M617" s="2282"/>
      <c r="N617" s="2283"/>
      <c r="O617" s="2200">
        <f>Application!BK612</f>
        <v>48</v>
      </c>
      <c r="P617" s="2201"/>
      <c r="Q617" s="2201"/>
      <c r="R617" s="2201"/>
      <c r="S617" s="2202"/>
      <c r="T617" s="2200">
        <f>Application!CO612</f>
        <v>5</v>
      </c>
      <c r="U617" s="2201"/>
      <c r="V617" s="2201"/>
      <c r="W617" s="2201"/>
      <c r="X617" s="2202"/>
      <c r="Y617" s="2236">
        <f t="shared" si="9"/>
        <v>0.10416666666666667</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66</v>
      </c>
      <c r="P618" s="2201"/>
      <c r="Q618" s="2201"/>
      <c r="R618" s="2201"/>
      <c r="S618" s="2202"/>
      <c r="T618" s="2200">
        <f>Application!CJ612</f>
        <v>7</v>
      </c>
      <c r="U618" s="2201"/>
      <c r="V618" s="2201"/>
      <c r="W618" s="2201"/>
      <c r="X618" s="2202"/>
      <c r="Y618" s="2236">
        <f t="shared" si="9"/>
        <v>0.10606060606060606</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1" t="s">
        <v>688</v>
      </c>
      <c r="K619" s="2282"/>
      <c r="L619" s="2282"/>
      <c r="M619" s="2282"/>
      <c r="N619" s="2283"/>
      <c r="O619" s="2200">
        <f>Application!BA612</f>
        <v>24</v>
      </c>
      <c r="P619" s="2201"/>
      <c r="Q619" s="2201"/>
      <c r="R619" s="2201"/>
      <c r="S619" s="2202"/>
      <c r="T619" s="2200">
        <f>Application!CE612</f>
        <v>2</v>
      </c>
      <c r="U619" s="2201"/>
      <c r="V619" s="2201"/>
      <c r="W619" s="2201"/>
      <c r="X619" s="2202"/>
      <c r="Y619" s="2236">
        <f t="shared" si="9"/>
        <v>8.3333333333333329E-2</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8" t="s">
        <v>984</v>
      </c>
      <c r="K620" s="2429"/>
      <c r="L620" s="2429"/>
      <c r="M620" s="2429"/>
      <c r="N620" s="2430"/>
      <c r="O620" s="2425">
        <f>SUM(O614:S619)</f>
        <v>184</v>
      </c>
      <c r="P620" s="2426"/>
      <c r="Q620" s="2426"/>
      <c r="R620" s="2426"/>
      <c r="S620" s="2427"/>
      <c r="T620" s="2425">
        <f>SUM(T614:X619)</f>
        <v>19</v>
      </c>
      <c r="U620" s="2426"/>
      <c r="V620" s="2426"/>
      <c r="W620" s="2426"/>
      <c r="X620" s="2427"/>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6">
        <v>2</v>
      </c>
      <c r="AK623" s="241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0" t="s">
        <v>1726</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199"/>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136</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199"/>
      <c r="AO633" s="46">
        <f>IF($C$633="yes",5,0)</f>
        <v>0</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625" t="s">
        <v>136</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2138</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0</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0</v>
      </c>
      <c r="AL661" s="2043"/>
      <c r="AM661" s="2044"/>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136</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0</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796</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1936</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1979</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7" t="s">
        <v>262</v>
      </c>
      <c r="U697" s="2046"/>
      <c r="V697" s="2046"/>
      <c r="W697" s="2046"/>
      <c r="X697" s="2046"/>
      <c r="Y697" s="2047"/>
      <c r="Z697" s="2277" t="s">
        <v>261</v>
      </c>
      <c r="AA697" s="2046"/>
      <c r="AB697" s="2046"/>
      <c r="AC697" s="2046"/>
      <c r="AD697" s="2046"/>
      <c r="AE697" s="2047"/>
      <c r="AF697" s="2277" t="s">
        <v>263</v>
      </c>
      <c r="AG697" s="2046"/>
      <c r="AH697" s="2046"/>
      <c r="AI697" s="2046"/>
      <c r="AJ697" s="2046"/>
      <c r="AK697" s="20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8"/>
      <c r="V698" s="2048"/>
      <c r="W698" s="2048"/>
      <c r="X698" s="2048"/>
      <c r="Y698" s="2049"/>
      <c r="Z698" s="2278"/>
      <c r="AA698" s="2048"/>
      <c r="AB698" s="2048"/>
      <c r="AC698" s="2048"/>
      <c r="AD698" s="2048"/>
      <c r="AE698" s="2049"/>
      <c r="AF698" s="2278"/>
      <c r="AG698" s="2048"/>
      <c r="AH698" s="2048"/>
      <c r="AI698" s="2048"/>
      <c r="AJ698" s="2048"/>
      <c r="AK698" s="2049"/>
      <c r="AL698" s="1361"/>
      <c r="AM698" s="492"/>
      <c r="AO698" s="785">
        <f>IF(T705&gt;10,10,T705)</f>
        <v>10</v>
      </c>
      <c r="AP698" s="785"/>
      <c r="AQ698" s="785"/>
    </row>
    <row r="699" spans="1:43">
      <c r="A699" s="1011" t="s">
        <v>726</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29">
        <v>6</v>
      </c>
      <c r="AA700" s="1629"/>
      <c r="AB700" s="1629"/>
      <c r="AC700" s="1629"/>
      <c r="AD700" s="1629"/>
      <c r="AE700" s="1629"/>
      <c r="AF700" s="2409"/>
      <c r="AG700" s="2409"/>
      <c r="AH700" s="2409"/>
      <c r="AI700" s="2409"/>
      <c r="AJ700" s="2409"/>
      <c r="AK700" s="2409"/>
      <c r="AL700" s="1361"/>
      <c r="AM700" s="492"/>
    </row>
    <row r="701" spans="1:43">
      <c r="A701" s="1016"/>
      <c r="B701" s="1014"/>
      <c r="C701" s="1015"/>
      <c r="D701" s="1012" t="s">
        <v>482</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29">
        <v>3</v>
      </c>
      <c r="AA701" s="1629"/>
      <c r="AB701" s="1629"/>
      <c r="AC701" s="1629"/>
      <c r="AD701" s="1629"/>
      <c r="AE701" s="1629"/>
      <c r="AF701" s="2409"/>
      <c r="AG701" s="2409"/>
      <c r="AH701" s="2409"/>
      <c r="AI701" s="2409"/>
      <c r="AJ701" s="2409"/>
      <c r="AK701" s="2409"/>
      <c r="AL701" s="1361"/>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10</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1">
        <v>25</v>
      </c>
      <c r="AA703" s="1771"/>
      <c r="AB703" s="1771"/>
      <c r="AC703" s="1771"/>
      <c r="AD703" s="1771"/>
      <c r="AE703" s="1771"/>
      <c r="AF703" s="1771">
        <f>IF(T703&gt;Z703,Z703,T703)</f>
        <v>10</v>
      </c>
      <c r="AG703" s="1771"/>
      <c r="AH703" s="1771"/>
      <c r="AI703" s="1771"/>
      <c r="AJ703" s="1771"/>
      <c r="AK703" s="1771"/>
      <c r="AL703" s="1361"/>
      <c r="AM703" s="492"/>
    </row>
    <row r="704" spans="1:43">
      <c r="A704" s="1011"/>
      <c r="B704" s="1014"/>
      <c r="C704" s="1015"/>
      <c r="D704" s="1012" t="s">
        <v>1676</v>
      </c>
      <c r="E704" s="2275" t="s">
        <v>327</v>
      </c>
      <c r="F704" s="2275"/>
      <c r="G704" s="2275"/>
      <c r="H704" s="2275"/>
      <c r="I704" s="2275"/>
      <c r="J704" s="2275"/>
      <c r="K704" s="2275"/>
      <c r="L704" s="2275"/>
      <c r="M704" s="2275"/>
      <c r="N704" s="2275"/>
      <c r="O704" s="2275"/>
      <c r="P704" s="2275"/>
      <c r="Q704" s="2275"/>
      <c r="R704" s="2275"/>
      <c r="S704" s="2276"/>
      <c r="T704" s="2279">
        <f>AK281</f>
        <v>0</v>
      </c>
      <c r="U704" s="2279"/>
      <c r="V704" s="2279"/>
      <c r="W704" s="2279"/>
      <c r="X704" s="2279"/>
      <c r="Y704" s="2279"/>
      <c r="Z704" s="1629">
        <v>15</v>
      </c>
      <c r="AA704" s="1629"/>
      <c r="AB704" s="1629"/>
      <c r="AC704" s="1629"/>
      <c r="AD704" s="1629"/>
      <c r="AE704" s="1629"/>
      <c r="AF704" s="2409"/>
      <c r="AG704" s="2409"/>
      <c r="AH704" s="2409"/>
      <c r="AI704" s="2409"/>
      <c r="AJ704" s="2409"/>
      <c r="AK704" s="2409"/>
      <c r="AL704" s="1361"/>
      <c r="AM704" s="492"/>
    </row>
    <row r="705" spans="1:39">
      <c r="A705" s="1017"/>
      <c r="B705" s="1018"/>
      <c r="C705" s="1019"/>
      <c r="D705" s="1020" t="s">
        <v>1677</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29">
        <v>10</v>
      </c>
      <c r="AA705" s="1629"/>
      <c r="AB705" s="1629"/>
      <c r="AC705" s="1629"/>
      <c r="AD705" s="1629"/>
      <c r="AE705" s="1629"/>
      <c r="AF705" s="2409"/>
      <c r="AG705" s="2409"/>
      <c r="AH705" s="2409"/>
      <c r="AI705" s="2409"/>
      <c r="AJ705" s="2409"/>
      <c r="AK705" s="2409"/>
      <c r="AL705" s="1361"/>
      <c r="AM705" s="492"/>
    </row>
    <row r="706" spans="1:39">
      <c r="A706" s="1011" t="s">
        <v>134</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0</v>
      </c>
      <c r="U706" s="2295"/>
      <c r="V706" s="2295"/>
      <c r="W706" s="2295"/>
      <c r="X706" s="2295"/>
      <c r="Y706" s="2295"/>
      <c r="Z706" s="1771">
        <v>5</v>
      </c>
      <c r="AA706" s="1771"/>
      <c r="AB706" s="1771"/>
      <c r="AC706" s="1771"/>
      <c r="AD706" s="1771"/>
      <c r="AE706" s="1771"/>
      <c r="AF706" s="1771">
        <f>IF(T706&gt;Z706,5,T706)</f>
        <v>0</v>
      </c>
      <c r="AG706" s="1771"/>
      <c r="AH706" s="1771"/>
      <c r="AI706" s="1771"/>
      <c r="AJ706" s="1771"/>
      <c r="AK706" s="1771"/>
      <c r="AL706" s="1361"/>
      <c r="AM706" s="492"/>
    </row>
    <row r="707" spans="1:39">
      <c r="A707" s="1021" t="s">
        <v>135</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1"/>
      <c r="AM707" s="492"/>
    </row>
    <row r="708" spans="1:39">
      <c r="A708" s="1021"/>
      <c r="B708" s="1023"/>
      <c r="C708" s="1024"/>
      <c r="D708" s="1025" t="s">
        <v>1678</v>
      </c>
      <c r="E708" s="2275" t="s">
        <v>201</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1"/>
      <c r="AM708" s="46"/>
    </row>
    <row r="709" spans="1:39">
      <c r="A709" s="1026"/>
      <c r="B709" s="1014"/>
      <c r="C709" s="1015"/>
      <c r="D709" s="1012" t="s">
        <v>1679</v>
      </c>
      <c r="E709" s="2275" t="s">
        <v>298</v>
      </c>
      <c r="F709" s="2275"/>
      <c r="G709" s="2275"/>
      <c r="H709" s="2275"/>
      <c r="I709" s="2275"/>
      <c r="J709" s="2275"/>
      <c r="K709" s="2275"/>
      <c r="L709" s="2275"/>
      <c r="M709" s="2275"/>
      <c r="N709" s="2275"/>
      <c r="O709" s="2275"/>
      <c r="P709" s="2275"/>
      <c r="Q709" s="2275"/>
      <c r="R709" s="2275"/>
      <c r="S709" s="2276"/>
      <c r="T709" s="2038">
        <f>IF(AJ623&gt;0,2,0)</f>
        <v>2</v>
      </c>
      <c r="U709" s="2039"/>
      <c r="V709" s="2039"/>
      <c r="W709" s="2039"/>
      <c r="X709" s="2039"/>
      <c r="Y709" s="2040"/>
      <c r="Z709" s="2042">
        <v>2</v>
      </c>
      <c r="AA709" s="2043"/>
      <c r="AB709" s="2043"/>
      <c r="AC709" s="2043"/>
      <c r="AD709" s="2043"/>
      <c r="AE709" s="2044"/>
      <c r="AF709" s="2420"/>
      <c r="AG709" s="2421"/>
      <c r="AH709" s="2421"/>
      <c r="AI709" s="2421"/>
      <c r="AJ709" s="2421"/>
      <c r="AK709" s="2422"/>
      <c r="AL709" s="1361"/>
      <c r="AM709" s="46"/>
    </row>
    <row r="710" spans="1:39">
      <c r="A710" s="1021" t="s">
        <v>137</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0</v>
      </c>
      <c r="U710" s="2295"/>
      <c r="V710" s="2295"/>
      <c r="W710" s="2295"/>
      <c r="X710" s="2295"/>
      <c r="Y710" s="2295"/>
      <c r="Z710" s="1771">
        <v>10</v>
      </c>
      <c r="AA710" s="1771"/>
      <c r="AB710" s="1771"/>
      <c r="AC710" s="1771"/>
      <c r="AD710" s="1771"/>
      <c r="AE710" s="1771"/>
      <c r="AF710" s="2005">
        <f>IF(T710&gt;Z710,Z710,T710)</f>
        <v>0</v>
      </c>
      <c r="AG710" s="2006"/>
      <c r="AH710" s="2006"/>
      <c r="AI710" s="2006"/>
      <c r="AJ710" s="2006"/>
      <c r="AK710" s="2007"/>
      <c r="AL710" s="1361"/>
      <c r="AM710" s="217"/>
    </row>
    <row r="711" spans="1:39">
      <c r="A711" s="1011" t="s">
        <v>417</v>
      </c>
      <c r="B711" s="2273" t="s">
        <v>1108</v>
      </c>
      <c r="C711" s="2273"/>
      <c r="D711" s="2273"/>
      <c r="E711" s="2273"/>
      <c r="F711" s="2273"/>
      <c r="G711" s="2273"/>
      <c r="H711" s="2273"/>
      <c r="I711" s="2273"/>
      <c r="J711" s="2273"/>
      <c r="K711" s="2273"/>
      <c r="L711" s="2273"/>
      <c r="M711" s="2273"/>
      <c r="N711" s="2273"/>
      <c r="O711" s="2273"/>
      <c r="P711" s="2273"/>
      <c r="Q711" s="2273"/>
      <c r="R711" s="2273"/>
      <c r="S711" s="2274"/>
      <c r="T711" s="2401">
        <f>IF(AK689&gt;2,2,AK689)</f>
        <v>0</v>
      </c>
      <c r="U711" s="2402"/>
      <c r="V711" s="2402"/>
      <c r="W711" s="2402"/>
      <c r="X711" s="2402"/>
      <c r="Y711" s="2403"/>
      <c r="Z711" s="2005">
        <v>2</v>
      </c>
      <c r="AA711" s="2006"/>
      <c r="AB711" s="2006"/>
      <c r="AC711" s="2006"/>
      <c r="AD711" s="2006"/>
      <c r="AE711" s="2007"/>
      <c r="AF711" s="2005">
        <f>IF(T711&gt;Z711,Z711,T711)</f>
        <v>0</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05">
      <c r="A713" s="2284" t="s">
        <v>795</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81</v>
      </c>
      <c r="AG713" s="2411"/>
      <c r="AH713" s="2411"/>
      <c r="AI713" s="2411"/>
      <c r="AJ713" s="2411"/>
      <c r="AK713" s="2412"/>
      <c r="AL713" s="1362"/>
      <c r="AM713" s="46"/>
    </row>
    <row r="714" spans="1:39" ht="15.0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1"/>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1"/>
    </row>
    <row r="717" spans="1:39" ht="56.3"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1"/>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1"/>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1"/>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19" sqref="G19"/>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American Canyon Pacific Associates, a California Limited Partnership</v>
      </c>
      <c r="F7" s="2477"/>
      <c r="G7" s="2477"/>
      <c r="H7" s="480"/>
      <c r="I7" s="481" t="s">
        <v>2001</v>
      </c>
      <c r="J7" s="1142">
        <f>Application!AG426+Application!AG424</f>
        <v>184</v>
      </c>
    </row>
    <row r="8" spans="1:33">
      <c r="C8" s="481" t="s">
        <v>822</v>
      </c>
      <c r="D8" s="480"/>
      <c r="E8" s="2477" t="str">
        <f>Application!H17</f>
        <v>Lemos Pointe at Watson Ranch</v>
      </c>
      <c r="F8" s="2477"/>
      <c r="G8" s="2477"/>
      <c r="H8" s="480"/>
      <c r="I8" s="481" t="s">
        <v>2002</v>
      </c>
      <c r="J8" s="1145">
        <f>Application!$CD$635</f>
        <v>324</v>
      </c>
    </row>
    <row r="9" spans="1:33" ht="14.25" customHeight="1">
      <c r="C9" s="481" t="s">
        <v>823</v>
      </c>
      <c r="D9" s="480"/>
      <c r="E9" s="2483" t="str">
        <f>Application!D221</f>
        <v>Large Family</v>
      </c>
      <c r="F9" s="2483"/>
      <c r="G9" s="2483"/>
      <c r="H9" s="480"/>
      <c r="I9" s="481" t="s">
        <v>2003</v>
      </c>
      <c r="J9" s="766">
        <v>0</v>
      </c>
      <c r="N9" s="1141"/>
    </row>
    <row r="10" spans="1:33" ht="26.9" customHeight="1">
      <c r="C10" s="2482" t="s">
        <v>2000</v>
      </c>
      <c r="D10" s="2482"/>
      <c r="E10" s="2484" t="str">
        <f>Application!$E$224</f>
        <v>N/A</v>
      </c>
      <c r="F10" s="2484"/>
      <c r="G10" s="2484"/>
      <c r="H10" s="1139"/>
      <c r="I10" s="1144" t="s">
        <v>2004</v>
      </c>
      <c r="J10" s="1143">
        <f>IF(J9&gt;0,J8-J9,J8)</f>
        <v>324</v>
      </c>
      <c r="N10" s="1141"/>
    </row>
    <row r="11" spans="1:33">
      <c r="C11" s="469"/>
      <c r="N11" s="1141"/>
    </row>
    <row r="12" spans="1:33" ht="15.0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0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7000</v>
      </c>
      <c r="H17" s="670" t="s">
        <v>2375</v>
      </c>
      <c r="I17" s="670" t="s">
        <v>2376</v>
      </c>
      <c r="J17" s="670" t="s">
        <v>2377</v>
      </c>
    </row>
    <row r="18" spans="3:10">
      <c r="C18" s="470" t="s">
        <v>974</v>
      </c>
      <c r="D18" s="468" t="s">
        <v>1139</v>
      </c>
      <c r="E18" s="468"/>
      <c r="F18" s="477" t="s">
        <v>2433</v>
      </c>
      <c r="G18" s="667">
        <v>10000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4">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18000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2020-07-01T17:23:18Z</cp:lastPrinted>
  <dcterms:created xsi:type="dcterms:W3CDTF">2007-12-27T18:26:28Z</dcterms:created>
  <dcterms:modified xsi:type="dcterms:W3CDTF">2020-07-01T17:23:29Z</dcterms:modified>
</cp:coreProperties>
</file>