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6440" tabRatio="908"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12">'Applicant Notes'!$A$1:$K$120,'Applicant Notes'!$N$1:$X$120,'Applicant Notes'!$AA$1:$AH$120,'Applicant Notes'!$AN$1:$BY$44</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17" i="3" l="1"/>
  <c r="BM42" i="12"/>
  <c r="BM3" i="12" s="1"/>
  <c r="C79" i="4"/>
  <c r="C12" i="12"/>
  <c r="AG423" i="3"/>
  <c r="AF405" i="3"/>
  <c r="Q488" i="3" s="1"/>
  <c r="AH89" i="12"/>
  <c r="AC851" i="3" s="1"/>
  <c r="E26" i="9" s="1"/>
  <c r="AJ88" i="12"/>
  <c r="AJ89" i="12"/>
  <c r="AJ87" i="12"/>
  <c r="AI88" i="12"/>
  <c r="AI89" i="12"/>
  <c r="AI87" i="12"/>
  <c r="F48" i="12"/>
  <c r="H48" i="12"/>
  <c r="J48" i="12"/>
  <c r="G48" i="12"/>
  <c r="B111" i="12"/>
  <c r="C111" i="12"/>
  <c r="E49" i="12"/>
  <c r="C86" i="12"/>
  <c r="D92" i="12"/>
  <c r="F92" i="12" s="1"/>
  <c r="A27" i="9"/>
  <c r="R76" i="12"/>
  <c r="N67" i="12"/>
  <c r="C39" i="4"/>
  <c r="N24" i="12"/>
  <c r="E598" i="6"/>
  <c r="E595" i="6"/>
  <c r="E593" i="6"/>
  <c r="E591" i="6"/>
  <c r="C45" i="6"/>
  <c r="B8" i="6"/>
  <c r="S102" i="4"/>
  <c r="E102" i="18" s="1"/>
  <c r="F102" i="18" s="1"/>
  <c r="S101" i="4"/>
  <c r="E101" i="18" s="1"/>
  <c r="F101" i="18" s="1"/>
  <c r="S100" i="4"/>
  <c r="E100" i="18"/>
  <c r="F100" i="18" s="1"/>
  <c r="S99" i="4"/>
  <c r="E99" i="18" s="1"/>
  <c r="F99" i="18" s="1"/>
  <c r="S98" i="4"/>
  <c r="E98" i="18" s="1"/>
  <c r="F98" i="18" s="1"/>
  <c r="S93" i="4"/>
  <c r="E93" i="18" s="1"/>
  <c r="F93" i="18" s="1"/>
  <c r="S92" i="4"/>
  <c r="E92" i="18"/>
  <c r="F92" i="18" s="1"/>
  <c r="S91" i="4"/>
  <c r="E91" i="18" s="1"/>
  <c r="F91" i="18" s="1"/>
  <c r="S90" i="4"/>
  <c r="E90" i="18" s="1"/>
  <c r="F90" i="18" s="1"/>
  <c r="C85" i="4"/>
  <c r="B85" i="18" s="1"/>
  <c r="C85" i="18" s="1"/>
  <c r="S83" i="4"/>
  <c r="E83" i="18" s="1"/>
  <c r="F83" i="18" s="1"/>
  <c r="S76" i="4"/>
  <c r="E76" i="18" s="1"/>
  <c r="F76" i="18" s="1"/>
  <c r="S65" i="4"/>
  <c r="E65" i="18" s="1"/>
  <c r="F65" i="18" s="1"/>
  <c r="S49" i="4"/>
  <c r="E49" i="18" s="1"/>
  <c r="F49" i="18" s="1"/>
  <c r="S48" i="4"/>
  <c r="E48" i="18" s="1"/>
  <c r="F48" i="18" s="1"/>
  <c r="S47" i="4"/>
  <c r="E47" i="18" s="1"/>
  <c r="F47" i="18" s="1"/>
  <c r="S46" i="4"/>
  <c r="E46" i="18" s="1"/>
  <c r="F46" i="18" s="1"/>
  <c r="S35" i="4"/>
  <c r="E35" i="18" s="1"/>
  <c r="F35" i="18" s="1"/>
  <c r="S26" i="4"/>
  <c r="E26" i="18" s="1"/>
  <c r="F26" i="18" s="1"/>
  <c r="S24" i="4"/>
  <c r="E24" i="18" s="1"/>
  <c r="F24" i="18" s="1"/>
  <c r="S23" i="4"/>
  <c r="E23" i="18" s="1"/>
  <c r="F23" i="18" s="1"/>
  <c r="S22" i="4"/>
  <c r="E22" i="18" s="1"/>
  <c r="F22" i="18" s="1"/>
  <c r="S21" i="4"/>
  <c r="E21" i="18" s="1"/>
  <c r="F21" i="18" s="1"/>
  <c r="S20" i="4"/>
  <c r="E20" i="18" s="1"/>
  <c r="F20" i="18" s="1"/>
  <c r="S19" i="4"/>
  <c r="E19" i="18" s="1"/>
  <c r="F19" i="18" s="1"/>
  <c r="S18" i="4"/>
  <c r="E18" i="18" s="1"/>
  <c r="F18" i="18" s="1"/>
  <c r="S17" i="4"/>
  <c r="E17" i="18" s="1"/>
  <c r="F17" i="18" s="1"/>
  <c r="S14" i="4"/>
  <c r="E14" i="18" s="1"/>
  <c r="F14" i="18" s="1"/>
  <c r="S13" i="4"/>
  <c r="E13" i="18" s="1"/>
  <c r="F13" i="18" s="1"/>
  <c r="S10" i="4"/>
  <c r="E10" i="18" s="1"/>
  <c r="F10" i="18" s="1"/>
  <c r="B102" i="18"/>
  <c r="C102" i="18" s="1"/>
  <c r="B101" i="18"/>
  <c r="C101" i="18" s="1"/>
  <c r="B100" i="18"/>
  <c r="C100" i="18"/>
  <c r="B99" i="18"/>
  <c r="C99" i="18" s="1"/>
  <c r="B98" i="18"/>
  <c r="C98" i="18" s="1"/>
  <c r="B93" i="18"/>
  <c r="C93" i="18"/>
  <c r="B92" i="18"/>
  <c r="C92" i="18" s="1"/>
  <c r="B91" i="18"/>
  <c r="C91" i="18" s="1"/>
  <c r="B90" i="18"/>
  <c r="C90" i="18"/>
  <c r="B84" i="18"/>
  <c r="C84" i="18" s="1"/>
  <c r="B83" i="18"/>
  <c r="C83" i="18"/>
  <c r="B76" i="18"/>
  <c r="C76" i="18" s="1"/>
  <c r="B72" i="18"/>
  <c r="C72" i="18" s="1"/>
  <c r="B70" i="18"/>
  <c r="C70" i="18"/>
  <c r="B69" i="18"/>
  <c r="C69" i="18" s="1"/>
  <c r="B68" i="18"/>
  <c r="C68" i="18" s="1"/>
  <c r="B65" i="18"/>
  <c r="C65" i="18"/>
  <c r="B60" i="18"/>
  <c r="C60" i="18" s="1"/>
  <c r="B59" i="18"/>
  <c r="C59" i="18" s="1"/>
  <c r="B58" i="18"/>
  <c r="C58" i="18"/>
  <c r="B57" i="18"/>
  <c r="C57" i="18" s="1"/>
  <c r="C61" i="18" s="1"/>
  <c r="B56" i="18"/>
  <c r="C56" i="18" s="1"/>
  <c r="B55" i="18"/>
  <c r="C55" i="18"/>
  <c r="B54" i="18"/>
  <c r="C54" i="18" s="1"/>
  <c r="B49" i="18"/>
  <c r="C49" i="18" s="1"/>
  <c r="B48" i="18"/>
  <c r="C48" i="18"/>
  <c r="B47" i="18"/>
  <c r="C47" i="18" s="1"/>
  <c r="B46" i="18"/>
  <c r="C46" i="18" s="1"/>
  <c r="B35" i="18"/>
  <c r="C35" i="18"/>
  <c r="B26" i="18"/>
  <c r="C26" i="18" s="1"/>
  <c r="B24" i="18"/>
  <c r="C24" i="18" s="1"/>
  <c r="B23" i="18"/>
  <c r="C23" i="18"/>
  <c r="B22" i="18"/>
  <c r="C22" i="18" s="1"/>
  <c r="B21" i="18"/>
  <c r="C21" i="18" s="1"/>
  <c r="B20" i="18"/>
  <c r="C20" i="18"/>
  <c r="B19" i="18"/>
  <c r="C19" i="18" s="1"/>
  <c r="B18" i="18"/>
  <c r="C18" i="18" s="1"/>
  <c r="B17" i="18"/>
  <c r="C17" i="18"/>
  <c r="B15" i="18"/>
  <c r="C15" i="18" s="1"/>
  <c r="B14" i="18"/>
  <c r="C14" i="18" s="1"/>
  <c r="B13" i="18"/>
  <c r="C13" i="18"/>
  <c r="B10" i="18"/>
  <c r="C10" i="18" s="1"/>
  <c r="B9" i="18"/>
  <c r="C9" i="18" s="1"/>
  <c r="C11" i="18" s="1"/>
  <c r="B7" i="18"/>
  <c r="C7" i="18"/>
  <c r="B6" i="18"/>
  <c r="C6" i="18" s="1"/>
  <c r="F38" i="4"/>
  <c r="B49" i="4"/>
  <c r="F49" i="4" s="1"/>
  <c r="E49" i="4" s="1"/>
  <c r="B48" i="4"/>
  <c r="F48" i="4"/>
  <c r="B46" i="4"/>
  <c r="F46" i="4"/>
  <c r="E46" i="4" s="1"/>
  <c r="C33" i="4"/>
  <c r="Q70" i="12"/>
  <c r="R69" i="12"/>
  <c r="BD33" i="12"/>
  <c r="BD23" i="12"/>
  <c r="AP13" i="12"/>
  <c r="AP14" i="12" s="1"/>
  <c r="AP15" i="12" s="1"/>
  <c r="AP16" i="12" s="1"/>
  <c r="AP17" i="12" s="1"/>
  <c r="AP18" i="12" s="1"/>
  <c r="AP19" i="12" s="1"/>
  <c r="AP20" i="12" s="1"/>
  <c r="AP21" i="12" s="1"/>
  <c r="AP22" i="12" s="1"/>
  <c r="AP23" i="12" s="1"/>
  <c r="AP24" i="12" s="1"/>
  <c r="AP25" i="12" s="1"/>
  <c r="AP26" i="12" s="1"/>
  <c r="AP27" i="12" s="1"/>
  <c r="AP28" i="12" s="1"/>
  <c r="AP29" i="12" s="1"/>
  <c r="AP30" i="12" s="1"/>
  <c r="AP31" i="12" s="1"/>
  <c r="AP32" i="12" s="1"/>
  <c r="AP33" i="12" s="1"/>
  <c r="AP34" i="12" s="1"/>
  <c r="AP35" i="12" s="1"/>
  <c r="AP36" i="12" s="1"/>
  <c r="AP37" i="12" s="1"/>
  <c r="AO13" i="12"/>
  <c r="AO14" i="12" s="1"/>
  <c r="AO15" i="12" s="1"/>
  <c r="AO16" i="12" s="1"/>
  <c r="AO17" i="12" s="1"/>
  <c r="AO18" i="12" s="1"/>
  <c r="AO19" i="12" s="1"/>
  <c r="AO20" i="12" s="1"/>
  <c r="AO21" i="12" s="1"/>
  <c r="AO22" i="12" s="1"/>
  <c r="AO23" i="12" s="1"/>
  <c r="AO24" i="12" s="1"/>
  <c r="AO25" i="12" s="1"/>
  <c r="AO26" i="12" s="1"/>
  <c r="AO27" i="12" s="1"/>
  <c r="AO28" i="12" s="1"/>
  <c r="AO29" i="12" s="1"/>
  <c r="AO30" i="12" s="1"/>
  <c r="AO31" i="12" s="1"/>
  <c r="AO32" i="12" s="1"/>
  <c r="AO33" i="12" s="1"/>
  <c r="AO34" i="12" s="1"/>
  <c r="AO35" i="12" s="1"/>
  <c r="AO36" i="12" s="1"/>
  <c r="AO37" i="12" s="1"/>
  <c r="E21" i="12"/>
  <c r="E26" i="12" s="1"/>
  <c r="E46" i="12" s="1"/>
  <c r="AG429" i="3" s="1"/>
  <c r="W21" i="12"/>
  <c r="W25" i="12"/>
  <c r="W23" i="12"/>
  <c r="X22" i="12" s="1"/>
  <c r="W24" i="12"/>
  <c r="X15" i="12"/>
  <c r="P617" i="3"/>
  <c r="B102" i="4"/>
  <c r="E102" i="4" s="1"/>
  <c r="B101" i="4"/>
  <c r="E101" i="4"/>
  <c r="B100" i="4"/>
  <c r="E100" i="4" s="1"/>
  <c r="B99" i="4"/>
  <c r="E99" i="4" s="1"/>
  <c r="B98" i="4"/>
  <c r="E98" i="4"/>
  <c r="B93" i="4"/>
  <c r="E93" i="4" s="1"/>
  <c r="R93" i="4" s="1"/>
  <c r="B92" i="4"/>
  <c r="E92" i="4" s="1"/>
  <c r="R92" i="4" s="1"/>
  <c r="B91" i="4"/>
  <c r="E91" i="4"/>
  <c r="B90" i="4"/>
  <c r="E90" i="4" s="1"/>
  <c r="R90" i="4" s="1"/>
  <c r="B85" i="4"/>
  <c r="E85" i="4" s="1"/>
  <c r="B84" i="4"/>
  <c r="E84" i="4"/>
  <c r="B83" i="4"/>
  <c r="E83" i="4" s="1"/>
  <c r="B76" i="4"/>
  <c r="E76" i="4" s="1"/>
  <c r="R76" i="4" s="1"/>
  <c r="B72" i="4"/>
  <c r="E72" i="4"/>
  <c r="R72" i="4" s="1"/>
  <c r="B70" i="4"/>
  <c r="E70" i="4" s="1"/>
  <c r="R70" i="4" s="1"/>
  <c r="B69" i="4"/>
  <c r="E69" i="4" s="1"/>
  <c r="R69" i="4" s="1"/>
  <c r="B68" i="4"/>
  <c r="E68" i="4"/>
  <c r="B60" i="4"/>
  <c r="E60" i="4" s="1"/>
  <c r="R60" i="4" s="1"/>
  <c r="B59" i="4"/>
  <c r="E59" i="4" s="1"/>
  <c r="R59" i="4" s="1"/>
  <c r="B58" i="4"/>
  <c r="E58" i="4"/>
  <c r="B57" i="4"/>
  <c r="E57" i="4" s="1"/>
  <c r="B56" i="4"/>
  <c r="E56" i="4" s="1"/>
  <c r="E61" i="4" s="1"/>
  <c r="B55" i="4"/>
  <c r="E55" i="4"/>
  <c r="B54" i="4"/>
  <c r="E54" i="4" s="1"/>
  <c r="R54" i="4" s="1"/>
  <c r="E48" i="4"/>
  <c r="B26" i="4"/>
  <c r="E26" i="4" s="1"/>
  <c r="R26" i="4" s="1"/>
  <c r="B24" i="4"/>
  <c r="E24" i="4"/>
  <c r="B23" i="4"/>
  <c r="E23" i="4" s="1"/>
  <c r="B22" i="4"/>
  <c r="E22" i="4"/>
  <c r="B21" i="4"/>
  <c r="E21" i="4"/>
  <c r="B20" i="4"/>
  <c r="E20" i="4" s="1"/>
  <c r="R20" i="4" s="1"/>
  <c r="B19" i="4"/>
  <c r="E19" i="4" s="1"/>
  <c r="B18" i="4"/>
  <c r="E18" i="4"/>
  <c r="B17" i="4"/>
  <c r="E17" i="4" s="1"/>
  <c r="B15" i="4"/>
  <c r="E15" i="4"/>
  <c r="B14" i="4"/>
  <c r="E14" i="4"/>
  <c r="B13" i="4"/>
  <c r="E13" i="4" s="1"/>
  <c r="R13" i="4" s="1"/>
  <c r="B10" i="4"/>
  <c r="E10" i="4" s="1"/>
  <c r="R10" i="4" s="1"/>
  <c r="B9" i="4"/>
  <c r="E9" i="4"/>
  <c r="B7" i="4"/>
  <c r="E7" i="4" s="1"/>
  <c r="B6" i="4"/>
  <c r="E6" i="4"/>
  <c r="S88" i="4"/>
  <c r="S87" i="4"/>
  <c r="S86" i="4"/>
  <c r="S80" i="4"/>
  <c r="S64" i="4"/>
  <c r="S66" i="4" s="1"/>
  <c r="S41" i="4"/>
  <c r="S39" i="4"/>
  <c r="S38" i="4"/>
  <c r="S29" i="4"/>
  <c r="S28" i="4"/>
  <c r="A50" i="4"/>
  <c r="A51" i="4"/>
  <c r="C30" i="4"/>
  <c r="S30" i="4"/>
  <c r="C4" i="4"/>
  <c r="AC849" i="3"/>
  <c r="M835" i="3"/>
  <c r="A20" i="9"/>
  <c r="AE3" i="12"/>
  <c r="AE22" i="12" s="1"/>
  <c r="AG22" i="12" s="1"/>
  <c r="AH22" i="12" s="1"/>
  <c r="M822" i="3"/>
  <c r="M809" i="3"/>
  <c r="AH34" i="12"/>
  <c r="W806" i="3" s="1"/>
  <c r="AH35" i="12"/>
  <c r="W807" i="3" s="1"/>
  <c r="AH36" i="12"/>
  <c r="W808" i="3"/>
  <c r="M794" i="3"/>
  <c r="M792" i="3"/>
  <c r="M790" i="3"/>
  <c r="M789" i="3"/>
  <c r="M788" i="3"/>
  <c r="AE8" i="12"/>
  <c r="AG8" i="12" s="1"/>
  <c r="AH8" i="12" s="1"/>
  <c r="Z777" i="3" s="1"/>
  <c r="O752" i="3"/>
  <c r="O738" i="3"/>
  <c r="O737" i="3"/>
  <c r="AD692" i="3"/>
  <c r="AD693" i="3"/>
  <c r="AD694" i="3"/>
  <c r="AD695" i="3"/>
  <c r="AD696" i="3"/>
  <c r="AD691" i="3"/>
  <c r="U692" i="3"/>
  <c r="U693" i="3"/>
  <c r="U694" i="3"/>
  <c r="U695" i="3"/>
  <c r="U696" i="3"/>
  <c r="U691" i="3"/>
  <c r="I25" i="12"/>
  <c r="J25" i="12" s="1"/>
  <c r="K25" i="12" s="1"/>
  <c r="K696" i="3"/>
  <c r="G692" i="3"/>
  <c r="G693" i="3"/>
  <c r="G694" i="3"/>
  <c r="BA590" i="3" s="1"/>
  <c r="G695" i="3"/>
  <c r="G696" i="3"/>
  <c r="G691" i="3"/>
  <c r="I54" i="12"/>
  <c r="J54" i="12" s="1"/>
  <c r="E53" i="12" s="1"/>
  <c r="AG435" i="3" s="1"/>
  <c r="E30" i="12"/>
  <c r="E33" i="12" s="1"/>
  <c r="F51" i="12" s="1"/>
  <c r="E50" i="12" s="1"/>
  <c r="AG434" i="3" s="1"/>
  <c r="E31" i="12"/>
  <c r="E32" i="12"/>
  <c r="D12" i="12"/>
  <c r="I40" i="12"/>
  <c r="J40" i="12" s="1"/>
  <c r="K40" i="12" s="1"/>
  <c r="I39" i="12"/>
  <c r="I41" i="12" s="1"/>
  <c r="AF5" i="12" s="1"/>
  <c r="I38" i="12"/>
  <c r="J38" i="12" s="1"/>
  <c r="K38" i="12" s="1"/>
  <c r="I37" i="12"/>
  <c r="T751" i="3"/>
  <c r="E40" i="12"/>
  <c r="E39" i="12"/>
  <c r="E38" i="12"/>
  <c r="D33" i="12"/>
  <c r="D26" i="12"/>
  <c r="AG426" i="3"/>
  <c r="AG427" i="3" s="1"/>
  <c r="I24" i="12"/>
  <c r="J24" i="12" s="1"/>
  <c r="K24" i="12" s="1"/>
  <c r="I23" i="12"/>
  <c r="J23" i="12"/>
  <c r="K23" i="12"/>
  <c r="I22" i="12"/>
  <c r="K693" i="3" s="1"/>
  <c r="C6" i="10" s="1"/>
  <c r="I21" i="12"/>
  <c r="J21" i="12" s="1"/>
  <c r="K692" i="3"/>
  <c r="I20" i="12"/>
  <c r="K691" i="3" s="1"/>
  <c r="C4" i="10" s="1"/>
  <c r="J20" i="12"/>
  <c r="K20" i="12" s="1"/>
  <c r="E25" i="12"/>
  <c r="E24" i="12"/>
  <c r="E23" i="12"/>
  <c r="E22" i="12"/>
  <c r="E20" i="12"/>
  <c r="H102" i="12"/>
  <c r="H100" i="12"/>
  <c r="AG94" i="12"/>
  <c r="AG88" i="12"/>
  <c r="R54" i="12"/>
  <c r="R55" i="12"/>
  <c r="Q54" i="12"/>
  <c r="Q55" i="12"/>
  <c r="AH52" i="12"/>
  <c r="R52" i="12"/>
  <c r="E47" i="12"/>
  <c r="AG432" i="3"/>
  <c r="AJ46" i="12"/>
  <c r="AG46" i="12"/>
  <c r="AH46" i="12" s="1"/>
  <c r="R46" i="12"/>
  <c r="AG45" i="12"/>
  <c r="AH45" i="12" s="1"/>
  <c r="AJ44" i="12"/>
  <c r="AG44" i="12"/>
  <c r="AH44" i="12" s="1"/>
  <c r="BX42" i="12"/>
  <c r="BR42" i="12"/>
  <c r="BJ42" i="12"/>
  <c r="BP41" i="12"/>
  <c r="BP40" i="12"/>
  <c r="BP39" i="12"/>
  <c r="P39" i="12"/>
  <c r="Q39" i="12" s="1"/>
  <c r="BP38" i="12"/>
  <c r="W38" i="12"/>
  <c r="BN37" i="12"/>
  <c r="W37" i="12"/>
  <c r="BN36" i="12"/>
  <c r="BA36" i="12"/>
  <c r="BP36" i="12"/>
  <c r="BN35" i="12"/>
  <c r="BP35" i="12" s="1"/>
  <c r="BA35" i="12"/>
  <c r="AH33" i="12"/>
  <c r="W805" i="3"/>
  <c r="AH31" i="12"/>
  <c r="X30" i="12"/>
  <c r="AH29" i="12"/>
  <c r="AH28" i="12"/>
  <c r="AH27" i="12"/>
  <c r="R27" i="12"/>
  <c r="Q27" i="12"/>
  <c r="AH16" i="12"/>
  <c r="AH15" i="12"/>
  <c r="X14" i="12"/>
  <c r="BY12" i="12"/>
  <c r="BU12" i="12"/>
  <c r="BU13" i="12" s="1"/>
  <c r="BU14" i="12" s="1"/>
  <c r="BU15" i="12" s="1"/>
  <c r="BU16" i="12" s="1"/>
  <c r="BU17" i="12" s="1"/>
  <c r="BU18" i="12" s="1"/>
  <c r="BU19" i="12" s="1"/>
  <c r="BU20" i="12" s="1"/>
  <c r="BU21" i="12" s="1"/>
  <c r="BU22" i="12" s="1"/>
  <c r="BU23" i="12" s="1"/>
  <c r="BU24" i="12" s="1"/>
  <c r="BU25" i="12" s="1"/>
  <c r="BU26" i="12" s="1"/>
  <c r="BU27" i="12" s="1"/>
  <c r="BU28" i="12" s="1"/>
  <c r="BU29" i="12" s="1"/>
  <c r="BU30" i="12" s="1"/>
  <c r="BU31" i="12" s="1"/>
  <c r="BU32" i="12" s="1"/>
  <c r="BS12" i="12"/>
  <c r="BD12" i="12"/>
  <c r="BD42" i="12"/>
  <c r="BN11" i="12"/>
  <c r="BM11" i="12"/>
  <c r="BL11" i="12"/>
  <c r="BK11" i="12"/>
  <c r="BJ11" i="12"/>
  <c r="BI11" i="12"/>
  <c r="BH11" i="12"/>
  <c r="BG11" i="12"/>
  <c r="BF11" i="12"/>
  <c r="BA11" i="12"/>
  <c r="AZ11" i="12"/>
  <c r="AW11" i="12"/>
  <c r="AV11" i="12"/>
  <c r="AU11" i="12"/>
  <c r="AT11" i="12"/>
  <c r="AS11" i="12"/>
  <c r="AR11" i="12"/>
  <c r="AX9" i="12"/>
  <c r="BD8" i="12"/>
  <c r="AY5" i="12"/>
  <c r="AE14" i="12"/>
  <c r="AG14" i="12" s="1"/>
  <c r="BW2" i="12"/>
  <c r="AN1" i="12"/>
  <c r="AA1" i="12"/>
  <c r="N1" i="12"/>
  <c r="J22" i="12"/>
  <c r="K22" i="12" s="1"/>
  <c r="BS13" i="12"/>
  <c r="BS14" i="12" s="1"/>
  <c r="K695" i="3"/>
  <c r="K694" i="3"/>
  <c r="AG433" i="3"/>
  <c r="O39" i="12"/>
  <c r="D41" i="12"/>
  <c r="AD5" i="12"/>
  <c r="C26" i="12"/>
  <c r="S33" i="4"/>
  <c r="W39" i="12"/>
  <c r="X46" i="12" s="1"/>
  <c r="BW10" i="12"/>
  <c r="BW13" i="12"/>
  <c r="BY13" i="12"/>
  <c r="C32" i="4"/>
  <c r="S32" i="4"/>
  <c r="C31" i="4"/>
  <c r="S31" i="4" s="1"/>
  <c r="E31" i="18" s="1"/>
  <c r="F31" i="18" s="1"/>
  <c r="AD4" i="12"/>
  <c r="I26" i="12"/>
  <c r="AF4" i="12" s="1"/>
  <c r="AG4" i="12" s="1"/>
  <c r="AH4" i="12" s="1"/>
  <c r="BS11" i="12"/>
  <c r="BR11" i="12"/>
  <c r="AE24" i="12"/>
  <c r="AG24" i="12"/>
  <c r="AH24" i="12" s="1"/>
  <c r="X16" i="12"/>
  <c r="X37" i="12" s="1"/>
  <c r="AE76" i="12"/>
  <c r="AG76" i="12" s="1"/>
  <c r="AH76" i="12" s="1"/>
  <c r="AE17" i="12"/>
  <c r="AG17" i="12"/>
  <c r="AH17" i="12" s="1"/>
  <c r="AE73" i="12"/>
  <c r="AG73" i="12" s="1"/>
  <c r="AH73" i="12" s="1"/>
  <c r="AE30" i="12"/>
  <c r="AG30" i="12" s="1"/>
  <c r="AH30" i="12" s="1"/>
  <c r="AE27" i="12"/>
  <c r="AE25" i="12"/>
  <c r="AG25" i="12" s="1"/>
  <c r="AH25" i="12" s="1"/>
  <c r="AE78" i="12"/>
  <c r="AG78" i="12" s="1"/>
  <c r="AH78" i="12" s="1"/>
  <c r="W828" i="3" s="1"/>
  <c r="AE70" i="12"/>
  <c r="AG70" i="12" s="1"/>
  <c r="AH70" i="12" s="1"/>
  <c r="AE66" i="12"/>
  <c r="AG66" i="12" s="1"/>
  <c r="AH66" i="12" s="1"/>
  <c r="AE42" i="12"/>
  <c r="AG42" i="12" s="1"/>
  <c r="AH42" i="12" s="1"/>
  <c r="W817" i="3" s="1"/>
  <c r="AE80" i="12"/>
  <c r="AG80" i="12" s="1"/>
  <c r="AE75" i="12"/>
  <c r="AG75" i="12" s="1"/>
  <c r="AH75" i="12" s="1"/>
  <c r="AE63" i="12"/>
  <c r="AG63" i="12" s="1"/>
  <c r="AH63" i="12" s="1"/>
  <c r="AE72" i="12"/>
  <c r="AG72" i="12" s="1"/>
  <c r="AH72" i="12" s="1"/>
  <c r="AE20" i="12"/>
  <c r="AG20" i="12"/>
  <c r="AH20" i="12" s="1"/>
  <c r="AE96" i="12"/>
  <c r="AG96" i="12" s="1"/>
  <c r="AE65" i="12"/>
  <c r="AG65" i="12"/>
  <c r="AH65" i="12" s="1"/>
  <c r="AE41" i="12"/>
  <c r="AG41" i="12" s="1"/>
  <c r="AH41" i="12" s="1"/>
  <c r="W816" i="3" s="1"/>
  <c r="AE79" i="12"/>
  <c r="AG79" i="12" s="1"/>
  <c r="AH79" i="12" s="1"/>
  <c r="W829" i="3" s="1"/>
  <c r="AE62" i="12"/>
  <c r="AG62" i="12" s="1"/>
  <c r="AH62" i="12" s="1"/>
  <c r="AE28" i="12"/>
  <c r="AE26" i="12"/>
  <c r="AG26" i="12" s="1"/>
  <c r="AH26" i="12" s="1"/>
  <c r="Q47" i="12"/>
  <c r="R47" i="12" s="1"/>
  <c r="AW13" i="12"/>
  <c r="D36" i="4"/>
  <c r="AD3" i="12"/>
  <c r="AG425" i="3"/>
  <c r="J37" i="12"/>
  <c r="K37" i="12" s="1"/>
  <c r="AG424" i="3"/>
  <c r="C66" i="25"/>
  <c r="G67" i="25" s="1"/>
  <c r="O751" i="3"/>
  <c r="BA621" i="3"/>
  <c r="D43" i="12"/>
  <c r="E37" i="12"/>
  <c r="E41" i="12"/>
  <c r="E45" i="12" s="1"/>
  <c r="C34" i="4"/>
  <c r="S34" i="4" s="1"/>
  <c r="E34" i="18" s="1"/>
  <c r="F34" i="18" s="1"/>
  <c r="AG617" i="3"/>
  <c r="F107" i="4" s="1"/>
  <c r="X44" i="12"/>
  <c r="C50" i="4" s="1"/>
  <c r="X41" i="12"/>
  <c r="C44" i="4" s="1"/>
  <c r="S44" i="4" s="1"/>
  <c r="E44" i="18" s="1"/>
  <c r="F44" i="18" s="1"/>
  <c r="BW14" i="12"/>
  <c r="BY14" i="12" s="1"/>
  <c r="AW14" i="12" s="1"/>
  <c r="BW3" i="12"/>
  <c r="AG501" i="6"/>
  <c r="AG499" i="6"/>
  <c r="AG512" i="6"/>
  <c r="AG510" i="6"/>
  <c r="AG506" i="6"/>
  <c r="AG537" i="6"/>
  <c r="AD66" i="5"/>
  <c r="Y66" i="5"/>
  <c r="T25" i="5"/>
  <c r="AI7" i="5" s="1"/>
  <c r="I11" i="18"/>
  <c r="I25" i="18"/>
  <c r="I36" i="18"/>
  <c r="I40" i="18"/>
  <c r="I52" i="18"/>
  <c r="I62" i="18"/>
  <c r="I95" i="18" s="1"/>
  <c r="I104" i="18" s="1"/>
  <c r="I106" i="18" s="1"/>
  <c r="I66" i="18"/>
  <c r="I77" i="18"/>
  <c r="I94" i="18"/>
  <c r="I103" i="18"/>
  <c r="J11" i="18"/>
  <c r="J25" i="18"/>
  <c r="J62" i="18" s="1"/>
  <c r="J95" i="18" s="1"/>
  <c r="J104" i="18" s="1"/>
  <c r="J106" i="18" s="1"/>
  <c r="J36" i="18"/>
  <c r="J40" i="18"/>
  <c r="J52" i="18"/>
  <c r="J66" i="18"/>
  <c r="J77" i="18"/>
  <c r="J94" i="18"/>
  <c r="J103" i="18"/>
  <c r="T11" i="4"/>
  <c r="T62" i="4" s="1"/>
  <c r="T95" i="4" s="1"/>
  <c r="T104" i="4" s="1"/>
  <c r="T106" i="4" s="1"/>
  <c r="H106" i="18" s="1"/>
  <c r="T25" i="4"/>
  <c r="T36" i="4"/>
  <c r="T40" i="4"/>
  <c r="T52" i="4"/>
  <c r="T66" i="4"/>
  <c r="H66" i="18" s="1"/>
  <c r="T77" i="4"/>
  <c r="T94" i="4"/>
  <c r="T103" i="4"/>
  <c r="AD20" i="5"/>
  <c r="AD22" i="5"/>
  <c r="V961" i="3"/>
  <c r="AN929" i="3"/>
  <c r="AN901" i="3" s="1"/>
  <c r="AO889" i="3" s="1"/>
  <c r="AN930" i="3"/>
  <c r="AN931" i="3"/>
  <c r="AN932" i="3"/>
  <c r="AN933" i="3"/>
  <c r="AN934" i="3"/>
  <c r="AN935" i="3"/>
  <c r="AN936" i="3"/>
  <c r="AN937" i="3"/>
  <c r="B5" i="15"/>
  <c r="G90" i="25"/>
  <c r="G98" i="25" s="1"/>
  <c r="D100" i="25" s="1"/>
  <c r="D102" i="25" s="1"/>
  <c r="D104" i="25" s="1"/>
  <c r="D110" i="25" s="1"/>
  <c r="G38" i="25" s="1"/>
  <c r="G91" i="25"/>
  <c r="G92" i="25"/>
  <c r="G93" i="25"/>
  <c r="G94" i="25"/>
  <c r="G95" i="25"/>
  <c r="G96" i="25"/>
  <c r="G97" i="25"/>
  <c r="Q91" i="25"/>
  <c r="Q93" i="25"/>
  <c r="E50" i="25"/>
  <c r="G52" i="25" s="1"/>
  <c r="Q48" i="25"/>
  <c r="D8" i="4"/>
  <c r="D11" i="4"/>
  <c r="D25" i="4"/>
  <c r="C25" i="4"/>
  <c r="B25" i="4" s="1"/>
  <c r="D40" i="4"/>
  <c r="D52" i="4"/>
  <c r="D61" i="4"/>
  <c r="D66" i="4"/>
  <c r="D73" i="4"/>
  <c r="D77" i="4"/>
  <c r="D94" i="4"/>
  <c r="D103" i="4"/>
  <c r="C8" i="4"/>
  <c r="B8" i="18"/>
  <c r="C11" i="4"/>
  <c r="C40" i="4"/>
  <c r="B40" i="18"/>
  <c r="C61" i="4"/>
  <c r="C66" i="4"/>
  <c r="C65" i="25"/>
  <c r="Y20" i="5"/>
  <c r="Y22" i="5" s="1"/>
  <c r="AI20" i="5"/>
  <c r="AI22" i="5"/>
  <c r="S25" i="4"/>
  <c r="S40" i="4"/>
  <c r="E40" i="18"/>
  <c r="E38" i="18"/>
  <c r="F38" i="18"/>
  <c r="F40" i="18" s="1"/>
  <c r="E39" i="18"/>
  <c r="F39" i="18"/>
  <c r="T20" i="5"/>
  <c r="T22" i="5"/>
  <c r="U61" i="25"/>
  <c r="U69" i="25" s="1"/>
  <c r="U63" i="25"/>
  <c r="U65" i="25"/>
  <c r="U67" i="25"/>
  <c r="AP377" i="6"/>
  <c r="BA587" i="3"/>
  <c r="BA588" i="3"/>
  <c r="BA589"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79" i="6" s="1"/>
  <c r="AQ379" i="6" s="1"/>
  <c r="AP378" i="6"/>
  <c r="AP365" i="6"/>
  <c r="AP364" i="6"/>
  <c r="AP363" i="6"/>
  <c r="AP362" i="6"/>
  <c r="AP361" i="6"/>
  <c r="AP360" i="6"/>
  <c r="AP359" i="6"/>
  <c r="AP358" i="6"/>
  <c r="AP357" i="6"/>
  <c r="AP356" i="6"/>
  <c r="AP366" i="6" s="1"/>
  <c r="AQ366" i="6" s="1"/>
  <c r="AP355" i="6"/>
  <c r="AP354" i="6"/>
  <c r="AP353" i="6"/>
  <c r="AP352" i="6"/>
  <c r="E599" i="6"/>
  <c r="BD534" i="6"/>
  <c r="AD39" i="27"/>
  <c r="AD39" i="26"/>
  <c r="T21" i="27"/>
  <c r="Y21" i="27"/>
  <c r="AD21" i="27"/>
  <c r="AI21" i="27"/>
  <c r="T13" i="27"/>
  <c r="T20" i="27" s="1"/>
  <c r="T22" i="27" s="1"/>
  <c r="Y13" i="27"/>
  <c r="Y14" i="27"/>
  <c r="Y20" i="27" s="1"/>
  <c r="Y22" i="27" s="1"/>
  <c r="Y15" i="27"/>
  <c r="Y16" i="27"/>
  <c r="Y17" i="27"/>
  <c r="Y18" i="27"/>
  <c r="Y19" i="27"/>
  <c r="AD13" i="27"/>
  <c r="AD20" i="27" s="1"/>
  <c r="AD22" i="27" s="1"/>
  <c r="AD14" i="27"/>
  <c r="AD15" i="27"/>
  <c r="AD16" i="27"/>
  <c r="AD17" i="27"/>
  <c r="AD18" i="27"/>
  <c r="AD19" i="27"/>
  <c r="AI13" i="27"/>
  <c r="AI14" i="27"/>
  <c r="AI15" i="27"/>
  <c r="AI20" i="27" s="1"/>
  <c r="AI22" i="27" s="1"/>
  <c r="AI16" i="27"/>
  <c r="AI17" i="27"/>
  <c r="AI18" i="27"/>
  <c r="AI19" i="27"/>
  <c r="T14" i="27"/>
  <c r="T15" i="27"/>
  <c r="T16" i="27"/>
  <c r="T17" i="27"/>
  <c r="T18" i="27"/>
  <c r="T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7" i="3"/>
  <c r="AO887" i="3" s="1"/>
  <c r="AD949" i="3"/>
  <c r="AO888" i="3"/>
  <c r="AD969" i="3"/>
  <c r="T21" i="26"/>
  <c r="Y21" i="26"/>
  <c r="AD21" i="26"/>
  <c r="AI21" i="26"/>
  <c r="C19" i="26"/>
  <c r="T13" i="26"/>
  <c r="T20" i="26" s="1"/>
  <c r="T22" i="26" s="1"/>
  <c r="T14" i="26"/>
  <c r="T15" i="26"/>
  <c r="T16" i="26"/>
  <c r="T17" i="26"/>
  <c r="T18" i="26"/>
  <c r="T19" i="26"/>
  <c r="Y13" i="26"/>
  <c r="Y14" i="26"/>
  <c r="Y20" i="26" s="1"/>
  <c r="Y22" i="26" s="1"/>
  <c r="Y15" i="26"/>
  <c r="Y16" i="26"/>
  <c r="Y17" i="26"/>
  <c r="Y18" i="26"/>
  <c r="Y19" i="26"/>
  <c r="AD13" i="26"/>
  <c r="AI13" i="26"/>
  <c r="AD14" i="26"/>
  <c r="AD20" i="26" s="1"/>
  <c r="AD22" i="26" s="1"/>
  <c r="AI14" i="26"/>
  <c r="AD15" i="26"/>
  <c r="AD16" i="26"/>
  <c r="AD17" i="26"/>
  <c r="AD18" i="26"/>
  <c r="AD19" i="26"/>
  <c r="AI15" i="26"/>
  <c r="AI20" i="26" s="1"/>
  <c r="AI22" i="26" s="1"/>
  <c r="AI16" i="26"/>
  <c r="AI17" i="26"/>
  <c r="AI18" i="26"/>
  <c r="AI19" i="26"/>
  <c r="AD67" i="26"/>
  <c r="B77" i="15"/>
  <c r="I36" i="4"/>
  <c r="I8" i="4"/>
  <c r="I11" i="4"/>
  <c r="I12" i="4"/>
  <c r="I25" i="4"/>
  <c r="I40" i="4"/>
  <c r="I52" i="4"/>
  <c r="I61" i="4"/>
  <c r="I77" i="4"/>
  <c r="I66" i="4"/>
  <c r="I73" i="4"/>
  <c r="I94" i="4"/>
  <c r="J77" i="4"/>
  <c r="J8" i="4"/>
  <c r="J11" i="4"/>
  <c r="J25" i="4"/>
  <c r="J62" i="4" s="1"/>
  <c r="J95" i="4" s="1"/>
  <c r="J104" i="4" s="1"/>
  <c r="J36" i="4"/>
  <c r="J40" i="4"/>
  <c r="J52" i="4"/>
  <c r="J61" i="4"/>
  <c r="J66" i="4"/>
  <c r="J73" i="4"/>
  <c r="J94" i="4"/>
  <c r="J103" i="4"/>
  <c r="K8" i="4"/>
  <c r="K62" i="4" s="1"/>
  <c r="K95" i="4" s="1"/>
  <c r="K104" i="4" s="1"/>
  <c r="K11" i="4"/>
  <c r="K25" i="4"/>
  <c r="K36" i="4"/>
  <c r="K40" i="4"/>
  <c r="K52" i="4"/>
  <c r="K61" i="4"/>
  <c r="K66" i="4"/>
  <c r="K73" i="4"/>
  <c r="K77" i="4"/>
  <c r="K94" i="4"/>
  <c r="K103" i="4"/>
  <c r="L8" i="4"/>
  <c r="L62" i="4" s="1"/>
  <c r="L11" i="4"/>
  <c r="L25" i="4"/>
  <c r="L36" i="4"/>
  <c r="L40" i="4"/>
  <c r="L52" i="4"/>
  <c r="L61" i="4"/>
  <c r="L66" i="4"/>
  <c r="L73" i="4"/>
  <c r="L77" i="4"/>
  <c r="L94" i="4"/>
  <c r="L103" i="4"/>
  <c r="M8" i="4"/>
  <c r="M11" i="4"/>
  <c r="M25" i="4"/>
  <c r="M36" i="4"/>
  <c r="M40" i="4"/>
  <c r="M52" i="4"/>
  <c r="M61" i="4"/>
  <c r="M66" i="4"/>
  <c r="M73" i="4"/>
  <c r="M77" i="4"/>
  <c r="M94" i="4"/>
  <c r="M103" i="4"/>
  <c r="N8" i="4"/>
  <c r="N62" i="4" s="1"/>
  <c r="N95" i="4" s="1"/>
  <c r="N104" i="4" s="1"/>
  <c r="N11" i="4"/>
  <c r="N25" i="4"/>
  <c r="N36" i="4"/>
  <c r="N40" i="4"/>
  <c r="N52" i="4"/>
  <c r="N61" i="4"/>
  <c r="N66" i="4"/>
  <c r="N73" i="4"/>
  <c r="N77" i="4"/>
  <c r="N94" i="4"/>
  <c r="N103" i="4"/>
  <c r="O8" i="4"/>
  <c r="O62" i="4" s="1"/>
  <c r="O11" i="4"/>
  <c r="O25" i="4"/>
  <c r="O36" i="4"/>
  <c r="O40" i="4"/>
  <c r="O52" i="4"/>
  <c r="O61" i="4"/>
  <c r="O66" i="4"/>
  <c r="O73" i="4"/>
  <c r="O77" i="4"/>
  <c r="O94" i="4"/>
  <c r="O95" i="4"/>
  <c r="P8" i="4"/>
  <c r="P62" i="4" s="1"/>
  <c r="P11" i="4"/>
  <c r="P25" i="4"/>
  <c r="P36" i="4"/>
  <c r="P40" i="4"/>
  <c r="P52" i="4"/>
  <c r="P61" i="4"/>
  <c r="P66" i="4"/>
  <c r="P73" i="4"/>
  <c r="P77" i="4"/>
  <c r="P94" i="4"/>
  <c r="Q8" i="4"/>
  <c r="Q11" i="4"/>
  <c r="Q25" i="4"/>
  <c r="Q36" i="4"/>
  <c r="Q62" i="4" s="1"/>
  <c r="Q40" i="4"/>
  <c r="Q52" i="4"/>
  <c r="Q61" i="4"/>
  <c r="Q66" i="4"/>
  <c r="Q73" i="4"/>
  <c r="Q77" i="4"/>
  <c r="Q94" i="4"/>
  <c r="G77" i="18"/>
  <c r="D77" i="18"/>
  <c r="R68" i="4"/>
  <c r="G77" i="4"/>
  <c r="H77" i="4"/>
  <c r="G73" i="4"/>
  <c r="C77" i="15"/>
  <c r="E77" i="15" s="1"/>
  <c r="D77" i="15"/>
  <c r="H76" i="18"/>
  <c r="G25" i="18"/>
  <c r="G62" i="18" s="1"/>
  <c r="G95" i="18" s="1"/>
  <c r="G104" i="18" s="1"/>
  <c r="G106" i="18" s="1"/>
  <c r="G36" i="18"/>
  <c r="G40" i="18"/>
  <c r="G52" i="18"/>
  <c r="G66" i="18"/>
  <c r="G94" i="18"/>
  <c r="G103" i="18"/>
  <c r="E10" i="7"/>
  <c r="J7" i="7"/>
  <c r="C9" i="9"/>
  <c r="C7" i="9"/>
  <c r="C5" i="9"/>
  <c r="H5" i="10"/>
  <c r="I5" i="10" s="1"/>
  <c r="I30" i="10" s="1"/>
  <c r="H6" i="10"/>
  <c r="I6" i="10"/>
  <c r="H7" i="10"/>
  <c r="I7" i="10" s="1"/>
  <c r="H8" i="10"/>
  <c r="I8" i="10" s="1"/>
  <c r="H9" i="10"/>
  <c r="I9" i="10" s="1"/>
  <c r="H10" i="10"/>
  <c r="I10" i="10" s="1"/>
  <c r="H11" i="10"/>
  <c r="I11" i="10" s="1"/>
  <c r="H12" i="10"/>
  <c r="I12" i="10"/>
  <c r="H13" i="10"/>
  <c r="I13" i="10" s="1"/>
  <c r="H14" i="10"/>
  <c r="I14" i="10" s="1"/>
  <c r="H15" i="10"/>
  <c r="I15" i="10" s="1"/>
  <c r="H16" i="10"/>
  <c r="I16" i="10" s="1"/>
  <c r="H17" i="10"/>
  <c r="I17" i="10" s="1"/>
  <c r="H18" i="10"/>
  <c r="I18" i="10"/>
  <c r="H19" i="10"/>
  <c r="I19" i="10" s="1"/>
  <c r="H20" i="10"/>
  <c r="I20" i="10" s="1"/>
  <c r="H21" i="10"/>
  <c r="I21" i="10" s="1"/>
  <c r="H22" i="10"/>
  <c r="I22" i="10" s="1"/>
  <c r="H23" i="10"/>
  <c r="I23" i="10" s="1"/>
  <c r="H24" i="10"/>
  <c r="I24" i="10"/>
  <c r="H25" i="10"/>
  <c r="I25" i="10" s="1"/>
  <c r="H26" i="10"/>
  <c r="I26" i="10" s="1"/>
  <c r="H27" i="10"/>
  <c r="I27" i="10" s="1"/>
  <c r="H28" i="10"/>
  <c r="I28" i="10" s="1"/>
  <c r="H4" i="10"/>
  <c r="I4" i="10" s="1"/>
  <c r="A5" i="10"/>
  <c r="B5" i="10"/>
  <c r="F5" i="10" s="1"/>
  <c r="C5" i="10"/>
  <c r="A6" i="10"/>
  <c r="B6" i="10"/>
  <c r="F6" i="10"/>
  <c r="A7" i="10"/>
  <c r="C7" i="10"/>
  <c r="A8" i="10"/>
  <c r="B8" i="10"/>
  <c r="F8" i="10" s="1"/>
  <c r="C8" i="10"/>
  <c r="A9" i="10"/>
  <c r="B9" i="10"/>
  <c r="F9" i="10"/>
  <c r="C9" i="10"/>
  <c r="A10" i="10"/>
  <c r="B10" i="10"/>
  <c r="F10" i="10"/>
  <c r="C10" i="10"/>
  <c r="A11" i="10"/>
  <c r="B11" i="10"/>
  <c r="F11" i="10" s="1"/>
  <c r="C11" i="10"/>
  <c r="A12" i="10"/>
  <c r="B12" i="10"/>
  <c r="F12" i="10"/>
  <c r="C12" i="10"/>
  <c r="A13" i="10"/>
  <c r="B13" i="10"/>
  <c r="F13" i="10"/>
  <c r="C13" i="10"/>
  <c r="A14" i="10"/>
  <c r="B14" i="10"/>
  <c r="F14" i="10" s="1"/>
  <c r="C14" i="10"/>
  <c r="A15" i="10"/>
  <c r="B15" i="10"/>
  <c r="F15" i="10"/>
  <c r="C15" i="10"/>
  <c r="A16" i="10"/>
  <c r="B16" i="10"/>
  <c r="F16" i="10"/>
  <c r="C16" i="10"/>
  <c r="A17" i="10"/>
  <c r="B17" i="10"/>
  <c r="F17" i="10" s="1"/>
  <c r="C17" i="10"/>
  <c r="A18" i="10"/>
  <c r="B18" i="10"/>
  <c r="F18" i="10"/>
  <c r="C18" i="10"/>
  <c r="A19" i="10"/>
  <c r="B19" i="10"/>
  <c r="F19" i="10"/>
  <c r="C19" i="10"/>
  <c r="A20" i="10"/>
  <c r="B20" i="10"/>
  <c r="F20" i="10" s="1"/>
  <c r="C20" i="10"/>
  <c r="A21" i="10"/>
  <c r="B21" i="10"/>
  <c r="F21" i="10"/>
  <c r="C21" i="10"/>
  <c r="A22" i="10"/>
  <c r="B22" i="10"/>
  <c r="F22" i="10"/>
  <c r="C22" i="10"/>
  <c r="A23" i="10"/>
  <c r="B23" i="10"/>
  <c r="F23" i="10" s="1"/>
  <c r="C23" i="10"/>
  <c r="A24" i="10"/>
  <c r="B24" i="10"/>
  <c r="F24" i="10"/>
  <c r="C24" i="10"/>
  <c r="A25" i="10"/>
  <c r="B25" i="10"/>
  <c r="F25" i="10"/>
  <c r="C25" i="10"/>
  <c r="A26" i="10"/>
  <c r="B26" i="10"/>
  <c r="F26" i="10" s="1"/>
  <c r="C26" i="10"/>
  <c r="A27" i="10"/>
  <c r="B27" i="10"/>
  <c r="F27" i="10"/>
  <c r="C27" i="10"/>
  <c r="A28" i="10"/>
  <c r="B28" i="10"/>
  <c r="F28" i="10"/>
  <c r="C28" i="10"/>
  <c r="B4" i="10"/>
  <c r="F4" i="10" s="1"/>
  <c r="A4" i="10"/>
  <c r="AJ279" i="6"/>
  <c r="A102" i="18"/>
  <c r="A90" i="18"/>
  <c r="A91" i="18"/>
  <c r="A92" i="18"/>
  <c r="A93" i="18"/>
  <c r="A89" i="18"/>
  <c r="A72" i="18"/>
  <c r="A65" i="18"/>
  <c r="A60" i="18"/>
  <c r="A59" i="18"/>
  <c r="A51" i="18"/>
  <c r="A50" i="18"/>
  <c r="A35" i="18"/>
  <c r="A24" i="18"/>
  <c r="W586" i="6"/>
  <c r="AD67" i="5"/>
  <c r="B5" i="18"/>
  <c r="C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88" i="18"/>
  <c r="F88" i="18" s="1"/>
  <c r="E87" i="18"/>
  <c r="F87" i="18"/>
  <c r="E86" i="18"/>
  <c r="F86" i="18" s="1"/>
  <c r="E80" i="18"/>
  <c r="F80" i="18" s="1"/>
  <c r="E41" i="18"/>
  <c r="F41" i="18"/>
  <c r="E33" i="18"/>
  <c r="F33" i="18"/>
  <c r="E32" i="18"/>
  <c r="F32" i="18" s="1"/>
  <c r="E30" i="18"/>
  <c r="F30" i="18"/>
  <c r="E29" i="18"/>
  <c r="F29" i="18"/>
  <c r="E28" i="18"/>
  <c r="F28" i="18"/>
  <c r="E15" i="18"/>
  <c r="B88" i="18"/>
  <c r="C88" i="18" s="1"/>
  <c r="B87" i="18"/>
  <c r="C87" i="18"/>
  <c r="B86" i="18"/>
  <c r="C86" i="18" s="1"/>
  <c r="B80" i="18"/>
  <c r="C80" i="18" s="1"/>
  <c r="B79" i="18"/>
  <c r="C79" i="18" s="1"/>
  <c r="B64" i="18"/>
  <c r="C64" i="18" s="1"/>
  <c r="C66" i="18" s="1"/>
  <c r="B41" i="18"/>
  <c r="C41" i="18" s="1"/>
  <c r="B39" i="18"/>
  <c r="C39" i="18"/>
  <c r="C40" i="18" s="1"/>
  <c r="B38" i="18"/>
  <c r="C38" i="18"/>
  <c r="B33" i="18"/>
  <c r="C33" i="18"/>
  <c r="B32" i="18"/>
  <c r="C32" i="18"/>
  <c r="B31" i="18"/>
  <c r="C31" i="18"/>
  <c r="B30" i="18"/>
  <c r="C30" i="18"/>
  <c r="B29" i="18"/>
  <c r="C29" i="18" s="1"/>
  <c r="B28" i="18"/>
  <c r="C28" i="18"/>
  <c r="B4" i="18"/>
  <c r="C4" i="18"/>
  <c r="D103" i="18"/>
  <c r="D94" i="18"/>
  <c r="D73" i="18"/>
  <c r="D66" i="18"/>
  <c r="D61" i="18"/>
  <c r="D52" i="18"/>
  <c r="D40" i="18"/>
  <c r="D36" i="18"/>
  <c r="D25" i="18"/>
  <c r="D11" i="18"/>
  <c r="D8" i="18"/>
  <c r="AG526" i="6"/>
  <c r="AO659" i="6"/>
  <c r="AO658" i="6"/>
  <c r="AO657" i="6"/>
  <c r="AO656" i="6"/>
  <c r="AO654" i="6"/>
  <c r="AO655" i="6"/>
  <c r="AJ269" i="6"/>
  <c r="AJ254" i="6"/>
  <c r="AJ242" i="6"/>
  <c r="AJ228" i="6"/>
  <c r="AJ216" i="6"/>
  <c r="AJ204" i="6"/>
  <c r="AJ189" i="6"/>
  <c r="AJ144" i="6"/>
  <c r="AJ129" i="6"/>
  <c r="AK73" i="6"/>
  <c r="T702" i="6" s="1"/>
  <c r="AF702" i="6" s="1"/>
  <c r="AJ47" i="6"/>
  <c r="T701" i="6"/>
  <c r="AJ31" i="6"/>
  <c r="T700" i="6" s="1"/>
  <c r="AO634" i="6"/>
  <c r="AO633" i="6"/>
  <c r="AO635" i="6"/>
  <c r="AK661" i="6" s="1"/>
  <c r="T710" i="6" s="1"/>
  <c r="AF710" i="6" s="1"/>
  <c r="AG533" i="6"/>
  <c r="AG529" i="6"/>
  <c r="AG522" i="6"/>
  <c r="AG517" i="6"/>
  <c r="AG494" i="6"/>
  <c r="R83" i="4"/>
  <c r="R84" i="4"/>
  <c r="R85" i="4"/>
  <c r="R91" i="4"/>
  <c r="R58" i="4"/>
  <c r="R57" i="4"/>
  <c r="R56" i="4"/>
  <c r="R61" i="4" s="1"/>
  <c r="R55" i="4"/>
  <c r="R49" i="4"/>
  <c r="R48" i="4"/>
  <c r="R46" i="4"/>
  <c r="B35" i="4"/>
  <c r="E35" i="4" s="1"/>
  <c r="R35" i="4" s="1"/>
  <c r="R24" i="4"/>
  <c r="R23" i="4"/>
  <c r="R22" i="4"/>
  <c r="R17" i="4"/>
  <c r="R18" i="4"/>
  <c r="R19" i="4"/>
  <c r="R21" i="4"/>
  <c r="R15" i="4"/>
  <c r="R14" i="4"/>
  <c r="R9" i="4"/>
  <c r="R7" i="4"/>
  <c r="R6" i="4"/>
  <c r="C5" i="15"/>
  <c r="D5" i="15"/>
  <c r="D6" i="15"/>
  <c r="D7" i="15"/>
  <c r="D8" i="15"/>
  <c r="B6" i="15"/>
  <c r="C6" i="15"/>
  <c r="C7" i="15"/>
  <c r="C8" i="15"/>
  <c r="E8" i="15" s="1"/>
  <c r="C9" i="15"/>
  <c r="B7" i="15"/>
  <c r="B8" i="15"/>
  <c r="B10" i="15"/>
  <c r="B12" i="15" s="1"/>
  <c r="B11" i="15"/>
  <c r="C10" i="15"/>
  <c r="C12" i="15" s="1"/>
  <c r="C11" i="15"/>
  <c r="E11" i="15"/>
  <c r="D10" i="15"/>
  <c r="D12" i="15" s="1"/>
  <c r="D11" i="15"/>
  <c r="B14" i="15"/>
  <c r="C14" i="15"/>
  <c r="D14" i="15"/>
  <c r="B15" i="15"/>
  <c r="C15" i="15"/>
  <c r="D15" i="15"/>
  <c r="B16" i="15"/>
  <c r="C16" i="15"/>
  <c r="D16" i="15"/>
  <c r="B18" i="15"/>
  <c r="C18" i="15"/>
  <c r="D18" i="15"/>
  <c r="B19" i="15"/>
  <c r="C19" i="15"/>
  <c r="D19" i="15"/>
  <c r="B20" i="15"/>
  <c r="C20" i="15"/>
  <c r="E20" i="15" s="1"/>
  <c r="D20" i="15"/>
  <c r="B21" i="15"/>
  <c r="C21" i="15"/>
  <c r="D21" i="15"/>
  <c r="B22" i="15"/>
  <c r="C22" i="15"/>
  <c r="D22" i="15"/>
  <c r="B23" i="15"/>
  <c r="C23" i="15"/>
  <c r="E23" i="15"/>
  <c r="D23" i="15"/>
  <c r="B24" i="15"/>
  <c r="C24" i="15"/>
  <c r="D24" i="15"/>
  <c r="B25" i="15"/>
  <c r="C25" i="15"/>
  <c r="E25" i="15"/>
  <c r="D25" i="15"/>
  <c r="D26" i="15" s="1"/>
  <c r="B27" i="15"/>
  <c r="C27" i="15"/>
  <c r="D27" i="15"/>
  <c r="B29" i="15"/>
  <c r="C29" i="15"/>
  <c r="E29" i="15" s="1"/>
  <c r="D29" i="15"/>
  <c r="D30" i="15"/>
  <c r="D31" i="15"/>
  <c r="D32" i="15"/>
  <c r="D33" i="15"/>
  <c r="D34" i="15"/>
  <c r="D36" i="15"/>
  <c r="B30" i="15"/>
  <c r="C30" i="15"/>
  <c r="B31" i="15"/>
  <c r="C31" i="15"/>
  <c r="B32" i="15"/>
  <c r="C32" i="15"/>
  <c r="C33" i="15"/>
  <c r="C34" i="15"/>
  <c r="C36" i="15"/>
  <c r="B33" i="15"/>
  <c r="B34" i="15"/>
  <c r="B36" i="15"/>
  <c r="B39" i="15"/>
  <c r="E39" i="15" s="1"/>
  <c r="C39" i="15"/>
  <c r="D39" i="15"/>
  <c r="D40" i="15"/>
  <c r="B40" i="15"/>
  <c r="C40" i="15"/>
  <c r="B42" i="15"/>
  <c r="C42" i="15"/>
  <c r="E42" i="15"/>
  <c r="D42" i="15"/>
  <c r="B47" i="15"/>
  <c r="E47" i="15" s="1"/>
  <c r="C47" i="15"/>
  <c r="B48" i="15"/>
  <c r="C48" i="15"/>
  <c r="E48" i="15" s="1"/>
  <c r="B49" i="15"/>
  <c r="E49" i="15" s="1"/>
  <c r="B50" i="15"/>
  <c r="C49" i="15"/>
  <c r="C50" i="15"/>
  <c r="D47" i="15"/>
  <c r="D48" i="15"/>
  <c r="D49" i="15"/>
  <c r="D50" i="15"/>
  <c r="B55" i="15"/>
  <c r="C55" i="15"/>
  <c r="D55" i="15"/>
  <c r="B56" i="15"/>
  <c r="C56" i="15"/>
  <c r="E56" i="15" s="1"/>
  <c r="D56" i="15"/>
  <c r="B57" i="15"/>
  <c r="E57" i="15" s="1"/>
  <c r="C57" i="15"/>
  <c r="D57" i="15"/>
  <c r="B58" i="15"/>
  <c r="C58" i="15"/>
  <c r="E58" i="15" s="1"/>
  <c r="D58" i="15"/>
  <c r="D62" i="15" s="1"/>
  <c r="B59" i="15"/>
  <c r="C59" i="15"/>
  <c r="E59" i="15" s="1"/>
  <c r="D59" i="15"/>
  <c r="B60" i="15"/>
  <c r="C60" i="15"/>
  <c r="E60" i="15"/>
  <c r="D60" i="15"/>
  <c r="B61" i="15"/>
  <c r="C61" i="15"/>
  <c r="E61" i="15" s="1"/>
  <c r="D61" i="15"/>
  <c r="B65" i="15"/>
  <c r="C65" i="15"/>
  <c r="E65" i="15" s="1"/>
  <c r="D65" i="15"/>
  <c r="D66" i="15"/>
  <c r="D67" i="15"/>
  <c r="B66" i="15"/>
  <c r="C66" i="15"/>
  <c r="E66" i="15" s="1"/>
  <c r="C67" i="15"/>
  <c r="B69" i="15"/>
  <c r="C69" i="15"/>
  <c r="D69" i="15"/>
  <c r="B70" i="15"/>
  <c r="C70" i="15"/>
  <c r="E70" i="15" s="1"/>
  <c r="D70" i="15"/>
  <c r="B71" i="15"/>
  <c r="C71" i="15"/>
  <c r="E71" i="15"/>
  <c r="D71" i="15"/>
  <c r="B73" i="15"/>
  <c r="E73" i="15" s="1"/>
  <c r="C73" i="15"/>
  <c r="D73" i="15"/>
  <c r="B80" i="15"/>
  <c r="C80" i="15"/>
  <c r="D80" i="15"/>
  <c r="B81" i="15"/>
  <c r="C81" i="15"/>
  <c r="D81" i="15"/>
  <c r="B84" i="15"/>
  <c r="C84" i="15"/>
  <c r="E84" i="15"/>
  <c r="D84" i="15"/>
  <c r="B85" i="15"/>
  <c r="C85" i="15"/>
  <c r="E85" i="15" s="1"/>
  <c r="D85" i="15"/>
  <c r="B86" i="15"/>
  <c r="C86" i="15"/>
  <c r="D86" i="15"/>
  <c r="B87" i="15"/>
  <c r="C87" i="15"/>
  <c r="D87" i="15"/>
  <c r="B88" i="15"/>
  <c r="C88" i="15"/>
  <c r="D88" i="15"/>
  <c r="B89" i="15"/>
  <c r="C89" i="15"/>
  <c r="D89" i="15"/>
  <c r="B91" i="15"/>
  <c r="B92" i="15"/>
  <c r="B93" i="15"/>
  <c r="E93" i="15" s="1"/>
  <c r="C93" i="15"/>
  <c r="B94" i="15"/>
  <c r="C94" i="15"/>
  <c r="E94" i="15" s="1"/>
  <c r="C91" i="15"/>
  <c r="E91" i="15" s="1"/>
  <c r="C92" i="15"/>
  <c r="E92" i="15" s="1"/>
  <c r="D91" i="15"/>
  <c r="D92" i="15"/>
  <c r="D93" i="15"/>
  <c r="D94" i="15"/>
  <c r="D99" i="15"/>
  <c r="D100" i="15"/>
  <c r="D101" i="15"/>
  <c r="D102" i="15"/>
  <c r="D103" i="15"/>
  <c r="B99" i="15"/>
  <c r="E99" i="15" s="1"/>
  <c r="C99" i="15"/>
  <c r="B100" i="15"/>
  <c r="C100" i="15"/>
  <c r="B101" i="15"/>
  <c r="C101" i="15"/>
  <c r="E101" i="15" s="1"/>
  <c r="B102" i="15"/>
  <c r="C102" i="15"/>
  <c r="B103" i="15"/>
  <c r="C103" i="15"/>
  <c r="E66" i="18"/>
  <c r="H11" i="18"/>
  <c r="H25" i="18"/>
  <c r="H36" i="18"/>
  <c r="H52" i="18"/>
  <c r="H94" i="18"/>
  <c r="H103" i="18"/>
  <c r="B11" i="18"/>
  <c r="B61" i="4"/>
  <c r="B66"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3" i="3"/>
  <c r="Y754" i="3"/>
  <c r="Y755" i="3"/>
  <c r="Y756" i="3"/>
  <c r="Y757" i="3"/>
  <c r="Y758" i="3"/>
  <c r="Y759" i="3"/>
  <c r="Y760" i="3"/>
  <c r="E23" i="9"/>
  <c r="G23" i="9"/>
  <c r="I23" i="9"/>
  <c r="K23" i="9"/>
  <c r="M23" i="9" s="1"/>
  <c r="O23" i="9" s="1"/>
  <c r="Q23" i="9" s="1"/>
  <c r="S23" i="9" s="1"/>
  <c r="U23" i="9" s="1"/>
  <c r="W23" i="9" s="1"/>
  <c r="Y23" i="9" s="1"/>
  <c r="AA23" i="9" s="1"/>
  <c r="AC23" i="9" s="1"/>
  <c r="AE23" i="9" s="1"/>
  <c r="AG23" i="9" s="1"/>
  <c r="E24" i="9"/>
  <c r="G24" i="9" s="1"/>
  <c r="I24" i="9"/>
  <c r="K24" i="9" s="1"/>
  <c r="M24" i="9" s="1"/>
  <c r="O24" i="9" s="1"/>
  <c r="Q24" i="9" s="1"/>
  <c r="S24" i="9" s="1"/>
  <c r="U24" i="9" s="1"/>
  <c r="W24" i="9" s="1"/>
  <c r="Y24" i="9" s="1"/>
  <c r="AA24" i="9" s="1"/>
  <c r="AC24" i="9" s="1"/>
  <c r="AE24" i="9" s="1"/>
  <c r="AG24" i="9" s="1"/>
  <c r="G26" i="9"/>
  <c r="I26" i="9" s="1"/>
  <c r="K26" i="9" s="1"/>
  <c r="M26" i="9" s="1"/>
  <c r="O26" i="9" s="1"/>
  <c r="Q26" i="9" s="1"/>
  <c r="S26" i="9" s="1"/>
  <c r="U26" i="9" s="1"/>
  <c r="W26" i="9" s="1"/>
  <c r="Y26" i="9" s="1"/>
  <c r="AA26" i="9" s="1"/>
  <c r="AC26" i="9" s="1"/>
  <c r="AE26" i="9" s="1"/>
  <c r="AG26" i="9" s="1"/>
  <c r="A28" i="9"/>
  <c r="E28" i="9"/>
  <c r="G28" i="9" s="1"/>
  <c r="I28" i="9" s="1"/>
  <c r="K28" i="9"/>
  <c r="M28" i="9"/>
  <c r="O28" i="9" s="1"/>
  <c r="Q28" i="9" s="1"/>
  <c r="S28" i="9" s="1"/>
  <c r="U28" i="9" s="1"/>
  <c r="W28" i="9" s="1"/>
  <c r="Y28" i="9" s="1"/>
  <c r="AA28" i="9" s="1"/>
  <c r="AC28" i="9" s="1"/>
  <c r="AE28" i="9" s="1"/>
  <c r="AG28" i="9" s="1"/>
  <c r="A35" i="9"/>
  <c r="AC36" i="9"/>
  <c r="AC37" i="9"/>
  <c r="I36" i="9"/>
  <c r="I37" i="9"/>
  <c r="G36" i="9"/>
  <c r="K36" i="9"/>
  <c r="M36" i="9"/>
  <c r="O36" i="9"/>
  <c r="Q36" i="9"/>
  <c r="S36" i="9"/>
  <c r="U36" i="9"/>
  <c r="W36" i="9"/>
  <c r="Y36" i="9"/>
  <c r="AA36" i="9"/>
  <c r="AE36" i="9"/>
  <c r="AG36" i="9"/>
  <c r="G37" i="9"/>
  <c r="K37" i="9"/>
  <c r="M37" i="9"/>
  <c r="O37" i="9"/>
  <c r="Q37" i="9"/>
  <c r="S37" i="9"/>
  <c r="U37" i="9"/>
  <c r="W37" i="9"/>
  <c r="Y37" i="9"/>
  <c r="AA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612" i="3" s="1"/>
  <c r="T618" i="6" s="1"/>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612" i="3" s="1"/>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E5" i="4"/>
  <c r="R5" i="4"/>
  <c r="E11" i="4"/>
  <c r="G8" i="4"/>
  <c r="H8" i="4"/>
  <c r="H12" i="4" s="1"/>
  <c r="H11" i="4"/>
  <c r="L12" i="4"/>
  <c r="F11" i="4"/>
  <c r="G11" i="4"/>
  <c r="K12" i="4"/>
  <c r="O12" i="4"/>
  <c r="E25" i="4"/>
  <c r="F25" i="4"/>
  <c r="G25" i="4"/>
  <c r="H25" i="4"/>
  <c r="Q103" i="4"/>
  <c r="B28" i="4"/>
  <c r="E28" i="4" s="1"/>
  <c r="R28" i="4" s="1"/>
  <c r="B29" i="4"/>
  <c r="F29" i="4" s="1"/>
  <c r="E29" i="4" s="1"/>
  <c r="B30" i="4"/>
  <c r="B31" i="4"/>
  <c r="F31" i="4"/>
  <c r="B32" i="4"/>
  <c r="B33" i="4"/>
  <c r="H36" i="4"/>
  <c r="O103" i="4"/>
  <c r="O104" i="4"/>
  <c r="B38" i="4"/>
  <c r="E38" i="4" s="1"/>
  <c r="R38" i="4" s="1"/>
  <c r="R40" i="4" s="1"/>
  <c r="B39" i="4"/>
  <c r="G40" i="4"/>
  <c r="H40" i="4"/>
  <c r="B41" i="4"/>
  <c r="E41" i="4" s="1"/>
  <c r="R41" i="4" s="1"/>
  <c r="B47" i="4"/>
  <c r="E47" i="4" s="1"/>
  <c r="R47" i="4" s="1"/>
  <c r="F61" i="4"/>
  <c r="F103" i="4"/>
  <c r="G52" i="4"/>
  <c r="H52" i="4"/>
  <c r="G61" i="4"/>
  <c r="H61" i="4"/>
  <c r="B64" i="4"/>
  <c r="B65" i="4"/>
  <c r="G66" i="4"/>
  <c r="H66" i="4"/>
  <c r="H73" i="4"/>
  <c r="B79" i="4"/>
  <c r="B80" i="4"/>
  <c r="B86" i="4"/>
  <c r="B87" i="4"/>
  <c r="B88" i="4"/>
  <c r="G94" i="4"/>
  <c r="H94" i="4"/>
  <c r="R98" i="4"/>
  <c r="R99" i="4"/>
  <c r="R100" i="4"/>
  <c r="R101" i="4"/>
  <c r="R102" i="4"/>
  <c r="H103" i="4"/>
  <c r="I103" i="4"/>
  <c r="P103"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c r="AV587" i="3"/>
  <c r="AX587" i="3" s="1"/>
  <c r="AR588" i="3"/>
  <c r="AT588" i="3"/>
  <c r="AV588" i="3"/>
  <c r="AX588" i="3"/>
  <c r="AR589" i="3"/>
  <c r="AT589" i="3" s="1"/>
  <c r="AV589" i="3"/>
  <c r="AX589" i="3"/>
  <c r="AR590" i="3"/>
  <c r="AT590" i="3"/>
  <c r="AV590" i="3"/>
  <c r="AX590" i="3" s="1"/>
  <c r="G591" i="3"/>
  <c r="Z591" i="3"/>
  <c r="AR591" i="3"/>
  <c r="AT591" i="3"/>
  <c r="AV591" i="3"/>
  <c r="AX591" i="3" s="1"/>
  <c r="AR592" i="3"/>
  <c r="AT592" i="3"/>
  <c r="AV592" i="3"/>
  <c r="AX592" i="3"/>
  <c r="AR593" i="3"/>
  <c r="AT593" i="3" s="1"/>
  <c r="AV593" i="3"/>
  <c r="AX593" i="3"/>
  <c r="AR594" i="3"/>
  <c r="AT594" i="3"/>
  <c r="AV594" i="3"/>
  <c r="AX594" i="3" s="1"/>
  <c r="AR595" i="3"/>
  <c r="AT595" i="3"/>
  <c r="AV595" i="3"/>
  <c r="AX595" i="3"/>
  <c r="AR596" i="3"/>
  <c r="AT596" i="3" s="1"/>
  <c r="AV596" i="3"/>
  <c r="AX596" i="3"/>
  <c r="AR597" i="3"/>
  <c r="AT597" i="3"/>
  <c r="AV597" i="3"/>
  <c r="AX597" i="3" s="1"/>
  <c r="AR598" i="3"/>
  <c r="AT598" i="3"/>
  <c r="AV598" i="3"/>
  <c r="AX598" i="3"/>
  <c r="G599" i="3"/>
  <c r="Z599" i="3"/>
  <c r="AR599" i="3"/>
  <c r="AT599" i="3"/>
  <c r="AV599" i="3"/>
  <c r="AX599" i="3"/>
  <c r="AR600" i="3"/>
  <c r="AT600" i="3" s="1"/>
  <c r="AV600" i="3"/>
  <c r="AX600" i="3"/>
  <c r="AR601" i="3"/>
  <c r="AT601" i="3"/>
  <c r="AV601" i="3"/>
  <c r="AX601" i="3" s="1"/>
  <c r="AR602" i="3"/>
  <c r="AT602" i="3"/>
  <c r="AV602" i="3"/>
  <c r="AX602" i="3"/>
  <c r="AR603" i="3"/>
  <c r="AT603" i="3" s="1"/>
  <c r="AV603" i="3"/>
  <c r="AX603" i="3"/>
  <c r="AR604" i="3"/>
  <c r="AT604" i="3"/>
  <c r="AV604" i="3"/>
  <c r="AX604" i="3" s="1"/>
  <c r="AR605" i="3"/>
  <c r="AT605" i="3"/>
  <c r="AV605" i="3"/>
  <c r="AX605" i="3"/>
  <c r="AR606" i="3"/>
  <c r="AT606" i="3" s="1"/>
  <c r="AV606" i="3"/>
  <c r="AX606" i="3"/>
  <c r="AR607" i="3"/>
  <c r="AT607" i="3"/>
  <c r="AV607" i="3"/>
  <c r="AX607" i="3" s="1"/>
  <c r="AR608" i="3"/>
  <c r="AT608" i="3"/>
  <c r="AV608" i="3"/>
  <c r="AX608" i="3"/>
  <c r="AR609" i="3"/>
  <c r="AT609" i="3" s="1"/>
  <c r="AV609" i="3"/>
  <c r="AX609" i="3"/>
  <c r="AR610" i="3"/>
  <c r="AT610" i="3"/>
  <c r="AV610" i="3"/>
  <c r="AX610" i="3" s="1"/>
  <c r="AR611" i="3"/>
  <c r="AT611" i="3"/>
  <c r="AV611" i="3"/>
  <c r="AX611" i="3"/>
  <c r="G633" i="3"/>
  <c r="Z633" i="3"/>
  <c r="G641" i="3"/>
  <c r="Z641" i="3"/>
  <c r="G649" i="3"/>
  <c r="Z649" i="3"/>
  <c r="G657" i="3"/>
  <c r="Z657" i="3"/>
  <c r="G665" i="3"/>
  <c r="Z665" i="3"/>
  <c r="G673" i="3"/>
  <c r="Z673" i="3"/>
  <c r="AN674" i="3"/>
  <c r="AI691" i="3" s="1"/>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I694" i="3" s="1"/>
  <c r="AN694" i="3"/>
  <c r="Y695" i="3"/>
  <c r="AN695" i="3"/>
  <c r="Y696" i="3"/>
  <c r="AI696" i="3" s="1"/>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957" i="3"/>
  <c r="Z963" i="3"/>
  <c r="Q12" i="4"/>
  <c r="G12" i="4"/>
  <c r="M12" i="4"/>
  <c r="B61" i="18"/>
  <c r="D12" i="18"/>
  <c r="E55" i="15"/>
  <c r="H40" i="18"/>
  <c r="E102" i="15"/>
  <c r="B66" i="18"/>
  <c r="E15" i="15"/>
  <c r="P12" i="4"/>
  <c r="N12" i="4"/>
  <c r="J12" i="4"/>
  <c r="D62" i="18"/>
  <c r="D95" i="18"/>
  <c r="D104" i="18"/>
  <c r="R11" i="4"/>
  <c r="B11" i="4"/>
  <c r="E50" i="15"/>
  <c r="E25" i="18"/>
  <c r="E100" i="15"/>
  <c r="E27" i="15"/>
  <c r="E14" i="15"/>
  <c r="E16" i="15"/>
  <c r="E69" i="15"/>
  <c r="E103" i="15"/>
  <c r="Y741" i="3"/>
  <c r="E22" i="15"/>
  <c r="E7" i="15"/>
  <c r="E5" i="15"/>
  <c r="D12" i="4"/>
  <c r="F32" i="4"/>
  <c r="E32" i="4"/>
  <c r="R32" i="4"/>
  <c r="B8" i="4"/>
  <c r="AR3" i="12" s="1"/>
  <c r="AR12" i="12" s="1"/>
  <c r="AR42" i="12" s="1"/>
  <c r="E55" i="12"/>
  <c r="C49" i="12"/>
  <c r="E80" i="15"/>
  <c r="E86" i="4"/>
  <c r="R86" i="4"/>
  <c r="C12" i="4"/>
  <c r="B12" i="18" s="1"/>
  <c r="C8" i="18"/>
  <c r="C12" i="18"/>
  <c r="E6" i="15"/>
  <c r="AI693" i="3"/>
  <c r="Q41" i="12"/>
  <c r="Q42" i="12"/>
  <c r="Q43" i="12"/>
  <c r="R39" i="12"/>
  <c r="R41" i="12"/>
  <c r="F4" i="4"/>
  <c r="AK281" i="6"/>
  <c r="T704" i="6" s="1"/>
  <c r="AO697" i="6" s="1"/>
  <c r="AO696" i="6" s="1"/>
  <c r="T703" i="6" s="1"/>
  <c r="AF703" i="6" s="1"/>
  <c r="E87" i="4"/>
  <c r="R87" i="4" s="1"/>
  <c r="E88" i="15"/>
  <c r="E80" i="4"/>
  <c r="E81" i="15"/>
  <c r="E79" i="4"/>
  <c r="R79" i="4" s="1"/>
  <c r="BU619" i="3"/>
  <c r="B34" i="4"/>
  <c r="B35" i="15"/>
  <c r="B37" i="15"/>
  <c r="C35" i="15"/>
  <c r="C37" i="15" s="1"/>
  <c r="E37" i="15" s="1"/>
  <c r="E39" i="4"/>
  <c r="R39" i="4" s="1"/>
  <c r="F40" i="4"/>
  <c r="F28" i="4"/>
  <c r="B34" i="18"/>
  <c r="C34" i="18"/>
  <c r="C36" i="18"/>
  <c r="F36" i="18"/>
  <c r="D35" i="15"/>
  <c r="D37" i="15"/>
  <c r="AK549" i="6"/>
  <c r="T706" i="6"/>
  <c r="AF706" i="6"/>
  <c r="E34" i="15"/>
  <c r="E64" i="4"/>
  <c r="R64" i="4"/>
  <c r="F66" i="4"/>
  <c r="D41" i="15"/>
  <c r="B51" i="15"/>
  <c r="B50" i="18"/>
  <c r="C50" i="18"/>
  <c r="D51" i="15"/>
  <c r="B50" i="4"/>
  <c r="E31" i="4"/>
  <c r="R31" i="4" s="1"/>
  <c r="F30" i="4"/>
  <c r="E30" i="4" s="1"/>
  <c r="R30" i="4" s="1"/>
  <c r="E33" i="4"/>
  <c r="R33" i="4" s="1"/>
  <c r="E43" i="12"/>
  <c r="A100" i="12"/>
  <c r="C100" i="12" s="1"/>
  <c r="E101" i="12" s="1"/>
  <c r="H101" i="12" s="1"/>
  <c r="H107" i="12" s="1"/>
  <c r="C82" i="4" s="1"/>
  <c r="C83" i="15" s="1"/>
  <c r="BZ631" i="3"/>
  <c r="CD632" i="3"/>
  <c r="BF631" i="3"/>
  <c r="BJ632" i="3"/>
  <c r="AG428" i="3"/>
  <c r="E30" i="15"/>
  <c r="E32" i="15"/>
  <c r="S36" i="4"/>
  <c r="E36" i="18"/>
  <c r="E40" i="15"/>
  <c r="C41" i="15"/>
  <c r="C36" i="4"/>
  <c r="C75" i="4" s="1"/>
  <c r="B44" i="4"/>
  <c r="D45" i="15"/>
  <c r="C45" i="15"/>
  <c r="B45" i="15"/>
  <c r="B44" i="18"/>
  <c r="C44" i="18"/>
  <c r="AI692" i="3"/>
  <c r="AI695" i="3"/>
  <c r="BF619" i="3"/>
  <c r="E86" i="15"/>
  <c r="E87" i="15"/>
  <c r="E89" i="15"/>
  <c r="B67" i="15"/>
  <c r="E67" i="15"/>
  <c r="B40" i="4"/>
  <c r="B41" i="15"/>
  <c r="E36" i="15"/>
  <c r="E33" i="15"/>
  <c r="E31" i="15"/>
  <c r="D62" i="4"/>
  <c r="D95" i="4" s="1"/>
  <c r="D104" i="4" s="1"/>
  <c r="C26" i="15"/>
  <c r="E26" i="15" s="1"/>
  <c r="E24" i="15"/>
  <c r="E19" i="15"/>
  <c r="B26" i="15"/>
  <c r="E21" i="15"/>
  <c r="E18" i="15"/>
  <c r="B9" i="15"/>
  <c r="AC845" i="3"/>
  <c r="BU631" i="3"/>
  <c r="BY632" i="3"/>
  <c r="BP631" i="3"/>
  <c r="BT632" i="3" s="1"/>
  <c r="BA631" i="3"/>
  <c r="BE632" i="3" s="1"/>
  <c r="BK631" i="3"/>
  <c r="BO632" i="3"/>
  <c r="BK619" i="3"/>
  <c r="BK637" i="3" s="1"/>
  <c r="V930" i="3" s="1"/>
  <c r="BA619" i="3"/>
  <c r="BP619" i="3"/>
  <c r="BZ619" i="3"/>
  <c r="P716" i="3"/>
  <c r="C30" i="10"/>
  <c r="BK612" i="3"/>
  <c r="O617" i="6" s="1"/>
  <c r="AU583" i="6" s="1"/>
  <c r="Y618" i="6"/>
  <c r="BZ612" i="3"/>
  <c r="O614" i="6"/>
  <c r="AU580" i="6" s="1"/>
  <c r="BU612" i="3"/>
  <c r="O615" i="6"/>
  <c r="BP612" i="3"/>
  <c r="O616" i="6" s="1"/>
  <c r="BA612" i="3"/>
  <c r="CT612" i="3"/>
  <c r="T616" i="6" s="1"/>
  <c r="AP546" i="6" s="1"/>
  <c r="BN596" i="6" s="1"/>
  <c r="BN597" i="6" s="1"/>
  <c r="BF612" i="3"/>
  <c r="BF637" i="3" s="1"/>
  <c r="R50" i="12"/>
  <c r="R51" i="12" s="1"/>
  <c r="R57" i="12" s="1"/>
  <c r="Z858" i="3" s="1"/>
  <c r="Q51" i="12"/>
  <c r="Q57" i="12"/>
  <c r="G53" i="25"/>
  <c r="AS355" i="6"/>
  <c r="AK483" i="6" s="1"/>
  <c r="T705" i="6" s="1"/>
  <c r="AO698" i="6" s="1"/>
  <c r="AS353" i="6"/>
  <c r="C13" i="15"/>
  <c r="CO612" i="3"/>
  <c r="T617" i="6"/>
  <c r="CY612" i="3"/>
  <c r="T615" i="6" s="1"/>
  <c r="AT264" i="3"/>
  <c r="BB265" i="3"/>
  <c r="T274" i="3" s="1"/>
  <c r="DD612" i="3"/>
  <c r="T614" i="6" s="1"/>
  <c r="T619" i="6"/>
  <c r="AZ585" i="6"/>
  <c r="H62" i="18"/>
  <c r="Q595" i="6"/>
  <c r="W595" i="6"/>
  <c r="AC595" i="6" s="1"/>
  <c r="B25" i="18"/>
  <c r="I62" i="4"/>
  <c r="I95" i="4"/>
  <c r="I104" i="4" s="1"/>
  <c r="L932" i="3"/>
  <c r="L931" i="3"/>
  <c r="L930" i="3"/>
  <c r="L929" i="3"/>
  <c r="AK66" i="6"/>
  <c r="Q598" i="6"/>
  <c r="W598" i="6"/>
  <c r="Q593" i="6"/>
  <c r="W593" i="6"/>
  <c r="AC593" i="6"/>
  <c r="Q592" i="6"/>
  <c r="W592" i="6"/>
  <c r="AC592" i="6" s="1"/>
  <c r="Q597" i="6"/>
  <c r="W597" i="6"/>
  <c r="AC597" i="6"/>
  <c r="BD533" i="6"/>
  <c r="Q590" i="6"/>
  <c r="W590" i="6" s="1"/>
  <c r="AC590" i="6"/>
  <c r="C67" i="25"/>
  <c r="T699" i="6"/>
  <c r="AF699" i="6"/>
  <c r="Z772" i="3"/>
  <c r="E6" i="9" s="1"/>
  <c r="G6" i="9" s="1"/>
  <c r="G7" i="9" s="1"/>
  <c r="AD63" i="5"/>
  <c r="AD7" i="5"/>
  <c r="T7" i="5"/>
  <c r="Y7" i="5"/>
  <c r="B12" i="4"/>
  <c r="E35" i="15"/>
  <c r="R42" i="12"/>
  <c r="R43" i="12" s="1"/>
  <c r="Z857" i="3" s="1"/>
  <c r="E40" i="4"/>
  <c r="B36" i="18"/>
  <c r="E50" i="4"/>
  <c r="R50" i="4"/>
  <c r="E65" i="4"/>
  <c r="E41" i="15"/>
  <c r="V929" i="3"/>
  <c r="AD929" i="3"/>
  <c r="D91" i="12"/>
  <c r="F91" i="12"/>
  <c r="F93" i="12"/>
  <c r="AD962" i="3" s="1"/>
  <c r="AG430" i="3"/>
  <c r="AG431" i="3" s="1"/>
  <c r="AG436" i="3"/>
  <c r="CD633" i="3"/>
  <c r="B36" i="4"/>
  <c r="AS3" i="12" s="1"/>
  <c r="E45" i="15"/>
  <c r="CD613" i="3"/>
  <c r="BU637" i="3"/>
  <c r="BZ637" i="3"/>
  <c r="BP637" i="3"/>
  <c r="V931" i="3"/>
  <c r="E9" i="15"/>
  <c r="BQ536" i="6"/>
  <c r="BQ540" i="6" s="1"/>
  <c r="AD930" i="3"/>
  <c r="BE613" i="3"/>
  <c r="BT613" i="3"/>
  <c r="BY613" i="3"/>
  <c r="O618" i="6"/>
  <c r="AU584" i="6" s="1"/>
  <c r="CC539" i="6"/>
  <c r="CC540" i="6" s="1"/>
  <c r="AZ581" i="6"/>
  <c r="BJ613" i="3"/>
  <c r="Y615" i="6"/>
  <c r="BE581" i="6"/>
  <c r="AP591" i="6" s="1"/>
  <c r="AZ580" i="6"/>
  <c r="H95" i="18"/>
  <c r="BE584" i="6"/>
  <c r="AP594" i="6"/>
  <c r="R59" i="12"/>
  <c r="X20" i="12" s="1"/>
  <c r="F52" i="4"/>
  <c r="E44" i="4"/>
  <c r="R44" i="4"/>
  <c r="C81" i="4"/>
  <c r="B81" i="4" s="1"/>
  <c r="E81" i="4" s="1"/>
  <c r="R81" i="4" s="1"/>
  <c r="AI27" i="5"/>
  <c r="Y27" i="27"/>
  <c r="AD27" i="5"/>
  <c r="AD27" i="26"/>
  <c r="AI27" i="27"/>
  <c r="AI27" i="26"/>
  <c r="AD27" i="27"/>
  <c r="B76" i="15"/>
  <c r="B78" i="15"/>
  <c r="B75" i="18"/>
  <c r="C75" i="18" s="1"/>
  <c r="C77" i="18" s="1"/>
  <c r="C76" i="15"/>
  <c r="D76" i="15"/>
  <c r="D78" i="15" s="1"/>
  <c r="AU582" i="6"/>
  <c r="H104" i="18"/>
  <c r="E7" i="9"/>
  <c r="F77" i="4"/>
  <c r="AD11" i="27"/>
  <c r="AD23" i="27" s="1"/>
  <c r="AD26" i="27" s="1"/>
  <c r="AD28" i="27" s="1"/>
  <c r="AD11" i="5"/>
  <c r="AD23" i="5" s="1"/>
  <c r="AD26" i="5" s="1"/>
  <c r="AD28" i="5" s="1"/>
  <c r="AD11" i="26"/>
  <c r="AD23" i="26" s="1"/>
  <c r="AD26" i="26" s="1"/>
  <c r="AD28" i="26" s="1"/>
  <c r="AI11" i="27"/>
  <c r="AI23" i="27" s="1"/>
  <c r="AI26" i="27" s="1"/>
  <c r="AI28" i="27" s="1"/>
  <c r="AD63" i="27" s="1"/>
  <c r="AI11" i="26"/>
  <c r="AI23" i="26"/>
  <c r="AI26" i="26" s="1"/>
  <c r="AI28" i="26" s="1"/>
  <c r="AD63" i="26"/>
  <c r="I6" i="9"/>
  <c r="K6" i="9" s="1"/>
  <c r="I7" i="9"/>
  <c r="F73" i="4"/>
  <c r="BH42" i="12"/>
  <c r="BG42" i="12"/>
  <c r="BN34" i="12"/>
  <c r="E88" i="4"/>
  <c r="R88" i="4" s="1"/>
  <c r="B90" i="15"/>
  <c r="B89" i="18"/>
  <c r="C89" i="18"/>
  <c r="D90" i="15"/>
  <c r="C94" i="4"/>
  <c r="B94" i="4" s="1"/>
  <c r="AU3" i="12" s="1"/>
  <c r="AU12" i="12" s="1"/>
  <c r="S89" i="4"/>
  <c r="E89" i="18"/>
  <c r="F89" i="18" s="1"/>
  <c r="B89" i="4"/>
  <c r="E89" i="4" s="1"/>
  <c r="R89" i="4" s="1"/>
  <c r="C90" i="15"/>
  <c r="E90" i="15"/>
  <c r="F94" i="4"/>
  <c r="R78" i="12"/>
  <c r="R79" i="12" s="1"/>
  <c r="AH90" i="12" s="1"/>
  <c r="R81" i="12"/>
  <c r="BI12" i="12"/>
  <c r="BI13" i="12" s="1"/>
  <c r="BI3" i="12"/>
  <c r="G29" i="4"/>
  <c r="BI15" i="12"/>
  <c r="BI16" i="12"/>
  <c r="BI27" i="12"/>
  <c r="BI19" i="12"/>
  <c r="BI31" i="12"/>
  <c r="BI22" i="12"/>
  <c r="BI25" i="12"/>
  <c r="BI32" i="12"/>
  <c r="BI30" i="12"/>
  <c r="BI14" i="12"/>
  <c r="BI29" i="12"/>
  <c r="BI20" i="12"/>
  <c r="G36" i="4"/>
  <c r="G62" i="4"/>
  <c r="G95" i="4" s="1"/>
  <c r="R29" i="4" l="1"/>
  <c r="AU42" i="12"/>
  <c r="R24" i="12"/>
  <c r="AC852" i="3"/>
  <c r="E27" i="9" s="1"/>
  <c r="G27" i="9" s="1"/>
  <c r="I27" i="9" s="1"/>
  <c r="K27" i="9" s="1"/>
  <c r="M27" i="9" s="1"/>
  <c r="O27" i="9" s="1"/>
  <c r="Q27" i="9" s="1"/>
  <c r="S27" i="9" s="1"/>
  <c r="U27" i="9" s="1"/>
  <c r="W27" i="9" s="1"/>
  <c r="Y27" i="9" s="1"/>
  <c r="AA27" i="9" s="1"/>
  <c r="AC27" i="9" s="1"/>
  <c r="AE27" i="9" s="1"/>
  <c r="AG27" i="9" s="1"/>
  <c r="AG90" i="12"/>
  <c r="Q24" i="12" s="1"/>
  <c r="BI26" i="12"/>
  <c r="BI23" i="12"/>
  <c r="BI18" i="12"/>
  <c r="BI24" i="12"/>
  <c r="BI28" i="12"/>
  <c r="BI21" i="12"/>
  <c r="BI17" i="12"/>
  <c r="BI33" i="12" s="1"/>
  <c r="AX612" i="3"/>
  <c r="B82" i="15"/>
  <c r="B95" i="15" s="1"/>
  <c r="E76" i="15"/>
  <c r="C78" i="15"/>
  <c r="E78" i="15" s="1"/>
  <c r="AP545" i="6"/>
  <c r="B94" i="18"/>
  <c r="BL593" i="6"/>
  <c r="AZ582" i="6"/>
  <c r="Y616" i="6"/>
  <c r="BP593" i="6"/>
  <c r="AP557" i="6"/>
  <c r="BK574" i="6"/>
  <c r="AP543" i="6"/>
  <c r="BB593" i="6" s="1"/>
  <c r="BB597" i="6" s="1"/>
  <c r="AT700" i="3"/>
  <c r="AU694" i="3" s="1"/>
  <c r="AV694" i="3" s="1"/>
  <c r="D82" i="15"/>
  <c r="B81" i="18"/>
  <c r="C81" i="18" s="1"/>
  <c r="C94" i="18" s="1"/>
  <c r="S81" i="4"/>
  <c r="C82" i="15"/>
  <c r="K7" i="9"/>
  <c r="M6" i="9"/>
  <c r="Z860" i="3"/>
  <c r="BU537" i="6"/>
  <c r="BU540" i="6" s="1"/>
  <c r="AZ583" i="6"/>
  <c r="BL594" i="6"/>
  <c r="Y617" i="6"/>
  <c r="BP594" i="6"/>
  <c r="AP544" i="6"/>
  <c r="BF594" i="6" s="1"/>
  <c r="BF597" i="6" s="1"/>
  <c r="R65" i="4"/>
  <c r="R66" i="4" s="1"/>
  <c r="E66" i="4"/>
  <c r="AU581" i="6"/>
  <c r="BF574" i="6"/>
  <c r="BK577" i="6" s="1"/>
  <c r="AU555" i="6" s="1"/>
  <c r="AX555" i="6" s="1"/>
  <c r="R80" i="4"/>
  <c r="R94" i="4" s="1"/>
  <c r="E94" i="4"/>
  <c r="S82" i="4"/>
  <c r="E82" i="18" s="1"/>
  <c r="F82" i="18" s="1"/>
  <c r="B82" i="4"/>
  <c r="E82" i="4" s="1"/>
  <c r="R82" i="4" s="1"/>
  <c r="D83" i="15"/>
  <c r="B83" i="15"/>
  <c r="E83" i="15" s="1"/>
  <c r="B82" i="18"/>
  <c r="C82" i="18" s="1"/>
  <c r="X21" i="12"/>
  <c r="V38" i="12"/>
  <c r="CA538" i="6"/>
  <c r="CA540" i="6" s="1"/>
  <c r="CH558" i="6"/>
  <c r="Q59" i="12"/>
  <c r="AZ584" i="6"/>
  <c r="BY538" i="6"/>
  <c r="BY540" i="6" s="1"/>
  <c r="F34" i="4"/>
  <c r="F36" i="4" s="1"/>
  <c r="AT612" i="3"/>
  <c r="BO535" i="6"/>
  <c r="BO540" i="6" s="1"/>
  <c r="C77" i="4"/>
  <c r="S75" i="4"/>
  <c r="A108" i="12"/>
  <c r="B108" i="12" s="1"/>
  <c r="AD931" i="3"/>
  <c r="B13" i="15"/>
  <c r="E13" i="15" s="1"/>
  <c r="Y614" i="6"/>
  <c r="BE580" i="6" s="1"/>
  <c r="AP590" i="6" s="1"/>
  <c r="BJ580" i="6" s="1"/>
  <c r="T620" i="6"/>
  <c r="O619" i="6"/>
  <c r="AU585" i="6" s="1"/>
  <c r="BA637" i="3"/>
  <c r="V928" i="3" s="1"/>
  <c r="B75" i="4"/>
  <c r="V932" i="3"/>
  <c r="AD932" i="3" s="1"/>
  <c r="T27" i="27"/>
  <c r="Y27" i="5"/>
  <c r="Y27" i="26"/>
  <c r="T27" i="26"/>
  <c r="T27" i="5"/>
  <c r="F8" i="4"/>
  <c r="E4" i="4"/>
  <c r="CH555" i="6"/>
  <c r="AP542" i="6"/>
  <c r="BP592" i="6" s="1"/>
  <c r="BD592" i="6"/>
  <c r="BD597" i="6" s="1"/>
  <c r="BM535" i="6"/>
  <c r="BM540" i="6" s="1"/>
  <c r="B62" i="15"/>
  <c r="AG5" i="12"/>
  <c r="AG32" i="12"/>
  <c r="AG37" i="12" s="1"/>
  <c r="AH14" i="12"/>
  <c r="AH32" i="12" s="1"/>
  <c r="X31" i="12"/>
  <c r="X32" i="12" s="1"/>
  <c r="X38" i="12" s="1"/>
  <c r="Z859" i="3" s="1"/>
  <c r="S617" i="3"/>
  <c r="X545" i="3" s="1"/>
  <c r="E10" i="15"/>
  <c r="BO613" i="3"/>
  <c r="CD614" i="3" s="1"/>
  <c r="CD635" i="3" s="1"/>
  <c r="J8" i="7" s="1"/>
  <c r="J10" i="7" s="1"/>
  <c r="U368" i="6" s="1"/>
  <c r="Q591" i="6"/>
  <c r="W591" i="6" s="1"/>
  <c r="AC591" i="6" s="1"/>
  <c r="AC599" i="6" s="1"/>
  <c r="Q596" i="6"/>
  <c r="W596" i="6" s="1"/>
  <c r="AC596" i="6" s="1"/>
  <c r="H62" i="4"/>
  <c r="H95" i="4" s="1"/>
  <c r="H104" i="4" s="1"/>
  <c r="AH96" i="12"/>
  <c r="Q29" i="12"/>
  <c r="C25" i="18"/>
  <c r="C62" i="15"/>
  <c r="AI11" i="5"/>
  <c r="AI23" i="5" s="1"/>
  <c r="AI26" i="5" s="1"/>
  <c r="AI28" i="5" s="1"/>
  <c r="S50" i="4"/>
  <c r="E50" i="18" s="1"/>
  <c r="F50" i="18" s="1"/>
  <c r="C51" i="15"/>
  <c r="E51" i="15" s="1"/>
  <c r="Q95" i="4"/>
  <c r="Q104" i="4" s="1"/>
  <c r="P95" i="4"/>
  <c r="P104" i="4" s="1"/>
  <c r="M62" i="4"/>
  <c r="M95" i="4" s="1"/>
  <c r="M104" i="4" s="1"/>
  <c r="L95" i="4"/>
  <c r="L104" i="4" s="1"/>
  <c r="BS15" i="12"/>
  <c r="BW15" i="12"/>
  <c r="W820" i="3"/>
  <c r="AH47" i="12"/>
  <c r="E12" i="15"/>
  <c r="R25" i="4"/>
  <c r="AH80" i="12"/>
  <c r="X39" i="12"/>
  <c r="AB617" i="3"/>
  <c r="E35" i="9" s="1"/>
  <c r="W821" i="3"/>
  <c r="Q23" i="12"/>
  <c r="Q25" i="12" s="1"/>
  <c r="K21" i="12"/>
  <c r="K26" i="12" s="1"/>
  <c r="J26" i="12"/>
  <c r="F25" i="18"/>
  <c r="BL8" i="12"/>
  <c r="G97" i="4"/>
  <c r="G103" i="4" s="1"/>
  <c r="G104" i="4" s="1"/>
  <c r="AG618" i="3"/>
  <c r="D9" i="15"/>
  <c r="AO660" i="6"/>
  <c r="AK689" i="6" s="1"/>
  <c r="T711" i="6" s="1"/>
  <c r="AF711" i="6" s="1"/>
  <c r="AE18" i="12"/>
  <c r="AG18" i="12" s="1"/>
  <c r="AH18" i="12" s="1"/>
  <c r="AE81" i="12"/>
  <c r="AG81" i="12" s="1"/>
  <c r="AH81" i="12" s="1"/>
  <c r="AE19" i="12"/>
  <c r="AG19" i="12" s="1"/>
  <c r="AH19" i="12" s="1"/>
  <c r="AG47" i="12"/>
  <c r="B7" i="10"/>
  <c r="F7" i="10" s="1"/>
  <c r="F30" i="10" s="1"/>
  <c r="AE68" i="12"/>
  <c r="AG68" i="12" s="1"/>
  <c r="AH68" i="12" s="1"/>
  <c r="AE64" i="12"/>
  <c r="AG64" i="12" s="1"/>
  <c r="AH64" i="12" s="1"/>
  <c r="BV12" i="12"/>
  <c r="BV13" i="12" s="1"/>
  <c r="BV14" i="12" s="1"/>
  <c r="BV15" i="12" s="1"/>
  <c r="BV16" i="12" s="1"/>
  <c r="BV17" i="12" s="1"/>
  <c r="BV18" i="12" s="1"/>
  <c r="BV19" i="12" s="1"/>
  <c r="BV20" i="12" s="1"/>
  <c r="BV21" i="12" s="1"/>
  <c r="BV22" i="12" s="1"/>
  <c r="BV23" i="12" s="1"/>
  <c r="BV24" i="12" s="1"/>
  <c r="BV25" i="12" s="1"/>
  <c r="BV26" i="12" s="1"/>
  <c r="BV27" i="12" s="1"/>
  <c r="BV28" i="12" s="1"/>
  <c r="BV29" i="12" s="1"/>
  <c r="BV30" i="12" s="1"/>
  <c r="BV31" i="12" s="1"/>
  <c r="BV32" i="12" s="1"/>
  <c r="R23" i="12"/>
  <c r="R25" i="12" s="1"/>
  <c r="AG89" i="12"/>
  <c r="AG92" i="12" s="1"/>
  <c r="AH92" i="12" s="1"/>
  <c r="J39" i="12"/>
  <c r="X47" i="12"/>
  <c r="X48" i="12" s="1"/>
  <c r="E64" i="18"/>
  <c r="F64" i="18" s="1"/>
  <c r="F66" i="18" s="1"/>
  <c r="X42" i="12"/>
  <c r="C45" i="4" s="1"/>
  <c r="AE21" i="12"/>
  <c r="AG21" i="12" s="1"/>
  <c r="AH21" i="12" s="1"/>
  <c r="AE59" i="12"/>
  <c r="AG59" i="12" s="1"/>
  <c r="AE67" i="12"/>
  <c r="AG67" i="12" s="1"/>
  <c r="AH67" i="12" s="1"/>
  <c r="AE60" i="12"/>
  <c r="AG60" i="12" s="1"/>
  <c r="S85" i="4"/>
  <c r="E85" i="18" s="1"/>
  <c r="F85" i="18" s="1"/>
  <c r="BL3" i="12"/>
  <c r="X43" i="12"/>
  <c r="C51" i="4" s="1"/>
  <c r="AE23" i="12"/>
  <c r="AG23" i="12" s="1"/>
  <c r="AH23" i="12" s="1"/>
  <c r="AE71" i="12"/>
  <c r="AG71" i="12" s="1"/>
  <c r="AH71" i="12" s="1"/>
  <c r="AE74" i="12"/>
  <c r="AG74" i="12" s="1"/>
  <c r="AH74" i="12" s="1"/>
  <c r="AE83" i="12"/>
  <c r="AG83" i="12" s="1"/>
  <c r="AH83" i="12" s="1"/>
  <c r="W831" i="3" s="1"/>
  <c r="AE40" i="12"/>
  <c r="AG40" i="12" s="1"/>
  <c r="T752" i="3"/>
  <c r="Y752" i="3" s="1"/>
  <c r="Y761" i="3" s="1"/>
  <c r="Y763" i="3" s="1"/>
  <c r="AE7" i="12"/>
  <c r="AG7" i="12" s="1"/>
  <c r="AE69" i="12"/>
  <c r="AG69" i="12" s="1"/>
  <c r="AH69" i="12" s="1"/>
  <c r="AE61" i="12"/>
  <c r="AG61" i="12" s="1"/>
  <c r="AK625" i="6" l="1"/>
  <c r="T708" i="6"/>
  <c r="CH557" i="6"/>
  <c r="BW537" i="6"/>
  <c r="BW540" i="6" s="1"/>
  <c r="BE583" i="6"/>
  <c r="AP593" i="6" s="1"/>
  <c r="AC850" i="3"/>
  <c r="E25" i="9" s="1"/>
  <c r="R29" i="12"/>
  <c r="BT7" i="12"/>
  <c r="AG6" i="12"/>
  <c r="AH7" i="12"/>
  <c r="BS7" i="12"/>
  <c r="AH59" i="12"/>
  <c r="Q17" i="12"/>
  <c r="AG51" i="12"/>
  <c r="AH51" i="12" s="1"/>
  <c r="AG50" i="12"/>
  <c r="AH50" i="12" s="1"/>
  <c r="AG49" i="12"/>
  <c r="AH49" i="12" s="1"/>
  <c r="AG56" i="12"/>
  <c r="AH56" i="12" s="1"/>
  <c r="AG48" i="12"/>
  <c r="AG55" i="12"/>
  <c r="B77" i="18"/>
  <c r="B77" i="4"/>
  <c r="AY550" i="6"/>
  <c r="AS551" i="6" s="1"/>
  <c r="BB598" i="6"/>
  <c r="AG77" i="12"/>
  <c r="AH61" i="12"/>
  <c r="AH77" i="12" s="1"/>
  <c r="W827" i="3" s="1"/>
  <c r="Q14" i="12"/>
  <c r="AU691" i="3"/>
  <c r="AV691" i="3" s="1"/>
  <c r="AU684" i="3"/>
  <c r="AV684" i="3" s="1"/>
  <c r="AU679" i="3"/>
  <c r="AV679" i="3" s="1"/>
  <c r="AU686" i="3"/>
  <c r="AV686" i="3" s="1"/>
  <c r="AU698" i="3"/>
  <c r="AV698" i="3" s="1"/>
  <c r="AU678" i="3"/>
  <c r="AV678" i="3" s="1"/>
  <c r="AU687" i="3"/>
  <c r="AV687" i="3" s="1"/>
  <c r="AU675" i="3"/>
  <c r="AU690" i="3"/>
  <c r="AV690" i="3" s="1"/>
  <c r="AU696" i="3"/>
  <c r="AV696" i="3" s="1"/>
  <c r="AU693" i="3"/>
  <c r="AV693" i="3" s="1"/>
  <c r="AU689" i="3"/>
  <c r="AV689" i="3" s="1"/>
  <c r="AU677" i="3"/>
  <c r="AV677" i="3" s="1"/>
  <c r="AU680" i="3"/>
  <c r="AV680" i="3" s="1"/>
  <c r="AU692" i="3"/>
  <c r="AV692" i="3" s="1"/>
  <c r="AU681" i="3"/>
  <c r="AV681" i="3" s="1"/>
  <c r="AU697" i="3"/>
  <c r="AV697" i="3" s="1"/>
  <c r="AU688" i="3"/>
  <c r="AV688" i="3" s="1"/>
  <c r="AU676" i="3"/>
  <c r="AV676" i="3" s="1"/>
  <c r="AU683" i="3"/>
  <c r="AV683" i="3" s="1"/>
  <c r="AU699" i="3"/>
  <c r="AV699" i="3" s="1"/>
  <c r="AU695" i="3"/>
  <c r="AV695" i="3" s="1"/>
  <c r="BM541" i="6"/>
  <c r="Y619" i="6"/>
  <c r="O620" i="6"/>
  <c r="BU541" i="6"/>
  <c r="S51" i="4"/>
  <c r="E51" i="18" s="1"/>
  <c r="F51" i="18" s="1"/>
  <c r="B51" i="4"/>
  <c r="E51" i="4" s="1"/>
  <c r="R51" i="4" s="1"/>
  <c r="B52" i="15"/>
  <c r="C52" i="15"/>
  <c r="D52" i="15"/>
  <c r="B51" i="18"/>
  <c r="C51" i="18" s="1"/>
  <c r="BY15" i="12"/>
  <c r="K35" i="9"/>
  <c r="K38" i="9" s="1"/>
  <c r="AA35" i="9"/>
  <c r="AA38" i="9" s="1"/>
  <c r="AC35" i="9"/>
  <c r="AC38" i="9" s="1"/>
  <c r="S35" i="9"/>
  <c r="S38" i="9" s="1"/>
  <c r="Q35" i="9"/>
  <c r="Q38" i="9" s="1"/>
  <c r="M35" i="9"/>
  <c r="M38" i="9" s="1"/>
  <c r="G35" i="9"/>
  <c r="G38" i="9" s="1"/>
  <c r="E38" i="9"/>
  <c r="AG35" i="9"/>
  <c r="AG38" i="9" s="1"/>
  <c r="U35" i="9"/>
  <c r="U38" i="9" s="1"/>
  <c r="W35" i="9"/>
  <c r="W38" i="9" s="1"/>
  <c r="Y35" i="9"/>
  <c r="Y38" i="9" s="1"/>
  <c r="I35" i="9"/>
  <c r="I38" i="9" s="1"/>
  <c r="O35" i="9"/>
  <c r="O38" i="9" s="1"/>
  <c r="AE35" i="9"/>
  <c r="AE38" i="9" s="1"/>
  <c r="AT3" i="12"/>
  <c r="E75" i="4"/>
  <c r="AU558" i="6"/>
  <c r="Y764" i="3"/>
  <c r="E4" i="9" s="1"/>
  <c r="AD928" i="3"/>
  <c r="AD934" i="3" s="1"/>
  <c r="V933" i="3"/>
  <c r="AU542" i="6"/>
  <c r="M7" i="9"/>
  <c r="O6" i="9"/>
  <c r="BH593" i="6"/>
  <c r="AH5" i="12"/>
  <c r="AG9" i="12"/>
  <c r="Q4" i="12"/>
  <c r="S77" i="4"/>
  <c r="E77" i="18" s="1"/>
  <c r="E75" i="18"/>
  <c r="F75" i="18" s="1"/>
  <c r="F77" i="18" s="1"/>
  <c r="AG43" i="12"/>
  <c r="Q13" i="12" s="1"/>
  <c r="AH40" i="12"/>
  <c r="AX592" i="6"/>
  <c r="AX597" i="6" s="1"/>
  <c r="AX598" i="6" s="1"/>
  <c r="BH592" i="6"/>
  <c r="BL592" i="6"/>
  <c r="BL597" i="6" s="1"/>
  <c r="K39" i="12"/>
  <c r="K41" i="12" s="1"/>
  <c r="K43" i="12" s="1"/>
  <c r="J41" i="12"/>
  <c r="J43" i="12" s="1"/>
  <c r="D13" i="15"/>
  <c r="AG82" i="12"/>
  <c r="BE554" i="6"/>
  <c r="BE559" i="6" s="1"/>
  <c r="AU685" i="3"/>
  <c r="AV685" i="3" s="1"/>
  <c r="C95" i="15"/>
  <c r="E95" i="15" s="1"/>
  <c r="E82" i="15"/>
  <c r="CH556" i="6"/>
  <c r="BI555" i="6" s="1"/>
  <c r="BI559" i="6" s="1"/>
  <c r="BE582" i="6"/>
  <c r="BS536" i="6"/>
  <c r="BS540" i="6" s="1"/>
  <c r="BQ541" i="6" s="1"/>
  <c r="BQ542" i="6" s="1"/>
  <c r="BQ546" i="6" s="1"/>
  <c r="AH60" i="12"/>
  <c r="AG84" i="12"/>
  <c r="Q12" i="12" s="1"/>
  <c r="BW16" i="12"/>
  <c r="BY16" i="12" s="1"/>
  <c r="AW16" i="12" s="1"/>
  <c r="BS16" i="12"/>
  <c r="S45" i="4"/>
  <c r="E45" i="18" s="1"/>
  <c r="F45" i="18" s="1"/>
  <c r="B45" i="4"/>
  <c r="B46" i="15"/>
  <c r="B45" i="18"/>
  <c r="C45" i="18" s="1"/>
  <c r="C46" i="15"/>
  <c r="E46" i="15" s="1"/>
  <c r="D46" i="15"/>
  <c r="AH82" i="12"/>
  <c r="W830" i="3" s="1"/>
  <c r="G107" i="4"/>
  <c r="AG629" i="3"/>
  <c r="R4" i="4"/>
  <c r="R8" i="4" s="1"/>
  <c r="E8" i="4"/>
  <c r="BJ586" i="6"/>
  <c r="BO581" i="6"/>
  <c r="E34" i="4"/>
  <c r="E81" i="18"/>
  <c r="F81" i="18" s="1"/>
  <c r="F94" i="18" s="1"/>
  <c r="S94" i="4"/>
  <c r="E94" i="18" s="1"/>
  <c r="F12" i="4"/>
  <c r="F62" i="4"/>
  <c r="F95" i="4" s="1"/>
  <c r="F104" i="4" s="1"/>
  <c r="BI42" i="12"/>
  <c r="BL33" i="12"/>
  <c r="BL42" i="12" s="1"/>
  <c r="BT33" i="12"/>
  <c r="BV33" i="12"/>
  <c r="BV34" i="12" s="1"/>
  <c r="BV35" i="12" s="1"/>
  <c r="BV36" i="12" s="1"/>
  <c r="BV37" i="12" s="1"/>
  <c r="BV38" i="12" s="1"/>
  <c r="BV39" i="12" s="1"/>
  <c r="BV40" i="12" s="1"/>
  <c r="BV41" i="12" s="1"/>
  <c r="E62" i="15"/>
  <c r="BY541" i="6"/>
  <c r="D95" i="15"/>
  <c r="W809" i="3"/>
  <c r="W810" i="3" s="1"/>
  <c r="AH37" i="12"/>
  <c r="AU682" i="3"/>
  <c r="AV682" i="3" s="1"/>
  <c r="BJ595" i="6"/>
  <c r="BJ597" i="6" s="1"/>
  <c r="BP595" i="6"/>
  <c r="BP597" i="6" s="1"/>
  <c r="BN598" i="6" s="1"/>
  <c r="R34" i="4" l="1"/>
  <c r="R36" i="4" s="1"/>
  <c r="E36" i="4"/>
  <c r="BJ598" i="6"/>
  <c r="BO586" i="6"/>
  <c r="BY583" i="6"/>
  <c r="BH597" i="6"/>
  <c r="BF598" i="6" s="1"/>
  <c r="O7" i="9"/>
  <c r="Q6" i="9"/>
  <c r="CE539" i="6"/>
  <c r="CE540" i="6" s="1"/>
  <c r="CC541" i="6" s="1"/>
  <c r="CH559" i="6"/>
  <c r="AU546" i="6"/>
  <c r="BE585" i="6"/>
  <c r="AP595" i="6" s="1"/>
  <c r="G25" i="9"/>
  <c r="S25" i="9"/>
  <c r="O25" i="9"/>
  <c r="AG25" i="9"/>
  <c r="AC25" i="9"/>
  <c r="M25" i="9"/>
  <c r="U25" i="9"/>
  <c r="W25" i="9"/>
  <c r="AA25" i="9"/>
  <c r="Y25" i="9"/>
  <c r="AE25" i="9"/>
  <c r="K25" i="9"/>
  <c r="I25" i="9"/>
  <c r="Q25" i="9"/>
  <c r="BT582" i="6"/>
  <c r="BT586" i="6" s="1"/>
  <c r="E45" i="4"/>
  <c r="R45" i="4" s="1"/>
  <c r="AV3" i="12"/>
  <c r="AV12" i="12" s="1"/>
  <c r="BJ599" i="6"/>
  <c r="AV563" i="6" s="1"/>
  <c r="E14" i="9"/>
  <c r="E12" i="4"/>
  <c r="BU542" i="6"/>
  <c r="BU543" i="6"/>
  <c r="AP592" i="6"/>
  <c r="R14" i="12"/>
  <c r="BU33" i="12"/>
  <c r="BU34" i="12" s="1"/>
  <c r="BU35" i="12" s="1"/>
  <c r="BU36" i="12" s="1"/>
  <c r="BU37" i="12" s="1"/>
  <c r="BU38" i="12" s="1"/>
  <c r="BU39" i="12" s="1"/>
  <c r="BU40" i="12" s="1"/>
  <c r="BU41" i="12" s="1"/>
  <c r="BT42" i="12"/>
  <c r="AH43" i="12"/>
  <c r="R13" i="12" s="1"/>
  <c r="W815" i="3"/>
  <c r="W818" i="3" s="1"/>
  <c r="E16" i="9" s="1"/>
  <c r="G16" i="9" s="1"/>
  <c r="I16" i="9" s="1"/>
  <c r="K16" i="9" s="1"/>
  <c r="M16" i="9" s="1"/>
  <c r="O16" i="9" s="1"/>
  <c r="Q16" i="9" s="1"/>
  <c r="S16" i="9" s="1"/>
  <c r="U16" i="9" s="1"/>
  <c r="W16" i="9" s="1"/>
  <c r="Y16" i="9" s="1"/>
  <c r="AA16" i="9" s="1"/>
  <c r="AC16" i="9" s="1"/>
  <c r="AE16" i="9" s="1"/>
  <c r="AG16" i="9" s="1"/>
  <c r="R12" i="4"/>
  <c r="AD966" i="3"/>
  <c r="AO892" i="3" s="1"/>
  <c r="AO895" i="3" s="1"/>
  <c r="B982" i="3" s="1"/>
  <c r="AD943" i="3"/>
  <c r="AO886" i="3" s="1"/>
  <c r="AD936" i="3"/>
  <c r="AO884" i="3" s="1"/>
  <c r="B984" i="3"/>
  <c r="AD952" i="3"/>
  <c r="AV675" i="3"/>
  <c r="AV700" i="3" s="1"/>
  <c r="AD716" i="3" s="1"/>
  <c r="AU700" i="3"/>
  <c r="R17" i="12"/>
  <c r="W835" i="3"/>
  <c r="W840" i="3" s="1"/>
  <c r="E20" i="9" s="1"/>
  <c r="G20" i="9" s="1"/>
  <c r="I20" i="9" s="1"/>
  <c r="K20" i="9" s="1"/>
  <c r="M20" i="9" s="1"/>
  <c r="O20" i="9" s="1"/>
  <c r="Q20" i="9" s="1"/>
  <c r="S20" i="9" s="1"/>
  <c r="U20" i="9" s="1"/>
  <c r="W20" i="9" s="1"/>
  <c r="Y20" i="9" s="1"/>
  <c r="AA20" i="9" s="1"/>
  <c r="AC20" i="9" s="1"/>
  <c r="AE20" i="9" s="1"/>
  <c r="AG20" i="9" s="1"/>
  <c r="BM556" i="6"/>
  <c r="AB47" i="5"/>
  <c r="AB47" i="26"/>
  <c r="AB47" i="27"/>
  <c r="E5" i="9"/>
  <c r="G4" i="9"/>
  <c r="E52" i="15"/>
  <c r="AU544" i="6"/>
  <c r="AW15" i="12"/>
  <c r="BS17" i="12"/>
  <c r="BW17" i="12"/>
  <c r="Q6" i="12"/>
  <c r="Z776" i="3"/>
  <c r="Z780" i="3" s="1"/>
  <c r="AH6" i="12"/>
  <c r="R5" i="12" s="1"/>
  <c r="AH48" i="12"/>
  <c r="AH53" i="12" s="1"/>
  <c r="AG53" i="12"/>
  <c r="AG54" i="12" s="1"/>
  <c r="W826" i="3"/>
  <c r="W833" i="3" s="1"/>
  <c r="E19" i="9" s="1"/>
  <c r="G19" i="9" s="1"/>
  <c r="I19" i="9" s="1"/>
  <c r="K19" i="9" s="1"/>
  <c r="M19" i="9" s="1"/>
  <c r="O19" i="9" s="1"/>
  <c r="Q19" i="9" s="1"/>
  <c r="S19" i="9" s="1"/>
  <c r="U19" i="9" s="1"/>
  <c r="W19" i="9" s="1"/>
  <c r="Y19" i="9" s="1"/>
  <c r="AA19" i="9" s="1"/>
  <c r="AC19" i="9" s="1"/>
  <c r="AE19" i="9" s="1"/>
  <c r="AG19" i="9" s="1"/>
  <c r="AH84" i="12"/>
  <c r="R12" i="12" s="1"/>
  <c r="AG39" i="12"/>
  <c r="AG10" i="12"/>
  <c r="AH10" i="12" s="1"/>
  <c r="AG11" i="12"/>
  <c r="BS6" i="12"/>
  <c r="BT6" i="12"/>
  <c r="Q5" i="12"/>
  <c r="T707" i="6"/>
  <c r="AO701" i="6"/>
  <c r="AF707" i="6" s="1"/>
  <c r="AF713" i="6" s="1"/>
  <c r="AU545" i="6"/>
  <c r="AH9" i="12"/>
  <c r="AH11" i="12" s="1"/>
  <c r="R4" i="12"/>
  <c r="R6" i="12" s="1"/>
  <c r="R75" i="4"/>
  <c r="R77" i="4" s="1"/>
  <c r="E77" i="4"/>
  <c r="BY543" i="6"/>
  <c r="BY542" i="6"/>
  <c r="BY546" i="6" s="1"/>
  <c r="BY544" i="6"/>
  <c r="AU543" i="6"/>
  <c r="AS7" i="12"/>
  <c r="AT33" i="12"/>
  <c r="AT42" i="12" s="1"/>
  <c r="AT34" i="12"/>
  <c r="AS5" i="12"/>
  <c r="AS8" i="12" s="1"/>
  <c r="AH55" i="12"/>
  <c r="AH57" i="12" s="1"/>
  <c r="W824" i="3" s="1"/>
  <c r="E18" i="9" s="1"/>
  <c r="G18" i="9" s="1"/>
  <c r="I18" i="9" s="1"/>
  <c r="K18" i="9" s="1"/>
  <c r="M18" i="9" s="1"/>
  <c r="O18" i="9" s="1"/>
  <c r="Q18" i="9" s="1"/>
  <c r="S18" i="9" s="1"/>
  <c r="U18" i="9" s="1"/>
  <c r="W18" i="9" s="1"/>
  <c r="Y18" i="9" s="1"/>
  <c r="AA18" i="9" s="1"/>
  <c r="AC18" i="9" s="1"/>
  <c r="AE18" i="9" s="1"/>
  <c r="AG18" i="9" s="1"/>
  <c r="AG57" i="12"/>
  <c r="G14" i="9" l="1"/>
  <c r="S6" i="9"/>
  <c r="Q7" i="9"/>
  <c r="BM559" i="6"/>
  <c r="BQ557" i="6"/>
  <c r="BQ559" i="6" s="1"/>
  <c r="CC544" i="6"/>
  <c r="CC545" i="6"/>
  <c r="CC542" i="6"/>
  <c r="AG58" i="12"/>
  <c r="Q11" i="12" s="1"/>
  <c r="Q16" i="12" s="1"/>
  <c r="Q31" i="12" s="1"/>
  <c r="AV42" i="12"/>
  <c r="BY586" i="6"/>
  <c r="R7" i="12"/>
  <c r="R8" i="12" s="1"/>
  <c r="AS22" i="12"/>
  <c r="AS25" i="12"/>
  <c r="AS26" i="12"/>
  <c r="AS14" i="12"/>
  <c r="BA14" i="12" s="1"/>
  <c r="BK14" i="12" s="1"/>
  <c r="BN14" i="12" s="1"/>
  <c r="BP14" i="12" s="1"/>
  <c r="AS17" i="12"/>
  <c r="AS19" i="12"/>
  <c r="AS15" i="12"/>
  <c r="BA15" i="12" s="1"/>
  <c r="BK15" i="12" s="1"/>
  <c r="BN15" i="12" s="1"/>
  <c r="BP15" i="12" s="1"/>
  <c r="AS32" i="12"/>
  <c r="AS23" i="12"/>
  <c r="AS30" i="12"/>
  <c r="AS31" i="12"/>
  <c r="AS16" i="12"/>
  <c r="BA16" i="12" s="1"/>
  <c r="BK16" i="12" s="1"/>
  <c r="BN16" i="12" s="1"/>
  <c r="BP16" i="12" s="1"/>
  <c r="AS24" i="12"/>
  <c r="AS18" i="12"/>
  <c r="BA18" i="12" s="1"/>
  <c r="BK18" i="12" s="1"/>
  <c r="BN18" i="12" s="1"/>
  <c r="BP18" i="12" s="1"/>
  <c r="AS13" i="12"/>
  <c r="AS28" i="12"/>
  <c r="AS27" i="12"/>
  <c r="AS20" i="12"/>
  <c r="AS29" i="12"/>
  <c r="AS21" i="12"/>
  <c r="E8" i="9"/>
  <c r="Z781" i="3"/>
  <c r="G5" i="9"/>
  <c r="I4" i="9"/>
  <c r="BT8" i="12"/>
  <c r="BT9" i="12" s="1"/>
  <c r="AO893" i="3"/>
  <c r="CD584" i="6"/>
  <c r="CD586" i="6" s="1"/>
  <c r="W822" i="3"/>
  <c r="W823" i="3" s="1"/>
  <c r="AH54" i="12"/>
  <c r="AH58" i="12" s="1"/>
  <c r="R11" i="12" s="1"/>
  <c r="Q7" i="12"/>
  <c r="Q8" i="12" s="1"/>
  <c r="Q33" i="12" s="1"/>
  <c r="BS8" i="12"/>
  <c r="BS9" i="12" s="1"/>
  <c r="BU9" i="12" s="1"/>
  <c r="BY17" i="12"/>
  <c r="AH39" i="12"/>
  <c r="Q15" i="12"/>
  <c r="AG86" i="12"/>
  <c r="BS18" i="12"/>
  <c r="BW18" i="12"/>
  <c r="BY18" i="12" s="1"/>
  <c r="AW18" i="12" s="1"/>
  <c r="AD974" i="3"/>
  <c r="BU546" i="6"/>
  <c r="CC543" i="6" l="1"/>
  <c r="CC546" i="6"/>
  <c r="W812" i="3"/>
  <c r="E15" i="9" s="1"/>
  <c r="R15" i="12"/>
  <c r="AH86" i="12"/>
  <c r="AW17" i="12"/>
  <c r="CG546" i="6"/>
  <c r="T24" i="27"/>
  <c r="T24" i="5"/>
  <c r="T24" i="26"/>
  <c r="G8" i="9"/>
  <c r="E9" i="9"/>
  <c r="E10" i="9"/>
  <c r="CI585" i="6"/>
  <c r="CI586" i="6" s="1"/>
  <c r="CN586" i="6"/>
  <c r="BD567" i="6" s="1"/>
  <c r="U6" i="9"/>
  <c r="S7" i="9"/>
  <c r="BW19" i="12"/>
  <c r="BS19" i="12"/>
  <c r="BA13" i="12"/>
  <c r="BK13" i="12" s="1"/>
  <c r="BN13" i="12" s="1"/>
  <c r="BP13" i="12" s="1"/>
  <c r="AS33" i="12"/>
  <c r="K4" i="9"/>
  <c r="I5" i="9"/>
  <c r="R16" i="12"/>
  <c r="R31" i="12" s="1"/>
  <c r="R33" i="12" s="1"/>
  <c r="X4" i="12" s="1"/>
  <c r="BU558" i="6"/>
  <c r="BU559" i="6" s="1"/>
  <c r="CC559" i="6" s="1"/>
  <c r="E17" i="9"/>
  <c r="G17" i="9" s="1"/>
  <c r="I17" i="9" s="1"/>
  <c r="K17" i="9" s="1"/>
  <c r="M17" i="9" s="1"/>
  <c r="O17" i="9" s="1"/>
  <c r="Q17" i="9" s="1"/>
  <c r="S17" i="9" s="1"/>
  <c r="U17" i="9" s="1"/>
  <c r="W17" i="9" s="1"/>
  <c r="Y17" i="9" s="1"/>
  <c r="AA17" i="9" s="1"/>
  <c r="AC17" i="9" s="1"/>
  <c r="AE17" i="9" s="1"/>
  <c r="AG17" i="9" s="1"/>
  <c r="I14" i="9"/>
  <c r="X5" i="12" l="1"/>
  <c r="V37" i="12"/>
  <c r="G15" i="9"/>
  <c r="E21" i="9"/>
  <c r="E30" i="9" s="1"/>
  <c r="U7" i="9"/>
  <c r="W6" i="9"/>
  <c r="E32" i="9"/>
  <c r="AC844" i="3"/>
  <c r="AC846" i="3" s="1"/>
  <c r="AW571" i="6"/>
  <c r="AT569" i="6"/>
  <c r="BW20" i="12"/>
  <c r="BY20" i="12" s="1"/>
  <c r="AW20" i="12" s="1"/>
  <c r="BA20" i="12" s="1"/>
  <c r="BK20" i="12" s="1"/>
  <c r="BN20" i="12" s="1"/>
  <c r="BP20" i="12" s="1"/>
  <c r="BS20" i="12"/>
  <c r="G9" i="9"/>
  <c r="I8" i="9"/>
  <c r="G10" i="9"/>
  <c r="AI86" i="12"/>
  <c r="AH97" i="12"/>
  <c r="X50" i="12"/>
  <c r="AH98" i="12"/>
  <c r="K5" i="9"/>
  <c r="M4" i="9"/>
  <c r="K14" i="9"/>
  <c r="AS42" i="12"/>
  <c r="BY19" i="12"/>
  <c r="BA17" i="12"/>
  <c r="BK17" i="12" s="1"/>
  <c r="BN17" i="12" s="1"/>
  <c r="BP17" i="12" s="1"/>
  <c r="X3" i="12"/>
  <c r="R67" i="12" s="1"/>
  <c r="R68" i="12" s="1"/>
  <c r="Y6" i="9" l="1"/>
  <c r="W7" i="9"/>
  <c r="E40" i="9"/>
  <c r="E44" i="9"/>
  <c r="M14" i="9"/>
  <c r="I15" i="9"/>
  <c r="G21" i="9"/>
  <c r="G30" i="9" s="1"/>
  <c r="G32" i="9" s="1"/>
  <c r="AW19" i="12"/>
  <c r="K8" i="9"/>
  <c r="I9" i="9"/>
  <c r="I10" i="9" s="1"/>
  <c r="BS21" i="12"/>
  <c r="BW21" i="12"/>
  <c r="M5" i="9"/>
  <c r="O4" i="9"/>
  <c r="AC847" i="3"/>
  <c r="C71" i="4"/>
  <c r="AZ3" i="12"/>
  <c r="AZ33" i="12" s="1"/>
  <c r="AZ42" i="12" s="1"/>
  <c r="X51" i="12"/>
  <c r="R21" i="12"/>
  <c r="AJ86" i="12"/>
  <c r="G44" i="9" l="1"/>
  <c r="G40" i="9"/>
  <c r="BA19" i="12"/>
  <c r="BK19" i="12" s="1"/>
  <c r="BN19" i="12" s="1"/>
  <c r="BP19" i="12" s="1"/>
  <c r="O14" i="9"/>
  <c r="BY21" i="12"/>
  <c r="BW22" i="12"/>
  <c r="BY22" i="12" s="1"/>
  <c r="AW22" i="12" s="1"/>
  <c r="BA22" i="12" s="1"/>
  <c r="BK22" i="12" s="1"/>
  <c r="BN22" i="12" s="1"/>
  <c r="BP22" i="12" s="1"/>
  <c r="BS22" i="12"/>
  <c r="I32" i="9"/>
  <c r="K15" i="9"/>
  <c r="I21" i="9"/>
  <c r="I30" i="9" s="1"/>
  <c r="O5" i="9"/>
  <c r="Q4" i="9"/>
  <c r="E42" i="9"/>
  <c r="E43" i="9"/>
  <c r="E54" i="9"/>
  <c r="M8" i="9"/>
  <c r="K9" i="9"/>
  <c r="K10" i="9"/>
  <c r="C73" i="4"/>
  <c r="C72" i="15"/>
  <c r="B71" i="18"/>
  <c r="C71" i="18" s="1"/>
  <c r="C73" i="18" s="1"/>
  <c r="D72" i="15"/>
  <c r="D74" i="15" s="1"/>
  <c r="B71" i="4"/>
  <c r="E71" i="4" s="1"/>
  <c r="B72" i="15"/>
  <c r="B74" i="15" s="1"/>
  <c r="Y7" i="9"/>
  <c r="AA6" i="9"/>
  <c r="I44" i="9" l="1"/>
  <c r="I40" i="9"/>
  <c r="E72" i="15"/>
  <c r="C74" i="15"/>
  <c r="E74" i="15" s="1"/>
  <c r="BW23" i="12"/>
  <c r="BY23" i="12" s="1"/>
  <c r="AW23" i="12" s="1"/>
  <c r="BA23" i="12" s="1"/>
  <c r="BS23" i="12"/>
  <c r="AA7" i="9"/>
  <c r="AC6" i="9"/>
  <c r="B73" i="4"/>
  <c r="B73" i="18"/>
  <c r="AW21" i="12"/>
  <c r="BA21" i="12" s="1"/>
  <c r="BK21" i="12" s="1"/>
  <c r="BN21" i="12" s="1"/>
  <c r="BP21" i="12" s="1"/>
  <c r="Q14" i="9"/>
  <c r="M15" i="9"/>
  <c r="K21" i="9"/>
  <c r="K30" i="9" s="1"/>
  <c r="K32" i="9"/>
  <c r="O8" i="9"/>
  <c r="M9" i="9"/>
  <c r="M10" i="9" s="1"/>
  <c r="E73" i="4"/>
  <c r="R71" i="4"/>
  <c r="R73" i="4" s="1"/>
  <c r="S4" i="9"/>
  <c r="Q5" i="9"/>
  <c r="G54" i="9"/>
  <c r="G43" i="9"/>
  <c r="G42" i="9"/>
  <c r="AE6" i="9" l="1"/>
  <c r="AC7" i="9"/>
  <c r="BS24" i="12"/>
  <c r="BW24" i="12"/>
  <c r="BY24" i="12" s="1"/>
  <c r="K40" i="9"/>
  <c r="K44" i="9"/>
  <c r="S14" i="9"/>
  <c r="Q8" i="9"/>
  <c r="O9" i="9"/>
  <c r="O10" i="9"/>
  <c r="O15" i="9"/>
  <c r="M21" i="9"/>
  <c r="M30" i="9" s="1"/>
  <c r="M32" i="9" s="1"/>
  <c r="S5" i="9"/>
  <c r="U4" i="9"/>
  <c r="I54" i="9"/>
  <c r="I42" i="9"/>
  <c r="I43" i="9"/>
  <c r="M40" i="9" l="1"/>
  <c r="M44" i="9"/>
  <c r="U14" i="9"/>
  <c r="K42" i="9"/>
  <c r="K43" i="9"/>
  <c r="K54" i="9"/>
  <c r="W4" i="9"/>
  <c r="U5" i="9"/>
  <c r="Q15" i="9"/>
  <c r="O21" i="9"/>
  <c r="O30" i="9" s="1"/>
  <c r="AW24" i="12"/>
  <c r="BA24" i="12" s="1"/>
  <c r="BK24" i="12" s="1"/>
  <c r="BN24" i="12" s="1"/>
  <c r="BP24" i="12" s="1"/>
  <c r="BW25" i="12"/>
  <c r="BY25" i="12" s="1"/>
  <c r="AW25" i="12" s="1"/>
  <c r="BA25" i="12" s="1"/>
  <c r="BK25" i="12" s="1"/>
  <c r="BN25" i="12" s="1"/>
  <c r="BP25" i="12" s="1"/>
  <c r="BS25" i="12"/>
  <c r="O32" i="9"/>
  <c r="AG6" i="9"/>
  <c r="AG7" i="9" s="1"/>
  <c r="AE7" i="9"/>
  <c r="S8" i="9"/>
  <c r="Q9" i="9"/>
  <c r="Q10" i="9"/>
  <c r="S15" i="9" l="1"/>
  <c r="Q21" i="9"/>
  <c r="Q30" i="9" s="1"/>
  <c r="Q32" i="9" s="1"/>
  <c r="Y4" i="9"/>
  <c r="W5" i="9"/>
  <c r="BS26" i="12"/>
  <c r="BW26" i="12"/>
  <c r="BY26" i="12" s="1"/>
  <c r="AW26" i="12" s="1"/>
  <c r="BA26" i="12" s="1"/>
  <c r="BK26" i="12" s="1"/>
  <c r="BN26" i="12" s="1"/>
  <c r="BP26" i="12" s="1"/>
  <c r="O44" i="9"/>
  <c r="O40" i="9"/>
  <c r="W14" i="9"/>
  <c r="S9" i="9"/>
  <c r="U8" i="9"/>
  <c r="M43" i="9"/>
  <c r="M54" i="9"/>
  <c r="M42" i="9"/>
  <c r="S10" i="9"/>
  <c r="Q40" i="9" l="1"/>
  <c r="Q44" i="9"/>
  <c r="O43" i="9"/>
  <c r="O42" i="9"/>
  <c r="O54" i="9"/>
  <c r="BW27" i="12"/>
  <c r="BY27" i="12" s="1"/>
  <c r="AW27" i="12" s="1"/>
  <c r="BA27" i="12" s="1"/>
  <c r="BK27" i="12" s="1"/>
  <c r="BN27" i="12" s="1"/>
  <c r="BP27" i="12" s="1"/>
  <c r="BS27" i="12"/>
  <c r="Y14" i="9"/>
  <c r="AA4" i="9"/>
  <c r="Y5" i="9"/>
  <c r="W8" i="9"/>
  <c r="U9" i="9"/>
  <c r="U10" i="9"/>
  <c r="U15" i="9"/>
  <c r="S21" i="9"/>
  <c r="S30" i="9" s="1"/>
  <c r="S32" i="9" s="1"/>
  <c r="S40" i="9" l="1"/>
  <c r="S44" i="9"/>
  <c r="AA5" i="9"/>
  <c r="AC4" i="9"/>
  <c r="AA14" i="9"/>
  <c r="BW28" i="12"/>
  <c r="BY28" i="12" s="1"/>
  <c r="AW28" i="12" s="1"/>
  <c r="BA28" i="12" s="1"/>
  <c r="BK28" i="12" s="1"/>
  <c r="BN28" i="12" s="1"/>
  <c r="BP28" i="12" s="1"/>
  <c r="BS28" i="12"/>
  <c r="W15" i="9"/>
  <c r="U21" i="9"/>
  <c r="U30" i="9" s="1"/>
  <c r="U32" i="9" s="1"/>
  <c r="Y8" i="9"/>
  <c r="W9" i="9"/>
  <c r="W10" i="9"/>
  <c r="Q54" i="9"/>
  <c r="Q43" i="9"/>
  <c r="Q42" i="9"/>
  <c r="U44" i="9" l="1"/>
  <c r="U40" i="9"/>
  <c r="BW29" i="12"/>
  <c r="BY29" i="12" s="1"/>
  <c r="AW29" i="12" s="1"/>
  <c r="BA29" i="12" s="1"/>
  <c r="BK29" i="12" s="1"/>
  <c r="BN29" i="12" s="1"/>
  <c r="BP29" i="12" s="1"/>
  <c r="BS29" i="12"/>
  <c r="AC14" i="9"/>
  <c r="Y9" i="9"/>
  <c r="Y10" i="9" s="1"/>
  <c r="AA8" i="9"/>
  <c r="Y15" i="9"/>
  <c r="W21" i="9"/>
  <c r="W30" i="9" s="1"/>
  <c r="W32" i="9" s="1"/>
  <c r="AE4" i="9"/>
  <c r="AC5" i="9"/>
  <c r="S42" i="9"/>
  <c r="S43" i="9"/>
  <c r="S54" i="9"/>
  <c r="W40" i="9" l="1"/>
  <c r="W44" i="9"/>
  <c r="AA15" i="9"/>
  <c r="Y21" i="9"/>
  <c r="Y30" i="9" s="1"/>
  <c r="Y32" i="9" s="1"/>
  <c r="AC8" i="9"/>
  <c r="AA9" i="9"/>
  <c r="AA10" i="9" s="1"/>
  <c r="AE14" i="9"/>
  <c r="BS30" i="12"/>
  <c r="BW30" i="12"/>
  <c r="BY30" i="12" s="1"/>
  <c r="AW30" i="12" s="1"/>
  <c r="BA30" i="12" s="1"/>
  <c r="BK30" i="12" s="1"/>
  <c r="BN30" i="12" s="1"/>
  <c r="BP30" i="12" s="1"/>
  <c r="U43" i="9"/>
  <c r="U42" i="9"/>
  <c r="U54" i="9"/>
  <c r="AE5" i="9"/>
  <c r="AG4" i="9"/>
  <c r="Y40" i="9" l="1"/>
  <c r="Y44" i="9"/>
  <c r="BW31" i="12"/>
  <c r="BY31" i="12" s="1"/>
  <c r="AW31" i="12" s="1"/>
  <c r="BA31" i="12" s="1"/>
  <c r="BK31" i="12" s="1"/>
  <c r="BN31" i="12" s="1"/>
  <c r="BP31" i="12" s="1"/>
  <c r="BS31" i="12"/>
  <c r="AG14" i="9"/>
  <c r="AG5" i="9"/>
  <c r="AC9" i="9"/>
  <c r="AC10" i="9" s="1"/>
  <c r="AE8" i="9"/>
  <c r="AC15" i="9"/>
  <c r="AA21" i="9"/>
  <c r="AA30" i="9" s="1"/>
  <c r="AA32" i="9" s="1"/>
  <c r="W42" i="9"/>
  <c r="W54" i="9"/>
  <c r="W43" i="9"/>
  <c r="AA44" i="9" l="1"/>
  <c r="AA40" i="9"/>
  <c r="BW32" i="12"/>
  <c r="BY32" i="12" s="1"/>
  <c r="AW32" i="12" s="1"/>
  <c r="BA32" i="12" s="1"/>
  <c r="BK32" i="12" s="1"/>
  <c r="BN32" i="12" s="1"/>
  <c r="BP32" i="12" s="1"/>
  <c r="BS32" i="12"/>
  <c r="AE15" i="9"/>
  <c r="AC21" i="9"/>
  <c r="AC30" i="9" s="1"/>
  <c r="AC32" i="9" s="1"/>
  <c r="Y43" i="9"/>
  <c r="Y54" i="9"/>
  <c r="Y42" i="9"/>
  <c r="AG8" i="9"/>
  <c r="AE9" i="9"/>
  <c r="AE10" i="9"/>
  <c r="AC40" i="9" l="1"/>
  <c r="AC44" i="9"/>
  <c r="AG15" i="9"/>
  <c r="AG21" i="9" s="1"/>
  <c r="AG30" i="9" s="1"/>
  <c r="AE21" i="9"/>
  <c r="AE30" i="9" s="1"/>
  <c r="AA42" i="9"/>
  <c r="AA54" i="9"/>
  <c r="AA43" i="9"/>
  <c r="BS33" i="12"/>
  <c r="BW33" i="12"/>
  <c r="BY33" i="12" s="1"/>
  <c r="AE32" i="9"/>
  <c r="AG9" i="9"/>
  <c r="AG10" i="9" s="1"/>
  <c r="AG32" i="9" s="1"/>
  <c r="AG40" i="9" l="1"/>
  <c r="AG44" i="9"/>
  <c r="AW33" i="12"/>
  <c r="BY43" i="12"/>
  <c r="AW3" i="12" s="1"/>
  <c r="AE44" i="9"/>
  <c r="AE40" i="9"/>
  <c r="BS34" i="12"/>
  <c r="BS35" i="12" s="1"/>
  <c r="BS36" i="12" s="1"/>
  <c r="BS37" i="12" s="1"/>
  <c r="BS38" i="12" s="1"/>
  <c r="BS39" i="12" s="1"/>
  <c r="BS40" i="12" s="1"/>
  <c r="BS41" i="12" s="1"/>
  <c r="BK2" i="12" s="1"/>
  <c r="BW34" i="12"/>
  <c r="AC43" i="9"/>
  <c r="AC54" i="9"/>
  <c r="AC42" i="9"/>
  <c r="AE54" i="9" l="1"/>
  <c r="AE43" i="9"/>
  <c r="AE42" i="9"/>
  <c r="BY34" i="12"/>
  <c r="BY42" i="12" s="1"/>
  <c r="BW42" i="12"/>
  <c r="C43" i="4"/>
  <c r="AW42" i="12"/>
  <c r="AG54" i="9"/>
  <c r="AG42" i="9"/>
  <c r="AG43" i="9"/>
  <c r="C44" i="15" l="1"/>
  <c r="S43" i="4"/>
  <c r="B43" i="4"/>
  <c r="E43" i="4" s="1"/>
  <c r="C52" i="4"/>
  <c r="B44" i="15"/>
  <c r="B53" i="15" s="1"/>
  <c r="B63" i="15" s="1"/>
  <c r="B96" i="15" s="1"/>
  <c r="D44" i="15"/>
  <c r="D53" i="15" s="1"/>
  <c r="D63" i="15" s="1"/>
  <c r="D96" i="15" s="1"/>
  <c r="B43" i="18"/>
  <c r="C43" i="18" s="1"/>
  <c r="C52" i="18" s="1"/>
  <c r="C62" i="18" s="1"/>
  <c r="C95" i="18" s="1"/>
  <c r="B52" i="4" l="1"/>
  <c r="C62" i="4"/>
  <c r="B52" i="18"/>
  <c r="E52" i="4"/>
  <c r="E62" i="4" s="1"/>
  <c r="E95" i="4" s="1"/>
  <c r="R43" i="4"/>
  <c r="R52" i="4" s="1"/>
  <c r="R62" i="4" s="1"/>
  <c r="R95" i="4" s="1"/>
  <c r="S52" i="4"/>
  <c r="E43" i="18"/>
  <c r="F43" i="18" s="1"/>
  <c r="F52" i="18" s="1"/>
  <c r="F62" i="18" s="1"/>
  <c r="F95" i="18" s="1"/>
  <c r="E44" i="15"/>
  <c r="C53" i="15"/>
  <c r="C95" i="4" l="1"/>
  <c r="B62" i="4"/>
  <c r="B62" i="18"/>
  <c r="E53" i="15"/>
  <c r="C63" i="15"/>
  <c r="E52" i="18"/>
  <c r="S62" i="4"/>
  <c r="E63" i="15" l="1"/>
  <c r="C96" i="15"/>
  <c r="S95" i="4"/>
  <c r="E62" i="18"/>
  <c r="B95" i="4"/>
  <c r="B95" i="18"/>
  <c r="E96" i="15" l="1"/>
  <c r="E95" i="18"/>
  <c r="C97" i="4"/>
  <c r="S97" i="4"/>
  <c r="B98" i="15" l="1"/>
  <c r="B104" i="15" s="1"/>
  <c r="B105" i="15" s="1"/>
  <c r="D98" i="15"/>
  <c r="D104" i="15" s="1"/>
  <c r="D105" i="15" s="1"/>
  <c r="B97" i="18"/>
  <c r="C97" i="18" s="1"/>
  <c r="C103" i="18" s="1"/>
  <c r="C104" i="18" s="1"/>
  <c r="B97" i="4"/>
  <c r="C98" i="15"/>
  <c r="C103" i="4"/>
  <c r="S103" i="4"/>
  <c r="E97" i="18"/>
  <c r="F97" i="18" s="1"/>
  <c r="F103" i="18" s="1"/>
  <c r="F104" i="18" s="1"/>
  <c r="F106" i="18" s="1"/>
  <c r="C104" i="15" l="1"/>
  <c r="E98" i="15"/>
  <c r="E103" i="18"/>
  <c r="S104" i="4"/>
  <c r="T11" i="27"/>
  <c r="T23" i="27" s="1"/>
  <c r="T11" i="26"/>
  <c r="T23" i="26" s="1"/>
  <c r="T11" i="5"/>
  <c r="T23" i="5" s="1"/>
  <c r="B103" i="18"/>
  <c r="B103" i="4"/>
  <c r="C104" i="4"/>
  <c r="E97" i="4"/>
  <c r="AY3" i="12"/>
  <c r="T26" i="5" l="1"/>
  <c r="T28" i="5" s="1"/>
  <c r="T26" i="26"/>
  <c r="T28" i="26" s="1"/>
  <c r="S106" i="4"/>
  <c r="E104" i="18"/>
  <c r="T26" i="27"/>
  <c r="T28" i="27" s="1"/>
  <c r="AY8" i="12"/>
  <c r="AY7" i="12"/>
  <c r="AY6" i="12"/>
  <c r="BA3" i="12"/>
  <c r="R97" i="4"/>
  <c r="R103" i="4" s="1"/>
  <c r="R104" i="4" s="1"/>
  <c r="E103" i="4"/>
  <c r="E104" i="4" s="1"/>
  <c r="B104" i="18"/>
  <c r="B104" i="4"/>
  <c r="AC441" i="3"/>
  <c r="E104" i="15"/>
  <c r="C105" i="15"/>
  <c r="E105" i="15" s="1"/>
  <c r="AC442" i="3" l="1"/>
  <c r="E106" i="18"/>
  <c r="X977" i="3"/>
  <c r="X978" i="3" s="1"/>
  <c r="D979" i="3" s="1"/>
  <c r="P75" i="12"/>
  <c r="BA4" i="12"/>
  <c r="BA5" i="12" s="1"/>
  <c r="BI4" i="12"/>
  <c r="AY12" i="12"/>
  <c r="AZ6" i="12"/>
  <c r="AY9" i="12"/>
  <c r="AZ7" i="12"/>
  <c r="AY33" i="12"/>
  <c r="BA33" i="12" s="1"/>
  <c r="AB46" i="27"/>
  <c r="AB48" i="27" s="1"/>
  <c r="J58" i="25"/>
  <c r="AB46" i="26"/>
  <c r="AB48" i="26" s="1"/>
  <c r="AB46" i="5"/>
  <c r="AB48" i="5" s="1"/>
  <c r="AC440" i="3"/>
  <c r="AY34" i="12"/>
  <c r="BA34" i="12" s="1"/>
  <c r="BP34" i="12" s="1"/>
  <c r="AZ8" i="12"/>
  <c r="BB12" i="12" l="1"/>
  <c r="BB13" i="12" s="1"/>
  <c r="BB14" i="12" s="1"/>
  <c r="BB15" i="12" s="1"/>
  <c r="BB16" i="12" s="1"/>
  <c r="BB17" i="12" s="1"/>
  <c r="BB18" i="12" s="1"/>
  <c r="BB19" i="12" s="1"/>
  <c r="BB20" i="12" s="1"/>
  <c r="BB21" i="12" s="1"/>
  <c r="BB22" i="12" s="1"/>
  <c r="BB23" i="12" s="1"/>
  <c r="BB24" i="12" s="1"/>
  <c r="BB25" i="12" s="1"/>
  <c r="BB26" i="12" s="1"/>
  <c r="BB27" i="12" s="1"/>
  <c r="BB28" i="12" s="1"/>
  <c r="BB29" i="12" s="1"/>
  <c r="BB30" i="12" s="1"/>
  <c r="BB31" i="12" s="1"/>
  <c r="BB32" i="12" s="1"/>
  <c r="BB33" i="12" s="1"/>
  <c r="BB34" i="12" s="1"/>
  <c r="BB35" i="12" s="1"/>
  <c r="BB36" i="12" s="1"/>
  <c r="BB37" i="12" s="1"/>
  <c r="BB38" i="12" s="1"/>
  <c r="BB39" i="12" s="1"/>
  <c r="BB40" i="12" s="1"/>
  <c r="BA12" i="12"/>
  <c r="AB53" i="26"/>
  <c r="AB54" i="26" s="1"/>
  <c r="Y11" i="5"/>
  <c r="Y23" i="5" s="1"/>
  <c r="Y11" i="27"/>
  <c r="Y23" i="27" s="1"/>
  <c r="Y11" i="26"/>
  <c r="Y23" i="26" s="1"/>
  <c r="AY37" i="12"/>
  <c r="BA37" i="12" s="1"/>
  <c r="BP37" i="12" s="1"/>
  <c r="AZ9" i="12"/>
  <c r="AZ10" i="12" s="1"/>
  <c r="AB53" i="5"/>
  <c r="AB54" i="5" s="1"/>
  <c r="G71" i="25"/>
  <c r="G72" i="25" s="1"/>
  <c r="B75" i="25" s="1"/>
  <c r="B76" i="25"/>
  <c r="O76" i="25" s="1"/>
  <c r="AB53" i="27"/>
  <c r="AB54" i="27" s="1"/>
  <c r="Y26" i="27" l="1"/>
  <c r="Y28" i="27" s="1"/>
  <c r="Y38" i="27"/>
  <c r="Y40" i="27" s="1"/>
  <c r="AD38" i="27"/>
  <c r="AD40" i="27" s="1"/>
  <c r="Y26" i="26"/>
  <c r="Y28" i="26" s="1"/>
  <c r="Y38" i="26"/>
  <c r="Y40" i="26" s="1"/>
  <c r="Y41" i="26" s="1"/>
  <c r="AB55" i="26" s="1"/>
  <c r="AB56" i="26" s="1"/>
  <c r="AD38" i="26"/>
  <c r="AD40" i="26" s="1"/>
  <c r="Y26" i="5"/>
  <c r="Y28" i="5" s="1"/>
  <c r="Q71" i="25"/>
  <c r="O75" i="25" s="1"/>
  <c r="R75" i="25" s="1"/>
  <c r="AD38" i="5"/>
  <c r="AD40" i="5" s="1"/>
  <c r="AY42" i="12"/>
  <c r="BA42" i="12" s="1"/>
  <c r="Y63" i="26" l="1"/>
  <c r="Y67" i="26" s="1"/>
  <c r="T29" i="26"/>
  <c r="Y63" i="5"/>
  <c r="Y67" i="5" s="1"/>
  <c r="T29" i="5"/>
  <c r="Y38" i="5"/>
  <c r="Y40" i="5" s="1"/>
  <c r="Y41" i="27"/>
  <c r="AB55" i="27" s="1"/>
  <c r="AB56" i="27" s="1"/>
  <c r="AB58" i="26"/>
  <c r="Y63" i="27"/>
  <c r="Y67" i="27" s="1"/>
  <c r="T29" i="27"/>
  <c r="AB58" i="27" l="1"/>
  <c r="F59" i="26"/>
  <c r="AB75" i="26"/>
  <c r="AR43" i="5"/>
  <c r="Y41" i="5" s="1"/>
  <c r="AB55" i="5" s="1"/>
  <c r="AR42" i="5"/>
  <c r="AB76" i="26"/>
  <c r="AB77" i="26" s="1"/>
  <c r="AB79" i="26" s="1"/>
  <c r="J80" i="26" s="1"/>
  <c r="AB56" i="5" l="1"/>
  <c r="M25" i="3"/>
  <c r="F59" i="27"/>
  <c r="AB75" i="27"/>
  <c r="AB76" i="27" s="1"/>
  <c r="AB77" i="27" s="1"/>
  <c r="AB79" i="27" s="1"/>
  <c r="J80" i="27" s="1"/>
  <c r="P210" i="3" l="1"/>
  <c r="AB58" i="5"/>
  <c r="AB75" i="5" l="1"/>
  <c r="AB76" i="5" s="1"/>
  <c r="F59" i="5"/>
  <c r="AB77" i="5" l="1"/>
  <c r="M27" i="3"/>
  <c r="W210" i="3" l="1"/>
  <c r="D210" i="3"/>
  <c r="AG630" i="3"/>
  <c r="BF3" i="12"/>
  <c r="AB79" i="5"/>
  <c r="J80" i="5" s="1"/>
  <c r="BF6" i="12" l="1"/>
  <c r="BF23" i="12" s="1"/>
  <c r="BK8" i="12"/>
  <c r="BJ8" i="12" s="1"/>
  <c r="BN3" i="12"/>
  <c r="BF5" i="12"/>
  <c r="BF8" i="12" s="1"/>
  <c r="BF4" i="12"/>
  <c r="BF7" i="12"/>
  <c r="BF33" i="12" s="1"/>
  <c r="E107" i="4"/>
  <c r="AG631" i="3"/>
  <c r="BF12" i="12" l="1"/>
  <c r="BF9" i="12"/>
  <c r="BJ9" i="12"/>
  <c r="BI8" i="12"/>
  <c r="BP3" i="12"/>
  <c r="BL4" i="12"/>
  <c r="BR3" i="12"/>
  <c r="BK23" i="12"/>
  <c r="BN23" i="12" s="1"/>
  <c r="BP23" i="12" s="1"/>
  <c r="AE546" i="3" l="1"/>
  <c r="BF42" i="12"/>
  <c r="BK12" i="12"/>
  <c r="BK33" i="12" l="1"/>
  <c r="BK42" i="12"/>
  <c r="P545" i="3"/>
  <c r="BN12" i="12"/>
  <c r="BP12" i="12" s="1"/>
  <c r="BN42" i="12"/>
  <c r="BQ12" i="12" l="1"/>
  <c r="BQ13" i="12" s="1"/>
  <c r="BQ14" i="12" s="1"/>
  <c r="BQ15" i="12" s="1"/>
  <c r="BQ16" i="12" s="1"/>
  <c r="BQ17" i="12" s="1"/>
  <c r="BQ18" i="12" s="1"/>
  <c r="BQ19" i="12" s="1"/>
  <c r="BQ20" i="12" s="1"/>
  <c r="BQ21" i="12" s="1"/>
  <c r="BQ22" i="12" s="1"/>
  <c r="BQ23" i="12" s="1"/>
  <c r="BQ24" i="12" s="1"/>
  <c r="BQ25" i="12" s="1"/>
  <c r="BQ26" i="12" s="1"/>
  <c r="BQ27" i="12" s="1"/>
  <c r="BQ28" i="12" s="1"/>
  <c r="BQ29" i="12" s="1"/>
  <c r="BQ30" i="12" s="1"/>
  <c r="BQ31" i="12" s="1"/>
  <c r="BQ32" i="12" s="1"/>
  <c r="AE545" i="3"/>
  <c r="AE557" i="3" s="1"/>
  <c r="BN33" i="12"/>
  <c r="BP33" i="12" s="1"/>
  <c r="BQ33" i="12" l="1"/>
  <c r="BQ34" i="12" s="1"/>
  <c r="BQ35" i="12" s="1"/>
  <c r="BQ36" i="12" s="1"/>
  <c r="BQ37" i="12" s="1"/>
  <c r="BQ38" i="12" s="1"/>
  <c r="BQ39" i="12" s="1"/>
  <c r="BQ40" i="12" s="1"/>
  <c r="BQ41" i="12" s="1"/>
  <c r="BP42" i="12"/>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<sst xmlns="http://schemas.openxmlformats.org/spreadsheetml/2006/main" count="5039" uniqueCount="2753">
  <si>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</si>
  <si>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</si>
  <si>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</si>
  <si>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</si>
  <si>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</si>
  <si>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</si>
  <si>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</si>
  <si>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</si>
  <si>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</si>
  <si>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</si>
  <si>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</si>
  <si>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</si>
  <si>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</si>
  <si>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</si>
  <si>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</si>
  <si>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</si>
  <si>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</si>
  <si>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</si>
  <si>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</si>
  <si>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</si>
  <si>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</si>
  <si>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</si>
  <si>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</si>
  <si>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</si>
  <si>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</si>
  <si>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</si>
  <si>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</si>
  <si>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</si>
  <si>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</si>
  <si>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</si>
  <si>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</si>
  <si>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</si>
  <si>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</si>
  <si>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</si>
  <si>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</si>
  <si>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</si>
  <si>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</si>
  <si>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</si>
  <si>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</si>
  <si>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</si>
  <si>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</si>
  <si>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</si>
  <si>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</si>
  <si>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</si>
  <si>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</si>
  <si>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</si>
  <si>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</si>
  <si>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</si>
  <si>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</si>
  <si>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</si>
  <si>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</si>
  <si>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</si>
  <si>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</si>
  <si>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</si>
  <si>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</si>
  <si>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</si>
  <si>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</si>
  <si>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</si>
  <si>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</si>
  <si>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</si>
  <si>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</si>
  <si>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</si>
  <si>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</si>
  <si>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</si>
  <si>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</si>
  <si>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</si>
  <si>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</si>
  <si>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</si>
  <si>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</si>
  <si>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</si>
  <si>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</si>
  <si>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</si>
  <si>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</si>
  <si>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</si>
  <si>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</si>
  <si>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</si>
  <si>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</si>
  <si>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</si>
  <si>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</si>
  <si>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</si>
  <si>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</si>
  <si>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</si>
  <si>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</si>
  <si>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</si>
  <si>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</si>
  <si>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</si>
  <si>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</si>
  <si>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</si>
  <si>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</si>
  <si>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</si>
  <si>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</si>
  <si>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</si>
  <si>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</si>
  <si>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</si>
  <si>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</si>
  <si>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</si>
  <si>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</si>
  <si>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</si>
  <si>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</si>
  <si>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</si>
  <si>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</si>
  <si>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</si>
  <si>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</si>
  <si>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</si>
  <si>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</si>
  <si>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</si>
  <si>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</si>
  <si>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</si>
  <si>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</si>
  <si>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</si>
  <si>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</si>
  <si>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</si>
  <si>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</si>
  <si>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</si>
  <si>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</si>
  <si>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</si>
  <si>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</si>
  <si>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</si>
  <si>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</si>
  <si>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</si>
  <si>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</si>
  <si>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</si>
  <si>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</si>
  <si>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</si>
  <si>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</si>
  <si>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</si>
  <si>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</si>
  <si>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</si>
  <si>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</si>
  <si>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</si>
  <si>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</si>
  <si>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</si>
  <si>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</si>
  <si>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</si>
  <si>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</si>
  <si>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</si>
  <si>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</si>
  <si>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</si>
  <si>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</si>
  <si>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</si>
  <si>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</si>
  <si>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</si>
  <si>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</si>
  <si>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</si>
  <si>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</si>
  <si>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</si>
  <si>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</si>
  <si>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</si>
  <si>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</si>
  <si>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</si>
  <si>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</si>
  <si>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</si>
  <si>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</si>
  <si>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</si>
  <si>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</si>
  <si>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</si>
  <si>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</si>
  <si>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</si>
  <si>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</si>
  <si>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</si>
  <si>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</si>
  <si>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</si>
  <si>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</si>
  <si>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</si>
  <si>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</si>
  <si>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</si>
  <si>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</si>
  <si>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</si>
  <si>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</si>
  <si>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</si>
  <si>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</si>
  <si>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</si>
  <si>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</si>
  <si>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</si>
  <si>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</si>
  <si>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</si>
  <si>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</si>
  <si>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</si>
  <si>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</si>
  <si>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</si>
  <si>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</si>
  <si>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</si>
  <si>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</si>
  <si>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</si>
  <si>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</si>
  <si>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</si>
  <si>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</si>
  <si>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</si>
  <si>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</si>
  <si>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</si>
  <si>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</si>
  <si>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</si>
  <si>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</si>
  <si>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</si>
  <si>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</si>
  <si>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</si>
  <si>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</si>
  <si>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</si>
  <si>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</si>
  <si>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</si>
  <si>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</si>
  <si>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</si>
  <si>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</si>
  <si>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</si>
  <si>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</si>
  <si>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</si>
  <si>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</si>
  <si>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</si>
  <si>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</si>
  <si>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</si>
  <si>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</si>
  <si>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</si>
  <si>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</si>
  <si>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</si>
  <si>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</si>
  <si>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</si>
  <si>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</si>
  <si>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</si>
  <si>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</si>
  <si>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</si>
  <si>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</si>
  <si>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</si>
  <si>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</si>
  <si>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</si>
  <si>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</si>
  <si>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</si>
  <si>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</si>
  <si>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</si>
  <si>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</si>
  <si>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</si>
  <si>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</si>
  <si>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</si>
  <si>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</si>
  <si>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</si>
  <si>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</si>
  <si>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</si>
  <si>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</si>
  <si>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</si>
  <si>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</si>
  <si>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</si>
  <si>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</si>
  <si>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</si>
  <si>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</si>
  <si>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</si>
  <si>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</si>
  <si>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</si>
  <si>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</si>
  <si>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</si>
  <si>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</si>
  <si>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</si>
  <si>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</si>
  <si>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</si>
  <si>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</si>
  <si>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</si>
  <si>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</si>
  <si>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</si>
  <si>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</si>
  <si>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</si>
  <si>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</si>
  <si>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</si>
  <si>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</si>
  <si>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</si>
  <si>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</si>
  <si>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</si>
  <si>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</si>
  <si>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</si>
  <si>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</si>
  <si>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</si>
  <si>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</si>
  <si>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</si>
  <si>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</si>
  <si>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</si>
  <si>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</si>
  <si>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</si>
  <si>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</si>
  <si>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</si>
  <si>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</si>
  <si>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</si>
  <si>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</si>
  <si>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</si>
  <si>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</si>
  <si>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</si>
  <si>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</si>
  <si>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</si>
  <si>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</si>
  <si>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</si>
  <si>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</si>
  <si>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</si>
  <si>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</si>
  <si>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</si>
  <si>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</si>
  <si>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</si>
  <si>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</si>
  <si>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</si>
  <si>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</si>
  <si>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</si>
  <si>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</si>
  <si>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</si>
  <si>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</si>
  <si>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</si>
  <si>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</si>
  <si>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</si>
  <si>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</si>
  <si>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</si>
  <si>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</si>
  <si>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</si>
  <si>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</si>
  <si>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</si>
  <si>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</si>
  <si>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</si>
  <si>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</si>
  <si>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</si>
  <si>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</si>
  <si>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</si>
  <si>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</si>
  <si>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</si>
  <si>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</si>
  <si>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</si>
  <si>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</si>
  <si>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</si>
  <si>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</si>
  <si>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</si>
  <si>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</si>
  <si>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</si>
  <si>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</si>
  <si>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</si>
  <si>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</si>
  <si>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</si>
  <si>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</si>
  <si>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</si>
  <si>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</si>
  <si>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</si>
  <si>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</si>
  <si>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</si>
  <si>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</si>
  <si>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</si>
  <si>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</si>
  <si>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</si>
  <si>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</si>
  <si>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</si>
  <si>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</si>
  <si>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</si>
  <si>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</si>
  <si>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</si>
  <si>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</si>
  <si>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</si>
  <si>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</si>
  <si>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</si>
  <si>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</si>
  <si>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</si>
  <si>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</si>
  <si>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</si>
  <si>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</si>
  <si>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</si>
  <si>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</si>
  <si>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</si>
  <si>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</si>
  <si>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</si>
  <si>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</si>
  <si>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</si>
  <si>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</si>
  <si>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</si>
  <si>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</si>
  <si>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</si>
  <si>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</si>
  <si>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</si>
  <si>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</si>
  <si>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</si>
  <si>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</si>
  <si>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</si>
  <si>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</si>
  <si>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</si>
  <si>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</si>
  <si>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</si>
  <si>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</si>
  <si>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</si>
  <si>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</si>
  <si>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</si>
  <si>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</si>
  <si>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</si>
  <si>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</si>
  <si>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</si>
  <si>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</si>
  <si>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</si>
  <si>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</si>
  <si>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</si>
  <si>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</si>
  <si>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</si>
  <si>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</si>
  <si>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</si>
  <si>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</si>
  <si>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</si>
  <si>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</si>
  <si>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</si>
  <si>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</si>
  <si>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</si>
  <si>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</si>
  <si>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</si>
  <si>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</si>
  <si>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</si>
  <si>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</si>
  <si>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</si>
  <si>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</si>
  <si>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</si>
  <si>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</si>
  <si>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</si>
  <si>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</si>
  <si>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</si>
  <si>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</si>
  <si>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</si>
  <si>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</si>
  <si>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</si>
  <si>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</si>
  <si>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</si>
  <si>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</si>
  <si>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</si>
  <si>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</si>
  <si>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</si>
  <si>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</si>
  <si>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</si>
  <si>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</si>
  <si>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</si>
  <si>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</si>
  <si>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</si>
  <si>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</si>
  <si>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</si>
  <si>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</si>
  <si>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</si>
  <si>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</si>
  <si>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</si>
  <si>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</si>
  <si>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</si>
  <si>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</si>
  <si>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</si>
  <si>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</si>
  <si>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</si>
  <si>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</si>
  <si>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</si>
  <si>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</si>
  <si>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</si>
  <si>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</si>
  <si>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</si>
  <si>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</si>
  <si>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</si>
  <si>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</si>
  <si>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</si>
  <si>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</si>
  <si>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</si>
  <si>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</si>
  <si>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</si>
  <si>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</si>
  <si>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</si>
  <si>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</si>
  <si>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</si>
  <si>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</si>
  <si>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</si>
  <si>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</si>
  <si>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</si>
  <si>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</si>
  <si>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</si>
  <si>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</si>
  <si>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</si>
  <si>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</si>
  <si>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</si>
  <si>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</si>
  <si>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</si>
  <si>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</si>
  <si>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</si>
  <si>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</si>
  <si>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</si>
  <si>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</si>
  <si>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</si>
  <si>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</si>
  <si>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</si>
  <si>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</si>
  <si>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</si>
  <si>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</si>
  <si>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</si>
  <si>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</si>
  <si>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</si>
  <si>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</si>
  <si>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</si>
  <si>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</si>
  <si>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</si>
  <si>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</si>
  <si>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</si>
  <si>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</si>
  <si>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</si>
  <si>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</si>
  <si>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</si>
  <si>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</si>
  <si>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</si>
  <si>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</si>
  <si>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</si>
  <si>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</si>
  <si>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</si>
  <si>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</si>
  <si>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</si>
  <si>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</si>
  <si>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</si>
  <si>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</si>
  <si>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</si>
  <si>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</si>
  <si>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</si>
  <si>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</si>
  <si>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</si>
  <si>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</si>
  <si>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</si>
  <si>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</si>
  <si>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</si>
  <si>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</si>
  <si>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</si>
  <si>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</si>
  <si>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</si>
  <si>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</si>
  <si>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</si>
  <si>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</si>
  <si>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</si>
  <si>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</si>
  <si>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</si>
  <si>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</si>
  <si>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</si>
  <si>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</si>
  <si>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</si>
  <si>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</si>
  <si>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</si>
  <si>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</si>
  <si>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</si>
  <si>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</si>
  <si>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</si>
  <si>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</si>
  <si>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</si>
  <si>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</si>
  <si>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</si>
  <si>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</si>
  <si>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</si>
  <si>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</si>
  <si>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</si>
  <si>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</si>
  <si>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</si>
  <si>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</si>
  <si>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</si>
  <si>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</si>
  <si>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</si>
  <si>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</si>
  <si>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</si>
  <si>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</si>
  <si>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</si>
  <si>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</si>
  <si>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</si>
  <si>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</si>
  <si>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</si>
  <si>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</si>
  <si>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</si>
  <si>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</si>
  <si>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</si>
  <si>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</si>
  <si>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</si>
  <si>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</si>
  <si>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</si>
  <si>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</si>
  <si>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</si>
  <si>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</si>
  <si>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</si>
  <si>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</si>
  <si>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</si>
  <si>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</si>
  <si>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</si>
  <si>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</si>
  <si>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</si>
  <si>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</si>
  <si>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</si>
  <si>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</si>
  <si>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</si>
  <si>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</si>
  <si>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</si>
  <si>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</si>
  <si>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</si>
  <si>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</si>
  <si>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</si>
  <si>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</si>
  <si>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</si>
  <si>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</si>
  <si>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</si>
  <si>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</si>
  <si>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</si>
  <si>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</si>
  <si>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</si>
  <si>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</si>
  <si>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</si>
  <si>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</si>
  <si>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</si>
  <si>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</si>
  <si>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</si>
  <si>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</si>
  <si>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</si>
  <si>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</si>
  <si>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</si>
  <si>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</si>
  <si>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</si>
  <si>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</si>
  <si>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</si>
  <si>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</si>
  <si>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</si>
  <si>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</si>
  <si>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</si>
  <si>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</si>
  <si>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</si>
  <si>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</si>
  <si>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</si>
  <si>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</si>
  <si>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</si>
  <si>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</si>
  <si>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</si>
  <si>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</si>
  <si>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</si>
  <si>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</si>
  <si>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</si>
  <si>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</si>
  <si>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</si>
  <si>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</si>
  <si>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</si>
  <si>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</si>
  <si>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</si>
  <si>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</si>
  <si>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</si>
  <si>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</si>
  <si>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</si>
  <si>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</si>
  <si>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</si>
  <si>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</si>
  <si>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</si>
  <si>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</si>
  <si>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</si>
  <si>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</si>
  <si>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</si>
  <si>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</si>
  <si>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</si>
  <si>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</si>
  <si>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</si>
  <si>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</si>
  <si>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</si>
  <si>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</si>
  <si>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</si>
  <si>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</si>
  <si>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</si>
  <si>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</si>
  <si>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</si>
  <si>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</si>
  <si>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</si>
  <si>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</si>
  <si>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</si>
  <si>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</si>
  <si>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</si>
  <si>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</si>
  <si>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</si>
  <si>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</si>
  <si>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</si>
  <si>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</si>
  <si>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</si>
  <si>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</si>
  <si>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</si>
  <si>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</si>
  <si>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</si>
  <si>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</si>
  <si>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</si>
  <si>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</si>
  <si>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</si>
  <si>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</si>
  <si>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</si>
  <si>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</si>
  <si>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</si>
  <si>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</si>
  <si>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</si>
  <si>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</si>
  <si>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</si>
  <si>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</si>
  <si>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</si>
  <si>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</si>
  <si>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</si>
  <si>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</si>
  <si>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</si>
  <si>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</si>
  <si>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</si>
  <si>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</si>
  <si>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</si>
  <si>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</si>
  <si>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</si>
  <si>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</si>
  <si>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</si>
  <si>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</si>
  <si>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</si>
  <si>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</si>
  <si>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</si>
  <si>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</si>
  <si>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</si>
  <si>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</si>
  <si>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</si>
  <si>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</si>
  <si>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</si>
  <si>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</si>
  <si>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</si>
  <si>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</si>
  <si>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</si>
  <si>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</si>
  <si>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</si>
  <si>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</si>
  <si>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</si>
  <si>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</si>
  <si>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</si>
  <si>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</si>
  <si>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</si>
  <si>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</si>
  <si>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</si>
  <si>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</si>
  <si>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</si>
  <si>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</si>
  <si>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</si>
  <si>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</si>
  <si>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</si>
  <si>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</si>
  <si>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</si>
  <si>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</si>
  <si>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</si>
  <si>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</si>
  <si>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</si>
  <si>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</si>
  <si>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</si>
  <si>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</si>
  <si>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</si>
  <si>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</si>
  <si>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</si>
  <si>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</si>
  <si>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</si>
  <si>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</si>
  <si>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</si>
  <si>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</si>
  <si>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</si>
  <si>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</si>
  <si>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</si>
  <si>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</si>
  <si>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</si>
  <si>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</si>
  <si>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</si>
  <si>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</si>
  <si>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</si>
  <si>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</si>
  <si>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</si>
  <si>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</si>
  <si>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</si>
  <si>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</si>
  <si>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</si>
  <si>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</si>
  <si>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</si>
  <si>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</si>
  <si>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</si>
  <si>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</si>
  <si>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</si>
  <si>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</si>
  <si>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</si>
  <si>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</si>
  <si>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</si>
  <si>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</si>
  <si>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</si>
  <si>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</si>
  <si>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</si>
  <si>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</si>
  <si>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</si>
  <si>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</si>
  <si>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</si>
  <si>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</si>
  <si>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</si>
  <si>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</si>
  <si>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</si>
  <si>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</si>
  <si>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</si>
  <si>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</si>
  <si>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</si>
  <si>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</si>
  <si>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</si>
  <si>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</si>
  <si>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</si>
  <si>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</si>
  <si>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</si>
  <si>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</si>
  <si>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</si>
  <si>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</si>
  <si>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</si>
  <si>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</si>
  <si>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</si>
  <si>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</si>
  <si>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</si>
  <si>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</si>
  <si>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</si>
  <si>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</si>
  <si>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</si>
  <si>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</si>
  <si>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</si>
  <si>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</si>
  <si>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</si>
  <si>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</si>
  <si>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</si>
  <si>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</si>
  <si>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</si>
  <si>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</si>
  <si>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</si>
  <si>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</si>
  <si>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</si>
  <si>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</si>
  <si>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</si>
  <si>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</si>
  <si>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</si>
  <si>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</si>
  <si>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</si>
  <si>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</si>
  <si>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</si>
  <si>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</si>
  <si>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</si>
  <si>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</si>
  <si>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</si>
  <si>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</si>
  <si>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</si>
  <si>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</si>
  <si>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</si>
  <si>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</si>
  <si>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</si>
  <si>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</si>
  <si>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</si>
  <si>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</si>
  <si>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</si>
  <si>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</si>
  <si>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</si>
  <si>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</si>
  <si>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</si>
  <si>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</si>
  <si>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</si>
  <si>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</si>
  <si>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</si>
  <si>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</si>
  <si>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</si>
  <si>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</si>
  <si>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</si>
  <si>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</si>
  <si>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</si>
  <si>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</si>
  <si>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</si>
  <si>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</si>
  <si>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</si>
  <si>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</si>
  <si>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</si>
  <si>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</si>
  <si>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</si>
  <si>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</si>
  <si>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</si>
  <si>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</si>
  <si>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</si>
  <si>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</si>
  <si>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</si>
  <si>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</si>
  <si>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</si>
  <si>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</si>
  <si>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</si>
  <si>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</si>
  <si>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</si>
  <si>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</si>
  <si>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</si>
  <si>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</si>
  <si>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</si>
  <si>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</si>
  <si>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</si>
  <si>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</si>
  <si>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</si>
  <si>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</si>
  <si>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</si>
  <si>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</si>
  <si>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</si>
  <si>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</si>
  <si>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</si>
  <si>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</si>
  <si>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</si>
  <si>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</si>
  <si>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</si>
  <si>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</si>
  <si>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</si>
  <si>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</si>
  <si>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</si>
  <si>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</si>
  <si>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</si>
  <si>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</si>
  <si>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</si>
  <si>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</si>
  <si>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</si>
  <si>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</si>
  <si>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</si>
  <si>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</si>
  <si>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</si>
  <si>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</si>
  <si>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</si>
  <si>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</si>
  <si>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</si>
  <si>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</si>
  <si>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</si>
  <si>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</si>
  <si>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</si>
  <si>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</si>
  <si>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</si>
  <si>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</si>
  <si>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</si>
  <si>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</si>
  <si>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</si>
  <si>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</si>
  <si>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</si>
  <si>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</si>
  <si>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</si>
  <si>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</si>
  <si>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</si>
  <si>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</si>
  <si>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</si>
  <si>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</si>
  <si>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</si>
  <si>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</si>
  <si>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</si>
  <si>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</si>
  <si>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</si>
  <si>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</si>
  <si>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</si>
  <si>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</si>
  <si>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</si>
  <si>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</si>
  <si>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</si>
  <si>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</si>
  <si>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</si>
  <si>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</si>
  <si>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</si>
  <si>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</si>
  <si>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</si>
  <si>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</si>
  <si>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</si>
  <si>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</si>
  <si>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</si>
  <si>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</si>
  <si>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</si>
  <si>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</si>
  <si>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</si>
  <si>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</si>
  <si>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</si>
  <si>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</si>
  <si>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</si>
  <si>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</si>
  <si>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</si>
  <si>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</si>
  <si>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</si>
  <si>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</si>
  <si>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</si>
  <si>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</si>
  <si>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</si>
  <si>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</si>
  <si>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</si>
  <si>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</si>
  <si>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</si>
  <si>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</si>
  <si>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</si>
  <si>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</si>
  <si>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</si>
  <si>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</si>
  <si>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</si>
  <si>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</si>
  <si>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</si>
  <si>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</si>
  <si>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</si>
  <si>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</si>
  <si>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</si>
  <si>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</si>
  <si>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</si>
  <si>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</si>
  <si>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</si>
  <si>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</si>
  <si>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</si>
  <si>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</si>
  <si>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</si>
  <si>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</si>
  <si>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</si>
  <si>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</si>
  <si>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</si>
  <si>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</si>
  <si>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</si>
  <si>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</si>
  <si>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</si>
  <si>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</si>
  <si>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</si>
  <si>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</si>
  <si>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</si>
  <si>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</si>
  <si>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</si>
  <si>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</si>
  <si>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</si>
  <si>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</si>
  <si>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</si>
  <si>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</si>
  <si>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</si>
  <si>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</si>
  <si>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</si>
  <si>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</si>
  <si>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</si>
  <si>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</si>
  <si>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</si>
  <si>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</si>
  <si>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</si>
  <si>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</si>
  <si>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</si>
  <si>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</si>
  <si>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</si>
  <si>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</si>
  <si>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</si>
  <si>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</si>
  <si>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</si>
  <si>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</si>
  <si>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</si>
  <si>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</si>
  <si>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</si>
  <si>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</si>
  <si>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</si>
  <si>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</si>
  <si>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</si>
  <si>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</si>
  <si>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</si>
  <si>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</si>
  <si>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</si>
  <si>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</si>
  <si>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</si>
  <si>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</si>
  <si>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</si>
  <si>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</si>
  <si>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</si>
  <si>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</si>
  <si>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</si>
  <si>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</si>
  <si>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</si>
  <si>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</si>
  <si>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</si>
  <si>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</si>
  <si>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</si>
  <si>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</si>
  <si>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</si>
  <si>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</si>
  <si>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</si>
  <si>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</si>
  <si>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</si>
  <si>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</si>
  <si>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</si>
  <si>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</si>
  <si>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</si>
  <si>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</si>
  <si>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</si>
  <si>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</si>
  <si>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</si>
  <si>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</si>
  <si>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</si>
  <si>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</si>
  <si>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</si>
  <si>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</si>
  <si>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</si>
  <si>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</si>
  <si>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</si>
  <si>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</si>
  <si>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</si>
  <si>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</si>
  <si>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</si>
  <si>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</si>
  <si>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</si>
  <si>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</si>
  <si>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</si>
  <si>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</si>
  <si>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</si>
  <si>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</si>
  <si>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</si>
  <si>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</si>
  <si>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</si>
  <si>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</si>
  <si>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</si>
  <si>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</si>
  <si>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</si>
  <si>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</si>
  <si>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</si>
  <si>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</si>
  <si>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</si>
  <si>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</si>
  <si>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</si>
  <si>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</si>
  <si>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</si>
  <si>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</si>
  <si>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</si>
  <si>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</si>
  <si>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</si>
  <si>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</si>
  <si>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</si>
  <si>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</si>
  <si>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</si>
  <si>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</si>
  <si>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</si>
  <si>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</si>
  <si>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</si>
  <si>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</si>
  <si>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</si>
  <si>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</si>
  <si>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</si>
  <si>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</si>
  <si>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</si>
  <si>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</si>
  <si>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</si>
  <si>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</si>
  <si>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</si>
  <si>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</si>
  <si>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</si>
  <si>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</si>
  <si>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</si>
  <si>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</si>
  <si>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</si>
  <si>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</si>
  <si>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</si>
  <si>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</si>
  <si>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</si>
  <si>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</si>
  <si>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</si>
  <si>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</si>
  <si>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</si>
  <si>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</si>
  <si>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</si>
  <si>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</si>
  <si>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</si>
  <si>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</si>
  <si>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</si>
  <si>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</si>
  <si>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</si>
  <si>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</si>
  <si>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</si>
  <si>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</si>
  <si>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</si>
  <si>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</si>
  <si>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</si>
  <si>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</si>
  <si>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</si>
  <si>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</si>
  <si>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</si>
  <si>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</si>
  <si>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</si>
  <si>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</si>
  <si>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</si>
  <si>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</si>
  <si>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</si>
  <si>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</si>
  <si>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</si>
  <si>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</si>
  <si>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</si>
  <si>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</si>
  <si>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</si>
  <si>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</si>
  <si>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</si>
  <si>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</si>
  <si>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</si>
  <si>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</si>
  <si>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</si>
  <si>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</si>
  <si>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</si>
  <si>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</si>
  <si>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</si>
  <si>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</si>
  <si>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</si>
  <si>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</si>
  <si>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</si>
  <si>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</si>
  <si>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</si>
  <si>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</si>
  <si>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</si>
  <si>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</si>
  <si>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</si>
  <si>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</si>
  <si>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</si>
  <si>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</si>
  <si>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</si>
  <si>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</si>
  <si>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</si>
  <si>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</si>
  <si>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</si>
  <si>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</si>
  <si>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</si>
  <si>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</si>
  <si>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</si>
  <si>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</si>
  <si>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</si>
  <si>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</si>
  <si>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</si>
  <si>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</si>
  <si>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</si>
  <si>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</si>
  <si>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</si>
  <si>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</si>
  <si>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</si>
  <si>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</si>
  <si>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</si>
  <si>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</si>
  <si>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</si>
  <si>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</si>
  <si>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</si>
  <si>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</si>
  <si>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</si>
  <si>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</si>
  <si>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</si>
  <si>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</si>
  <si>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</si>
  <si>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</si>
  <si>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</si>
  <si>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</si>
  <si>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</si>
  <si>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</si>
  <si>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</si>
  <si>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</si>
  <si>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</si>
  <si>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</si>
  <si>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</si>
  <si>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</si>
  <si>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</si>
  <si>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</si>
  <si>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</si>
  <si>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</si>
  <si>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</si>
  <si>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</si>
  <si>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</si>
  <si>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</si>
  <si>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</si>
  <si>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</si>
  <si>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</si>
  <si>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</si>
  <si>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</si>
  <si>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</si>
  <si>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</si>
  <si>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</si>
  <si>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</si>
  <si>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</si>
  <si>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</si>
  <si>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</si>
  <si>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</si>
  <si>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</si>
  <si>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</si>
  <si>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</si>
  <si>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</si>
  <si>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</si>
  <si>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</si>
  <si>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</si>
  <si>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</si>
  <si>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</si>
  <si>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</si>
  <si>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</si>
  <si>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</si>
  <si>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</si>
  <si>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</si>
  <si>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</si>
  <si>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</si>
  <si>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</si>
  <si>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</si>
  <si>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</si>
  <si>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</si>
  <si>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</si>
  <si>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</si>
  <si>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</si>
  <si>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</si>
  <si>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</si>
  <si>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</si>
  <si>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</si>
  <si>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</si>
  <si>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</si>
  <si>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</si>
  <si>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</si>
  <si>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</si>
  <si>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</si>
  <si>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</si>
  <si>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</si>
  <si>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</si>
  <si>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</si>
  <si>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</si>
  <si>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</si>
  <si>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</si>
  <si>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</si>
  <si>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</si>
  <si>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</si>
  <si>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</si>
  <si>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</si>
  <si>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</si>
  <si>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</si>
  <si>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</si>
  <si>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</si>
  <si>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</si>
  <si>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</si>
  <si>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</si>
  <si>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</si>
  <si>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</si>
  <si>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</si>
  <si>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</si>
  <si>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</si>
  <si>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</si>
  <si>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</si>
  <si>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</si>
  <si>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</si>
  <si>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</si>
  <si>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</si>
  <si>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</si>
  <si>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</si>
  <si>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</si>
  <si>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</si>
  <si>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</si>
  <si>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</si>
  <si>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</si>
  <si>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</si>
  <si>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</si>
  <si>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</si>
  <si>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</si>
  <si>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</si>
  <si>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</si>
  <si>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</si>
  <si>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</si>
  <si>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</si>
  <si>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</si>
  <si>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</si>
  <si>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</si>
  <si>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</si>
  <si>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</si>
  <si>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</si>
  <si>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</si>
  <si>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</si>
  <si>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</si>
  <si>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</si>
  <si>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</si>
  <si>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</si>
  <si>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</si>
  <si>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</si>
  <si>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</si>
  <si>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</si>
  <si>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</si>
  <si>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</si>
  <si>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</si>
  <si>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</si>
  <si>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</si>
  <si>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</si>
  <si>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</si>
  <si>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</si>
  <si>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</si>
  <si>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</si>
  <si>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</si>
  <si>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</si>
  <si>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</si>
  <si>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</si>
  <si>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</si>
  <si>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</si>
  <si>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</si>
  <si>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</si>
  <si>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</si>
  <si>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</si>
  <si>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</si>
  <si>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</si>
  <si>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</si>
  <si>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</si>
  <si>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</si>
  <si>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</si>
  <si>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</si>
  <si>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</si>
  <si>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</si>
  <si>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</si>
  <si>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</si>
  <si>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</si>
  <si>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</si>
  <si>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</si>
  <si>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</si>
  <si>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</si>
  <si>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</si>
  <si>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</si>
  <si>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</si>
  <si>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</si>
  <si>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</si>
  <si>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</si>
  <si>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</si>
  <si>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</si>
  <si>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</si>
  <si>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</si>
  <si>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</si>
  <si>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</si>
  <si>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</si>
  <si>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</si>
  <si>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</si>
  <si>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</si>
  <si>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</si>
  <si>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</si>
  <si>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</si>
  <si>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</si>
  <si>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</si>
  <si>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</si>
  <si>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</si>
  <si>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</si>
  <si>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</si>
  <si>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</si>
  <si>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</si>
  <si>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</si>
  <si>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</si>
  <si>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</si>
  <si>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</si>
  <si>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</si>
  <si>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</si>
  <si>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</si>
  <si>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</si>
  <si>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</si>
  <si>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</si>
  <si>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</si>
  <si>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</si>
  <si>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</si>
  <si>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</si>
  <si>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</si>
  <si>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</si>
  <si>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</si>
  <si>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</si>
  <si>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</si>
  <si>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</si>
  <si>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</si>
  <si>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</si>
  <si>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</si>
  <si>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</si>
  <si>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</si>
  <si>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</si>
  <si>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</si>
  <si>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</si>
  <si>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</si>
  <si>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</si>
  <si>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</si>
  <si>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</si>
  <si>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</si>
  <si>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</si>
  <si>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</si>
  <si>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</si>
  <si>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</si>
  <si>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</si>
  <si>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</si>
  <si>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</si>
  <si>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</si>
  <si>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</si>
  <si>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</si>
  <si>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</si>
  <si>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</si>
  <si>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</si>
  <si>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</si>
  <si>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</si>
  <si>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</si>
  <si>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</si>
  <si>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</si>
  <si>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</si>
  <si>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</si>
  <si>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</si>
  <si>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</si>
  <si>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</si>
  <si>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</si>
  <si>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</si>
  <si>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</si>
  <si>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</si>
  <si>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</si>
  <si>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</si>
  <si>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</si>
  <si>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</si>
  <si>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</si>
  <si>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</si>
  <si>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</si>
  <si>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</si>
  <si>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</si>
  <si>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</si>
  <si>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</si>
  <si>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</si>
  <si>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</si>
  <si>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</si>
  <si>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</si>
  <si>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</si>
  <si>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</si>
  <si>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</si>
  <si>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</si>
  <si>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</si>
  <si>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</si>
  <si>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</si>
  <si>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</si>
  <si>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</si>
  <si>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</si>
  <si>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</si>
  <si>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</si>
  <si>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</si>
  <si>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</si>
  <si>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</si>
  <si>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</si>
  <si>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</si>
  <si>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</si>
  <si>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</si>
  <si>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</si>
  <si>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</si>
  <si>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</si>
  <si>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</si>
  <si>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</si>
  <si>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</si>
  <si>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</si>
  <si>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</si>
  <si>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</si>
  <si>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</si>
  <si>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</si>
  <si>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</si>
  <si>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</si>
  <si>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</si>
  <si>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</si>
  <si>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</si>
  <si>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</si>
  <si>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</si>
  <si>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</si>
  <si>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</si>
  <si>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</si>
  <si>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</si>
  <si>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</si>
  <si>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</si>
  <si>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</si>
  <si>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</si>
  <si>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</si>
  <si>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</si>
  <si>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</si>
  <si>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</si>
  <si>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</si>
  <si>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</si>
  <si>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</si>
  <si>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</si>
  <si>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</si>
  <si>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</si>
  <si>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</si>
  <si>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</si>
  <si>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</si>
  <si>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</si>
  <si>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</si>
  <si>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</si>
  <si>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</si>
  <si>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</si>
  <si>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</si>
  <si>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</si>
  <si>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</si>
  <si>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</si>
  <si>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</si>
  <si>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</si>
  <si>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</si>
  <si>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</si>
  <si>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</si>
  <si>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</si>
  <si>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</si>
  <si>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</si>
  <si>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</si>
  <si>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</si>
  <si>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</si>
  <si>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</si>
  <si>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</si>
  <si>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</si>
  <si>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</si>
  <si>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</si>
  <si>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</si>
  <si>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</si>
  <si>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</si>
  <si>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</si>
  <si>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</si>
  <si>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</si>
  <si>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</si>
  <si>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</si>
  <si>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</si>
  <si>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</si>
  <si>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</si>
  <si>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</si>
  <si>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</si>
  <si>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</si>
  <si>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</si>
  <si>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</si>
  <si>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</si>
  <si>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</si>
  <si>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</si>
  <si>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</si>
  <si>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</si>
  <si>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</si>
  <si>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</si>
  <si>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</si>
  <si>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</si>
  <si>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</si>
  <si>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</si>
  <si>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</si>
  <si>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</si>
  <si>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</si>
  <si>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</si>
  <si>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</si>
  <si>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</si>
  <si>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</si>
  <si>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</si>
  <si>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</si>
  <si>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</si>
  <si>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</si>
  <si>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</si>
  <si>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</si>
  <si>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</si>
  <si>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</si>
  <si>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</si>
  <si>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</si>
  <si>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</si>
  <si>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</si>
  <si>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</si>
  <si>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</si>
  <si>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</si>
  <si>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</si>
  <si>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</si>
  <si>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</si>
  <si>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</si>
  <si>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</si>
  <si>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</si>
  <si>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</si>
  <si>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</si>
  <si>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</si>
  <si>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</si>
  <si>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</si>
  <si>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</si>
  <si>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</si>
  <si>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</si>
  <si>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</si>
  <si>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</si>
  <si>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</si>
  <si>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</si>
  <si>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</si>
  <si>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</si>
  <si>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</si>
  <si>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</si>
  <si>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</si>
  <si>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</si>
  <si>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</si>
  <si>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</si>
  <si>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</si>
  <si>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</si>
  <si>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</si>
  <si>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</si>
  <si>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</si>
  <si>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</si>
  <si>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</si>
  <si>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</si>
  <si>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</si>
  <si>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</si>
  <si>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</si>
  <si>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</si>
  <si>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</si>
  <si>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</si>
  <si>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</si>
  <si>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</si>
  <si>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</si>
  <si>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</si>
  <si>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</si>
  <si>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</si>
  <si>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</si>
  <si>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</si>
  <si>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</si>
  <si>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</si>
  <si>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</si>
  <si>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</si>
  <si>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</si>
  <si>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</si>
  <si>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</si>
  <si>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</si>
  <si>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</si>
  <si>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</si>
  <si>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</si>
  <si>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</si>
  <si>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</si>
  <si>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</si>
  <si>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</si>
  <si>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</si>
  <si>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</si>
  <si>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</si>
  <si>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</si>
  <si>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</si>
  <si>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</si>
  <si>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</si>
  <si>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</si>
  <si>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</si>
  <si>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</si>
  <si>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</si>
  <si>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</si>
  <si>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</si>
  <si>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</si>
  <si>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</si>
  <si>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</si>
  <si>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</si>
  <si>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</si>
  <si>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</si>
  <si>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</si>
  <si>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</si>
  <si>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</si>
  <si>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</si>
  <si>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</si>
  <si>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</si>
  <si>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</si>
  <si>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</si>
  <si>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</si>
  <si>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</si>
  <si>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</si>
  <si>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</si>
  <si>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</si>
  <si>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</si>
  <si>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</si>
  <si>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</si>
  <si>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</si>
  <si>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</si>
  <si>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</si>
  <si>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</si>
  <si>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</si>
  <si>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</si>
  <si>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</si>
  <si>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</si>
  <si>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</si>
  <si>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</si>
  <si>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</si>
  <si>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</si>
  <si>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</si>
  <si>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</si>
  <si>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</si>
  <si>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</si>
  <si>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</si>
  <si>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</si>
  <si>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</si>
  <si>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</si>
  <si>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</si>
  <si>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</si>
  <si>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</si>
  <si>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</si>
  <si>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</si>
  <si>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</si>
  <si>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</si>
  <si>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</si>
  <si>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</si>
  <si>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</si>
  <si>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</si>
  <si>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</si>
  <si>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</si>
  <si>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</si>
  <si>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</si>
  <si>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</si>
  <si>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</si>
  <si>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</si>
  <si>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</si>
  <si>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</si>
  <si>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</si>
  <si>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</si>
  <si>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</si>
  <si>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</si>
  <si>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</si>
  <si>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</si>
  <si>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</si>
  <si>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</si>
  <si>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</si>
  <si>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</si>
  <si>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</si>
  <si>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</si>
  <si>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</si>
  <si>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</si>
  <si>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</si>
  <si>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</si>
  <si>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</si>
  <si>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</si>
  <si>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</si>
  <si>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</si>
  <si>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</si>
  <si>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</si>
  <si>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</si>
  <si>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</si>
  <si>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</si>
  <si>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</si>
  <si>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</si>
  <si>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</si>
  <si>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</si>
  <si>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</si>
  <si>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</si>
  <si>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</si>
  <si>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</si>
  <si>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</si>
  <si>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</si>
  <si>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</si>
  <si>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</si>
  <si>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</si>
  <si>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</si>
  <si>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</si>
  <si>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</si>
  <si>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</si>
  <si>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</si>
  <si>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</si>
  <si>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</si>
  <si>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</si>
  <si>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</si>
  <si>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</si>
  <si>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</si>
  <si>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</si>
  <si>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</si>
  <si>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</si>
  <si>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</si>
  <si>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</si>
  <si>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</si>
  <si>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</si>
  <si>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</si>
  <si>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</si>
  <si>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</si>
  <si>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</si>
  <si>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</si>
  <si>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</si>
  <si>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</si>
  <si>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</si>
  <si>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</si>
  <si>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</si>
  <si>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</si>
  <si>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</si>
  <si>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</si>
  <si>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</si>
  <si>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</si>
  <si>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</si>
  <si>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</si>
  <si>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</si>
  <si>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</si>
  <si>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</si>
  <si>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</si>
  <si>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</si>
  <si>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</si>
  <si>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</si>
  <si>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</si>
  <si>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</si>
  <si>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</si>
  <si>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</si>
  <si>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</si>
  <si>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</si>
  <si>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</si>
  <si>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</si>
  <si>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</si>
  <si>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</si>
  <si>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</si>
  <si>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</si>
  <si>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</si>
  <si>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</si>
  <si>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</si>
  <si>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</si>
  <si>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</si>
  <si>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</si>
  <si>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</si>
  <si>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</si>
  <si>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</si>
  <si>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</si>
  <si>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</si>
  <si>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</si>
  <si>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</si>
  <si>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</si>
  <si>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</si>
  <si>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</si>
  <si>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</si>
  <si>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</si>
  <si>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</si>
  <si>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</si>
  <si>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</si>
  <si>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</si>
  <si>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</si>
  <si>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</si>
  <si>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</si>
  <si>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</si>
  <si>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</si>
  <si>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</si>
  <si>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</si>
  <si>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</si>
  <si>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</si>
  <si>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</si>
  <si>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</si>
  <si>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</si>
  <si>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</si>
  <si>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</si>
  <si>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</si>
  <si>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</si>
  <si>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</si>
  <si>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</si>
  <si>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</si>
  <si>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</si>
  <si>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</si>
  <si>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</si>
  <si>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</si>
  <si>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</si>
  <si>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</si>
  <si>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</si>
  <si>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</si>
  <si>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</si>
  <si>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</si>
  <si>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</si>
  <si>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</si>
  <si>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</si>
  <si>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</si>
  <si>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</si>
  <si>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</si>
  <si>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</si>
  <si>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</si>
  <si>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</si>
  <si>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</si>
  <si>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</si>
  <si>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</si>
  <si>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</si>
  <si>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</si>
  <si>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</si>
  <si>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</si>
  <si>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</si>
  <si>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</si>
  <si>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</si>
  <si>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</si>
  <si>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</si>
  <si>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</si>
  <si>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</si>
  <si>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</si>
  <si>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</si>
  <si>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</si>
  <si>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</si>
  <si>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</si>
  <si>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</si>
  <si>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</si>
  <si>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</si>
  <si>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</si>
  <si>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</si>
  <si>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</si>
  <si>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</si>
  <si>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</si>
  <si>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</si>
  <si>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</si>
  <si>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</si>
  <si>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</si>
  <si>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</si>
  <si>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</si>
  <si>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</si>
  <si>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</si>
  <si>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</si>
  <si>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</si>
  <si>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</si>
  <si>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</si>
  <si>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</si>
  <si>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</si>
  <si>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</si>
  <si>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</si>
  <si>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</si>
  <si>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</si>
  <si>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</si>
  <si>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</si>
  <si>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</si>
  <si>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</si>
  <si>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</si>
  <si>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</si>
  <si>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</si>
  <si>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</si>
  <si>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</si>
  <si>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</si>
  <si>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</si>
  <si>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</si>
  <si>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</si>
  <si>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</si>
  <si>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</si>
  <si>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</si>
  <si>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</si>
  <si>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</si>
  <si>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</si>
  <si>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</si>
  <si>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</si>
  <si>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</si>
  <si>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</si>
  <si>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</si>
  <si>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</si>
  <si>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</si>
  <si>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</si>
  <si>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</si>
  <si>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</si>
  <si>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</si>
  <si>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</si>
  <si>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</si>
  <si>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</si>
  <si>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</si>
  <si>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</si>
  <si>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</si>
  <si>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</si>
  <si>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</si>
  <si>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</si>
  <si>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</si>
  <si>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</si>
  <si>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</si>
  <si>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</si>
  <si>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</si>
  <si>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</si>
  <si>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</si>
  <si>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</si>
  <si>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</si>
  <si>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</si>
  <si>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</si>
  <si>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</si>
  <si>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</si>
  <si>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</si>
  <si>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</si>
  <si>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</si>
  <si>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</si>
  <si>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</si>
  <si>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</si>
  <si>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</si>
  <si>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</si>
  <si>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</si>
  <si>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</si>
  <si>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</si>
  <si>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</si>
  <si>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</si>
  <si>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</si>
  <si>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</si>
  <si>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</si>
  <si>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</si>
  <si>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</si>
  <si>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</si>
  <si>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</si>
  <si>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</si>
  <si>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</si>
  <si>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</si>
  <si>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</si>
  <si>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</si>
  <si>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</si>
  <si>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</si>
  <si>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</si>
  <si>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</si>
  <si>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</si>
  <si>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</si>
  <si>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</si>
  <si>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</si>
  <si>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</si>
  <si>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</si>
  <si>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</si>
  <si>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</si>
  <si>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</si>
  <si>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</si>
  <si>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</si>
  <si>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</si>
  <si>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</si>
  <si>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</si>
  <si>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</si>
  <si>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</si>
  <si>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</si>
  <si>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</si>
  <si>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</si>
  <si>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</si>
  <si>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</si>
  <si>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</si>
  <si>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</si>
  <si>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</si>
  <si>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</si>
  <si>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</si>
  <si>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</si>
  <si>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</si>
  <si>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</si>
  <si>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</si>
  <si>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</si>
  <si>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</si>
  <si>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</si>
  <si>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</si>
  <si>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</si>
  <si>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</si>
  <si>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</si>
  <si>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</si>
  <si>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</si>
  <si>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</si>
  <si>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</si>
  <si>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</si>
  <si>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</si>
  <si>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</si>
  <si>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</si>
  <si>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</si>
  <si>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</si>
  <si>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</si>
  <si>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</si>
  <si>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</si>
  <si>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</si>
  <si>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</si>
  <si>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</si>
  <si>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</si>
  <si>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</si>
  <si>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</si>
  <si>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</si>
  <si>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</si>
  <si>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</si>
  <si>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</si>
  <si>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</si>
  <si>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</si>
  <si>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</si>
  <si>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</si>
  <si>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</si>
  <si>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</si>
  <si>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</si>
  <si>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</si>
  <si>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</si>
  <si>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</si>
  <si>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</si>
  <si>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</si>
  <si>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</si>
  <si>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</si>
  <si>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</si>
  <si>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</si>
  <si>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</si>
  <si>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</si>
  <si>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</si>
  <si>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</si>
  <si>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</si>
  <si>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</si>
  <si>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</si>
  <si>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</si>
  <si>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</si>
  <si>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</si>
  <si>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</si>
  <si>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</si>
  <si>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</si>
  <si>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</si>
  <si>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</si>
  <si>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</si>
  <si>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</si>
  <si>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</si>
  <si>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</si>
  <si>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</si>
  <si>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</si>
  <si>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</si>
  <si>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</si>
  <si>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</si>
  <si>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</si>
  <si>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</si>
  <si>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</si>
  <si>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</si>
  <si>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</si>
  <si>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</si>
  <si>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</si>
  <si>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</si>
  <si>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</si>
  <si>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</si>
  <si>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</si>
  <si>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</si>
  <si>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</si>
  <si>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</si>
  <si>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</si>
  <si>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</si>
  <si>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</si>
  <si>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</si>
  <si>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</si>
  <si>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</si>
  <si>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</si>
  <si>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</si>
  <si>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</si>
  <si>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</si>
  <si>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</si>
  <si>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</si>
  <si>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</si>
  <si>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</si>
  <si>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</si>
  <si>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</si>
  <si>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</si>
  <si>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</si>
  <si>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</si>
  <si>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</si>
  <si>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</si>
  <si>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</si>
  <si>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</si>
  <si>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</si>
  <si>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</si>
  <si>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</si>
  <si>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</si>
  <si>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</si>
  <si>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</si>
  <si>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</si>
  <si>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</si>
  <si>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</si>
  <si>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</si>
  <si>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</si>
  <si>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</si>
  <si>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</si>
  <si>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</si>
  <si>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</si>
  <si>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</si>
  <si>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</si>
  <si>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</si>
  <si>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</si>
  <si>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</si>
  <si>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</si>
  <si>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</si>
  <si>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</si>
  <si>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</si>
  <si>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</si>
  <si>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</si>
  <si>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</si>
  <si>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</si>
  <si>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</si>
  <si>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</si>
  <si>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</si>
  <si>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</si>
  <si>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</si>
  <si>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</si>
  <si>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</si>
  <si>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</si>
  <si>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</si>
  <si>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</si>
  <si>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</si>
  <si>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</si>
  <si>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</si>
  <si>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</si>
  <si>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</si>
  <si>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</si>
  <si>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</si>
  <si>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</si>
  <si>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</si>
  <si>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</si>
  <si>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</si>
  <si>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</si>
  <si>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</si>
  <si>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</si>
  <si>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</si>
  <si>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</si>
  <si>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</si>
  <si>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</si>
  <si>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</si>
  <si>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</si>
  <si>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</si>
  <si>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</si>
  <si>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</si>
  <si>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</si>
  <si>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</si>
  <si>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</si>
  <si>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</si>
  <si>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</si>
  <si>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</si>
  <si>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</si>
  <si>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</si>
  <si>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</si>
  <si>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</si>
  <si>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</si>
  <si>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</si>
  <si>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</si>
  <si>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</si>
  <si>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</si>
  <si>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</si>
  <si>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</si>
  <si>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</si>
  <si>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</si>
  <si>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</si>
  <si>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</si>
  <si>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</si>
  <si>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</si>
  <si>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</si>
  <si>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</si>
  <si>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</si>
  <si>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</si>
  <si>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</si>
  <si>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</si>
  <si>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</si>
  <si>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</si>
  <si>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</si>
  <si>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</si>
  <si>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</si>
  <si>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</si>
  <si>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</si>
  <si>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</si>
  <si>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</si>
  <si>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</si>
  <si>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</si>
  <si>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</si>
  <si>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</si>
  <si>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</si>
  <si>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</si>
  <si>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</si>
  <si>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</si>
  <si>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</si>
  <si>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</si>
  <si>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</si>
  <si>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</si>
  <si>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</si>
  <si>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</si>
  <si>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</si>
  <si>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</si>
  <si>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</si>
  <si>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</si>
  <si>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</si>
  <si>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</si>
  <si>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</si>
  <si>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</si>
  <si>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</si>
  <si>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</si>
  <si>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</si>
  <si>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</si>
  <si>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</si>
  <si>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</si>
  <si>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</si>
  <si>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</si>
  <si>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</si>
  <si>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</si>
  <si>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</si>
  <si>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</si>
  <si>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</si>
  <si>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</si>
  <si>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</si>
  <si>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</si>
  <si>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</si>
  <si>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</si>
  <si>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</si>
  <si>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</si>
  <si>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</si>
  <si>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</si>
  <si>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</si>
  <si>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1st</t>
  </si>
  <si>
    <t>July</t>
  </si>
  <si>
    <t>Irvine</t>
  </si>
  <si>
    <t>Andrew Hanna</t>
  </si>
  <si>
    <t>President, Global Premier Development, Inc.</t>
  </si>
  <si>
    <t>40%/60% Average Income</t>
  </si>
  <si>
    <t>2010 Main Street, Suite 1250</t>
  </si>
  <si>
    <t>CA</t>
  </si>
  <si>
    <t>(949) 777-6931</t>
  </si>
  <si>
    <t>Andrew@GlobalPremierDevelopment.com</t>
  </si>
  <si>
    <t>Administrative GP</t>
  </si>
  <si>
    <t>Managing GP</t>
  </si>
  <si>
    <t>Global Premier Development, INC.</t>
  </si>
  <si>
    <t>Living Hope Housing Foundation</t>
  </si>
  <si>
    <t>6462 N. San Gabriel Blvd</t>
  </si>
  <si>
    <t>San Gabriel</t>
  </si>
  <si>
    <t>Chunmei Song</t>
  </si>
  <si>
    <t>(626) 548-1185</t>
  </si>
  <si>
    <t>usamtm@yahoo.com</t>
  </si>
  <si>
    <t>2010 Main Street, Ste. 1250</t>
  </si>
  <si>
    <t>Gina McAskill</t>
  </si>
  <si>
    <t>(949) 732-0614</t>
  </si>
  <si>
    <t>gina@globalpremierdevelopment.com</t>
  </si>
  <si>
    <t>Vice President of Operations</t>
  </si>
  <si>
    <t>Irvine, CA 92614</t>
  </si>
  <si>
    <t>(949) 222-0942</t>
  </si>
  <si>
    <t>Cohn Reznick</t>
  </si>
  <si>
    <t>400 Capital Mall, Ste 900</t>
  </si>
  <si>
    <t>Sacramento, CA 95814</t>
  </si>
  <si>
    <t>Eric Jones</t>
  </si>
  <si>
    <t>(916) 930-5212</t>
  </si>
  <si>
    <t>(916) 930-5202</t>
  </si>
  <si>
    <t>Eric.Jones@CohnReznick.com</t>
  </si>
  <si>
    <t>Sean Holloway</t>
  </si>
  <si>
    <t>(916) 930-5768</t>
  </si>
  <si>
    <t>(916) 442-9103</t>
  </si>
  <si>
    <t>Sean.Holloway@CohnReznick.com</t>
  </si>
  <si>
    <t>Hunt Capital Partners, LLC</t>
  </si>
  <si>
    <t>15910 Ventura Blvd, Suite 1100</t>
  </si>
  <si>
    <t>Encino, CA 91436</t>
  </si>
  <si>
    <t>Dana Mayo</t>
  </si>
  <si>
    <t>dana.mayo@huntcompanies.com</t>
  </si>
  <si>
    <t>(818) 380-6130</t>
  </si>
  <si>
    <t>Gill Group</t>
  </si>
  <si>
    <t>512 N One Mile Road, P.O.Box 784</t>
  </si>
  <si>
    <t>Dexter, MO 63841</t>
  </si>
  <si>
    <t>Todd Gill</t>
  </si>
  <si>
    <t>(573) 624-6614</t>
  </si>
  <si>
    <t>(573) 624-2942</t>
  </si>
  <si>
    <t>todd.gill@gillgroup.com</t>
  </si>
  <si>
    <t>FPI Management</t>
  </si>
  <si>
    <t>3187 Red Hill Avenue, Ste 220</t>
  </si>
  <si>
    <t>Costa Mesa, CA 92626</t>
  </si>
  <si>
    <t>June C. Valle</t>
  </si>
  <si>
    <t>(714) 641-5110</t>
  </si>
  <si>
    <t>june.valle@fpimgt.com</t>
  </si>
  <si>
    <t>Cirrus Asset Management, Inc.</t>
  </si>
  <si>
    <t>20720 Ventura Blvd, Ste 300</t>
  </si>
  <si>
    <t>Woodland Hills, CA 91364</t>
  </si>
  <si>
    <t>Steve Heimler</t>
  </si>
  <si>
    <t>(818) 222-4840</t>
  </si>
  <si>
    <t>sheimler@cirrusami.com</t>
  </si>
  <si>
    <t>Inner City Infill Site</t>
  </si>
  <si>
    <t>Permanent Loan</t>
  </si>
  <si>
    <t>Land + Demo</t>
  </si>
  <si>
    <t>Hard Cost</t>
  </si>
  <si>
    <t>Hard Cost Retainage (contingency)</t>
  </si>
  <si>
    <t>Soft Cost</t>
  </si>
  <si>
    <t>Financing Cost</t>
  </si>
  <si>
    <t>Construction Loan / Bridge Loan Interest</t>
  </si>
  <si>
    <t>Deferred Developer Fee</t>
  </si>
  <si>
    <t>Developer Fee (Paid)</t>
  </si>
  <si>
    <t>Reserves</t>
  </si>
  <si>
    <t xml:space="preserve">LP Equity </t>
  </si>
  <si>
    <t>GP Equity</t>
  </si>
  <si>
    <t>Seller Note</t>
  </si>
  <si>
    <t>C-PACE</t>
  </si>
  <si>
    <t>Addt'l DFN</t>
  </si>
  <si>
    <t>Construction Loan + Bridge Loan</t>
  </si>
  <si>
    <t>Construction 2 / PERM loan</t>
  </si>
  <si>
    <t>Total Source of Project Fund</t>
  </si>
  <si>
    <t>Mixed including Senior (Low Income Unit only)</t>
  </si>
  <si>
    <t>Base Year Pro Forma</t>
  </si>
  <si>
    <t>Rev units</t>
  </si>
  <si>
    <t>Total units</t>
  </si>
  <si>
    <t>Avg /unit</t>
  </si>
  <si>
    <t>Monthly</t>
  </si>
  <si>
    <t>Annual</t>
  </si>
  <si>
    <t>Project Cost Disbursement / Funding</t>
  </si>
  <si>
    <t>(A)</t>
  </si>
  <si>
    <t>(B)</t>
  </si>
  <si>
    <t>Project Address</t>
  </si>
  <si>
    <t>Street</t>
  </si>
  <si>
    <t>City</t>
  </si>
  <si>
    <t>Gross Potential Rent</t>
  </si>
  <si>
    <t>NOI - UW (RESIDENTIAL)</t>
  </si>
  <si>
    <t>Income</t>
  </si>
  <si>
    <t>Rent (LIHTC)</t>
  </si>
  <si>
    <t>Other Income</t>
  </si>
  <si>
    <t>Debt Svc Limit</t>
  </si>
  <si>
    <t>Rent (Non-LITHC affordable)</t>
  </si>
  <si>
    <t>Total Hard Costs: (A)+(B)</t>
  </si>
  <si>
    <t>Developer Fee Schedule</t>
  </si>
  <si>
    <t>Investor LOI</t>
  </si>
  <si>
    <t>LIHTC Pay-In</t>
  </si>
  <si>
    <t>SLIHTC Pay-In</t>
  </si>
  <si>
    <t>State/Zip</t>
  </si>
  <si>
    <t>Total Gross Income Potential</t>
  </si>
  <si>
    <t>Note Rate</t>
  </si>
  <si>
    <t>Other income</t>
  </si>
  <si>
    <t>Construction Retainage</t>
  </si>
  <si>
    <t>Vacancy Loss</t>
  </si>
  <si>
    <t>US 10 year</t>
  </si>
  <si>
    <t>Laundry</t>
  </si>
  <si>
    <t>Deferred Construction Costs</t>
  </si>
  <si>
    <t>Room type</t>
  </si>
  <si>
    <t>Unit SF</t>
  </si>
  <si>
    <t>#Units</t>
  </si>
  <si>
    <t>RSF</t>
  </si>
  <si>
    <t>Effective Gross Income</t>
  </si>
  <si>
    <t>Spread</t>
  </si>
  <si>
    <t>Vending</t>
  </si>
  <si>
    <t>Paid during Construction</t>
  </si>
  <si>
    <t>Studio - 1 bath</t>
  </si>
  <si>
    <t>Cushion</t>
  </si>
  <si>
    <t>Total Income potential</t>
  </si>
  <si>
    <t>Total</t>
  </si>
  <si>
    <t>↓221(d)(4) fixed</t>
  </si>
  <si>
    <t>2 bed - 1.5 bath</t>
  </si>
  <si>
    <t>Operating &amp; Maintenance</t>
  </si>
  <si>
    <t>Vacancy</t>
  </si>
  <si>
    <t>Payroll</t>
  </si>
  <si>
    <t>P&amp;I Amortization</t>
  </si>
  <si>
    <t>221(d)(4)</t>
  </si>
  <si>
    <t>Event</t>
  </si>
  <si>
    <t>DFN</t>
  </si>
  <si>
    <t>LP Equity Pay-In Schedule</t>
  </si>
  <si>
    <t>(deficit) / Surplus</t>
  </si>
  <si>
    <t>Toal (deficit) / Surplus</t>
  </si>
  <si>
    <t>Perm Loan</t>
  </si>
  <si>
    <t>Perm Loan Outstanding</t>
  </si>
  <si>
    <t>Total Loan amount outstanding</t>
  </si>
  <si>
    <t>Constuction Loan 1 Interest</t>
  </si>
  <si>
    <t>Total Interest Expense</t>
  </si>
  <si>
    <t>Repair &amp; Maintenance</t>
  </si>
  <si>
    <t>LPA/Acquisition/Construction</t>
  </si>
  <si>
    <t>Loan Amount</t>
  </si>
  <si>
    <t>Commercial Space (SF)</t>
  </si>
  <si>
    <t>Annual MIP</t>
  </si>
  <si>
    <t>Telephone</t>
  </si>
  <si>
    <t>Property Management Fees</t>
  </si>
  <si>
    <t>P&amp;I Debt Service</t>
  </si>
  <si>
    <t>Cell phone</t>
  </si>
  <si>
    <t>Estimate</t>
  </si>
  <si>
    <t xml:space="preserve">Federal Minimum Set aside Election: </t>
  </si>
  <si>
    <t>40/60 Average Income</t>
  </si>
  <si>
    <t>O &amp; M Total</t>
  </si>
  <si>
    <t>Call Center</t>
  </si>
  <si>
    <t>Property &amp; GL Insurance</t>
  </si>
  <si>
    <t>Computer, Software &amp; Peripherals</t>
  </si>
  <si>
    <t>** LIHTC Units</t>
  </si>
  <si>
    <t>Internet Service - Common Area</t>
  </si>
  <si>
    <t>Unit Mix</t>
  </si>
  <si>
    <t>Ave Unit SF</t>
  </si>
  <si>
    <t>%AMI</t>
  </si>
  <si>
    <t>Rent Limit</t>
  </si>
  <si>
    <t>UA</t>
  </si>
  <si>
    <t>Adj</t>
  </si>
  <si>
    <t>Proposed Rent PMPU</t>
  </si>
  <si>
    <t>Monthly GPR</t>
  </si>
  <si>
    <t>Annual GPR</t>
  </si>
  <si>
    <t>Commercial - PERM loan</t>
  </si>
  <si>
    <t xml:space="preserve">Cable TV </t>
  </si>
  <si>
    <t>NOI - UW</t>
  </si>
  <si>
    <t>Bank Charge</t>
  </si>
  <si>
    <t>Credit Check</t>
  </si>
  <si>
    <t>50% complete</t>
  </si>
  <si>
    <t>Office Supplies</t>
  </si>
  <si>
    <t>Property Taxes</t>
  </si>
  <si>
    <t>Office Equipment</t>
  </si>
  <si>
    <t>Postage &amp; Delivery</t>
  </si>
  <si>
    <t>Total Property Taxes</t>
  </si>
  <si>
    <t>Dues/Subscriptions/Fees</t>
  </si>
  <si>
    <t>LIHTC Total / Ave</t>
  </si>
  <si>
    <t>Training and Education</t>
  </si>
  <si>
    <t>Social Services</t>
  </si>
  <si>
    <t>Auto/Mileage</t>
  </si>
  <si>
    <t>** NON-REVENUE MAGAGER UNITS</t>
  </si>
  <si>
    <t>Meetings</t>
  </si>
  <si>
    <t>Proposed Rent</t>
  </si>
  <si>
    <t>Monthly Total</t>
  </si>
  <si>
    <t>Reserve for Replacement</t>
  </si>
  <si>
    <t>Travel &amp; Lodging</t>
  </si>
  <si>
    <t>NA</t>
  </si>
  <si>
    <t>Misc. Expenses</t>
  </si>
  <si>
    <t>Certificate of Occupancy</t>
  </si>
  <si>
    <t>Licenses and Permits</t>
  </si>
  <si>
    <t>Other Administrative</t>
  </si>
  <si>
    <t>Total NON-REVENUE MANAGER UNITS</t>
  </si>
  <si>
    <t>Cash Flows prior to Debt Service</t>
  </si>
  <si>
    <t>Advertising</t>
  </si>
  <si>
    <t>** Non-tax credit Affordable Units (eligible to Welfare Exemption)</t>
  </si>
  <si>
    <t>TOTAL PERM LOAN AMOUNT (RESIDENTIAL+COMMERCIAL)</t>
  </si>
  <si>
    <t>Accounting/Audit</t>
  </si>
  <si>
    <t>Commercial</t>
  </si>
  <si>
    <t>LOAN AMT</t>
  </si>
  <si>
    <t>DEBT SERVICE</t>
  </si>
  <si>
    <t>Security Patrol</t>
  </si>
  <si>
    <t>RESIDENTIAL</t>
  </si>
  <si>
    <t>subtotal</t>
  </si>
  <si>
    <t>Total Administrative</t>
  </si>
  <si>
    <t>$/SF</t>
  </si>
  <si>
    <t>COMMERCIAL</t>
  </si>
  <si>
    <t>Property Mgmt fees</t>
  </si>
  <si>
    <t>Gas</t>
  </si>
  <si>
    <t>Total Non-tax credit affordable Units</t>
  </si>
  <si>
    <t>Origination (Financing) Fee</t>
  </si>
  <si>
    <t>Electricity</t>
  </si>
  <si>
    <t>HUD Exam (application) Fee</t>
  </si>
  <si>
    <t>Water/Sewer</t>
  </si>
  <si>
    <t>Grand Total</t>
  </si>
  <si>
    <t>HUD Inspection Fee</t>
  </si>
  <si>
    <t>Total Utilities</t>
  </si>
  <si>
    <t>Construction</t>
  </si>
  <si>
    <t>HUD FHA MIP</t>
  </si>
  <si>
    <t>Resident MGR incl Associate - Salary</t>
  </si>
  <si>
    <t>Total SF of  All residential square footage (excl. Manager s unit)</t>
  </si>
  <si>
    <t>Maintenance Technicians</t>
  </si>
  <si>
    <t>Total SF of Low Income Units (LIHTC)</t>
  </si>
  <si>
    <t>HUD 221(d)(4) Working Capital Reserve</t>
  </si>
  <si>
    <t>Rental office/Maintenance assistants</t>
  </si>
  <si>
    <t>Total Interior Amenity space SF (TCAC 10325(g)(1)/(2))</t>
  </si>
  <si>
    <t>Community Room (Sr.)</t>
  </si>
  <si>
    <t>Gym</t>
  </si>
  <si>
    <t>HUD 221(d)(4) IOD Reserve (12 month DS)</t>
  </si>
  <si>
    <t>Payroll subtotal</t>
  </si>
  <si>
    <t>Paid by Comm Tenant</t>
  </si>
  <si>
    <t>HUD 221(d)(4) Required Reserve</t>
  </si>
  <si>
    <t>Payroll taxes</t>
  </si>
  <si>
    <t>Total commercial/retail space SF</t>
  </si>
  <si>
    <r>
      <t>** Min Common Areas SF</t>
    </r>
    <r>
      <rPr>
        <b/>
        <sz val="12"/>
        <color theme="1"/>
        <rFont val="Calibri"/>
        <family val="2"/>
      </rPr>
      <t>↓</t>
    </r>
  </si>
  <si>
    <t>Payroll service</t>
  </si>
  <si>
    <t>Total common area square footage (including managers unit)</t>
  </si>
  <si>
    <t>Managers unit SF</t>
  </si>
  <si>
    <t>Unit# &lt;=30</t>
  </si>
  <si>
    <t>Unit# &lt;=60</t>
  </si>
  <si>
    <t>Unit# &lt;=100</t>
  </si>
  <si>
    <t>Unit#&gt;100</t>
  </si>
  <si>
    <t>CTCAC Required 3 month Operating Reserve</t>
  </si>
  <si>
    <t>Bonus/Incentives</t>
  </si>
  <si>
    <t>Additional Reserve in excess of CTCAC 3Mo OpReserve</t>
  </si>
  <si>
    <t>401K</t>
  </si>
  <si>
    <t>Employment APT</t>
  </si>
  <si>
    <t>Counted to Salary</t>
  </si>
  <si>
    <t>Total parking structure SF (excl. car-port and "tuck under" parking)</t>
  </si>
  <si>
    <t>Parking spaces#</t>
  </si>
  <si>
    <t>L</t>
  </si>
  <si>
    <t>SF/space</t>
  </si>
  <si>
    <t>2x (parking SF multiple)</t>
  </si>
  <si>
    <t>Payroll taxes &amp; Benefits</t>
  </si>
  <si>
    <t>Payroll/Payroll Taxes Total</t>
  </si>
  <si>
    <t>(1)+(2)</t>
  </si>
  <si>
    <t>Group insurance</t>
  </si>
  <si>
    <t>CTCAC Rent Limit (Effective 4/1/2020)</t>
  </si>
  <si>
    <t>Project Development Schedule</t>
  </si>
  <si>
    <t>Worker's comp</t>
  </si>
  <si>
    <t>Total Insurances</t>
  </si>
  <si>
    <t>0BR</t>
  </si>
  <si>
    <t>EVENT / Project Name</t>
  </si>
  <si>
    <t>Total Payroll, payroll taxes, benefits and Insurance</t>
  </si>
  <si>
    <t>(1)+(2)+(3)</t>
  </si>
  <si>
    <t>Site Acquisition</t>
  </si>
  <si>
    <t>Partnership Closing</t>
  </si>
  <si>
    <t>Painting</t>
  </si>
  <si>
    <t>Reglaze Tub / Countertop</t>
  </si>
  <si>
    <t>Carpet/Floor</t>
  </si>
  <si>
    <t>*** Construction Period</t>
  </si>
  <si>
    <t>Contract Cleaning-Common Area</t>
  </si>
  <si>
    <t>Placed in Service</t>
  </si>
  <si>
    <t>Windows covering</t>
  </si>
  <si>
    <t>Stabilization</t>
  </si>
  <si>
    <t>Windows Cleaning</t>
  </si>
  <si>
    <t>** Months to 95% Occupancy</t>
  </si>
  <si>
    <t>Plumbing</t>
  </si>
  <si>
    <t>IRS Form 8609</t>
  </si>
  <si>
    <t>HVAC repair</t>
  </si>
  <si>
    <t>** 20% LTV</t>
  </si>
  <si>
    <t>Electrical</t>
  </si>
  <si>
    <t>Gym/Pool/Fountain Repair and Service</t>
  </si>
  <si>
    <t>General repairs</t>
  </si>
  <si>
    <t>Utility Allowance Schedule</t>
  </si>
  <si>
    <t>Maintenance Supplies</t>
  </si>
  <si>
    <t>Authority/Agency:</t>
  </si>
  <si>
    <t>Uniforms</t>
  </si>
  <si>
    <t>Housekeeping/Porter supplies</t>
  </si>
  <si>
    <t>Effective Date</t>
  </si>
  <si>
    <t>Semiannual</t>
  </si>
  <si>
    <t>Appliance/Equip Repairs</t>
  </si>
  <si>
    <t>Equipment rental</t>
  </si>
  <si>
    <t>Heating</t>
  </si>
  <si>
    <t>Elec</t>
  </si>
  <si>
    <t>Fire Alarm/Extinguisher Access Control</t>
  </si>
  <si>
    <t>Total Repairs</t>
  </si>
  <si>
    <t>Cooking</t>
  </si>
  <si>
    <t>Trash Removal</t>
  </si>
  <si>
    <t>(C)</t>
  </si>
  <si>
    <t>Exterminating</t>
  </si>
  <si>
    <t>(D)</t>
  </si>
  <si>
    <t>Water Heating</t>
  </si>
  <si>
    <t>Janitorial/Gardener/Landscaping</t>
  </si>
  <si>
    <t>Other Landscape/Tree trimming</t>
  </si>
  <si>
    <t>Gas Charge</t>
  </si>
  <si>
    <t>****</t>
  </si>
  <si>
    <t>Grounds &amp; Landscaping</t>
  </si>
  <si>
    <t>(E)</t>
  </si>
  <si>
    <t>Elevator</t>
  </si>
  <si>
    <t>(F)</t>
  </si>
  <si>
    <t>Other: Basic Elec</t>
  </si>
  <si>
    <t>Total Maintenance</t>
  </si>
  <si>
    <t>(A)+(B)+(C)+(D)+(E)+(F)</t>
  </si>
  <si>
    <t>Air Conditioning</t>
  </si>
  <si>
    <t>Utility Allowance</t>
  </si>
  <si>
    <t>TCAC 15yr Pro Forma : Total Operating Expenses</t>
  </si>
  <si>
    <t>Welfare Exemption</t>
  </si>
  <si>
    <t>Direct Assessment</t>
  </si>
  <si>
    <t>Per Property tax bill</t>
  </si>
  <si>
    <t>SF</t>
  </si>
  <si>
    <t>Units</t>
  </si>
  <si>
    <t>IMPACT fees</t>
  </si>
  <si>
    <t>School Developer Fee</t>
  </si>
  <si>
    <t>Residentia;</t>
  </si>
  <si>
    <t>Service Amenities (Social Service)</t>
  </si>
  <si>
    <t>Building Permit Fees (New Construction)</t>
  </si>
  <si>
    <t>10327(g)(7)(A)</t>
  </si>
  <si>
    <t>Replacement Reserve Deposit</t>
  </si>
  <si>
    <t>per year</t>
  </si>
  <si>
    <t>Building Permits</t>
  </si>
  <si>
    <t>Valuation</t>
  </si>
  <si>
    <t>Base 100,000 Val</t>
  </si>
  <si>
    <t>/$1000</t>
  </si>
  <si>
    <t>Other Permits</t>
  </si>
  <si>
    <t>Resi Hard C+Cont'cy</t>
  </si>
  <si>
    <t>PSF</t>
  </si>
  <si>
    <t>Community Room (non-sr) /Computer Lab</t>
  </si>
  <si>
    <t>Residential Total SF</t>
  </si>
  <si>
    <t>Denisity bonuses per AB 1763</t>
  </si>
  <si>
    <t>15910 Ventura Blvd, Ste. 1100</t>
  </si>
  <si>
    <t>HUD 221(d)(4) New Construction</t>
  </si>
  <si>
    <t>Equity pay-ins during construction</t>
  </si>
  <si>
    <t>HUD 221(d)(4) Financing requires</t>
  </si>
  <si>
    <t xml:space="preserve">Borrower Legal </t>
  </si>
  <si>
    <r>
      <t>Equity Pay-in %</t>
    </r>
    <r>
      <rPr>
        <sz val="10"/>
        <rFont val="Century Gothic"/>
        <family val="2"/>
      </rPr>
      <t>▼</t>
    </r>
  </si>
  <si>
    <t>Total Equity</t>
  </si>
  <si>
    <t>Equity</t>
  </si>
  <si>
    <t>PACE Financing</t>
  </si>
  <si>
    <t>PACE financing</t>
  </si>
  <si>
    <t>PACE Financing Costs</t>
  </si>
  <si>
    <t>PACE Financing (Property Assessed Clean Energy Financing)</t>
  </si>
  <si>
    <t/>
  </si>
  <si>
    <t>PACE Special Assessment Rate</t>
  </si>
  <si>
    <t>PACE Special Assessment (Annual)</t>
  </si>
  <si>
    <t>CSCDA PACE Program (Special Assessment)</t>
  </si>
  <si>
    <t>CF before DSVC</t>
  </si>
  <si>
    <t>Est. encumbered value (at 4.5% CAP RATE)</t>
  </si>
  <si>
    <t>Hunt Capital Partners, LLC / Equity Pay-Ins</t>
  </si>
  <si>
    <r>
      <t>Y/N</t>
    </r>
    <r>
      <rPr>
        <sz val="10"/>
        <rFont val="Calibri"/>
        <family val="2"/>
      </rPr>
      <t>↓</t>
    </r>
  </si>
  <si>
    <t>N</t>
  </si>
  <si>
    <t>If &lt;75M, 3% of Loan, or 12 mo DS</t>
  </si>
  <si>
    <t>Multiple Residential / Commercial</t>
  </si>
  <si>
    <t>Rental Office (Sr and Non-Sr, if applicable)</t>
  </si>
  <si>
    <t>Lobby (Sr and non-Sr, if applicable)</t>
  </si>
  <si>
    <t>Per Parking Space Cost</t>
  </si>
  <si>
    <t>Parking Space Cost Est.</t>
  </si>
  <si>
    <t>Harbor Heights, LP (to be formed with the tentative name if available)</t>
  </si>
  <si>
    <t>Harbor Heights</t>
  </si>
  <si>
    <t>City of Santa Ana</t>
  </si>
  <si>
    <t>Ms. Shelly Landry-Bayle</t>
  </si>
  <si>
    <t>Housing Manager</t>
  </si>
  <si>
    <t>P.O. BOX 1988, M-37</t>
  </si>
  <si>
    <t>Santa Ana</t>
  </si>
  <si>
    <t>(714) 667-220</t>
  </si>
  <si>
    <t>(714) 667-2225</t>
  </si>
  <si>
    <t>slandry-bayle@santa-ana.org</t>
  </si>
  <si>
    <t>125 &amp; 205 S. Harbor Blvd</t>
  </si>
  <si>
    <t>144-31-14, 144-311-15</t>
  </si>
  <si>
    <t>Jeffrey V. Riggs, Architect, INC.</t>
  </si>
  <si>
    <t>25 Pecos</t>
  </si>
  <si>
    <t>Rancho Santa Margarita, CA 92688</t>
  </si>
  <si>
    <t>Jeffrey Riggs</t>
  </si>
  <si>
    <t>(949) 233-1553</t>
  </si>
  <si>
    <t>jeffriggs09@gmail.com</t>
  </si>
  <si>
    <t>Saeid Hariri / John Rezvani</t>
  </si>
  <si>
    <t>205 South Harbor Plaza, LLC</t>
  </si>
  <si>
    <t>Three 7 story building including podium parking garage on Grade</t>
  </si>
  <si>
    <t>125 &amp; 205 S. Harbor Blvd.</t>
  </si>
  <si>
    <t>CA 92704</t>
  </si>
  <si>
    <t>The Santa Ana Housing Authority</t>
  </si>
  <si>
    <t>TCAC Min. OpEx OC Family w Elev - 2019)</t>
  </si>
  <si>
    <t>TCAC Min. OpEx OC Sr w Elev - 2019</t>
  </si>
  <si>
    <t>TCAC Min. OpEx OC non-targeted w Elev - 2019</t>
  </si>
  <si>
    <t>SP2: Harbor Mixed Use Transit Corridor Plan</t>
  </si>
  <si>
    <t>Min 15ft Ground FL, Min 9ft Upper FL</t>
  </si>
  <si>
    <t>Corrider - 1.5/Unit, 0.25/Guest or As reuired by CUP</t>
  </si>
  <si>
    <t>Unified School</t>
  </si>
  <si>
    <t>District</t>
  </si>
  <si>
    <t>Global Premier Development, Inc.</t>
  </si>
  <si>
    <t>2010 Main Street, Ste 1250</t>
  </si>
  <si>
    <t>Deferred Developer Fee Note</t>
  </si>
  <si>
    <t>Bus Stop</t>
  </si>
  <si>
    <t xml:space="preserve">Harbor-1st, </t>
  </si>
  <si>
    <t xml:space="preserve">Santa Ana, CA 92704 </t>
  </si>
  <si>
    <t>https://www.octa.net/</t>
  </si>
  <si>
    <t>714.560.OCTA (6282)</t>
  </si>
  <si>
    <t xml:space="preserve">Santa Anita Park  </t>
  </si>
  <si>
    <t>http://santa-ana.org/</t>
  </si>
  <si>
    <t xml:space="preserve">300 S Figueroa St, </t>
  </si>
  <si>
    <t>Santa Ana, CA 92703</t>
  </si>
  <si>
    <t>(714) 647-6552</t>
  </si>
  <si>
    <t xml:space="preserve">Newhope Library  </t>
  </si>
  <si>
    <t>http://www.ci.santa-ana.ca.us/library/about/newhope.asp</t>
  </si>
  <si>
    <t xml:space="preserve">122 N Newhope St, </t>
  </si>
  <si>
    <t>(714) 647-6992</t>
  </si>
  <si>
    <t xml:space="preserve">Miyoco Medical Center </t>
  </si>
  <si>
    <t>https://firstandbristolmedical.com/</t>
  </si>
  <si>
    <t xml:space="preserve">15975 Harbor Blvd, </t>
  </si>
  <si>
    <t>Fountain Valley, CA 92703</t>
  </si>
  <si>
    <t>(714) 546-6575</t>
  </si>
  <si>
    <t xml:space="preserve">Walmart Supercenter </t>
  </si>
  <si>
    <t>https://www.walmart.com/store/2517/santa-ana-ca/details</t>
  </si>
  <si>
    <t>714-775-1804</t>
  </si>
  <si>
    <t xml:space="preserve">3600 W Mcfadden Ave, </t>
  </si>
  <si>
    <t>Santa Ana, CA 92704</t>
  </si>
  <si>
    <t xml:space="preserve">Walmart Pharmacy  </t>
  </si>
  <si>
    <t xml:space="preserve">3600 W McFadden Ave, </t>
  </si>
  <si>
    <t>(714) 775-7501</t>
  </si>
  <si>
    <t xml:space="preserve">Gas Charge </t>
  </si>
  <si>
    <t xml:space="preserve">Housing Authority of the City of Santa Ana </t>
  </si>
  <si>
    <t>Jennifer Bergener</t>
  </si>
  <si>
    <t>Enrique</t>
  </si>
  <si>
    <t>Brian Sternberg</t>
  </si>
  <si>
    <t>Heip Truong</t>
  </si>
  <si>
    <t>Lupita</t>
  </si>
  <si>
    <t>Pha Nguyen</t>
  </si>
  <si>
    <t>500 East Broadway, Ste 410</t>
  </si>
  <si>
    <t>Vancouver, WA 98660</t>
  </si>
  <si>
    <t>Tom Peters</t>
  </si>
  <si>
    <t>(458) 292-4200</t>
  </si>
  <si>
    <t>Housing &amp; Healthcare Finance, LLC</t>
  </si>
  <si>
    <t>See Tab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</si>
</sst>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0&quot; SF&quot;"/>
    <numFmt numFmtId="181" formatCode="0\ &quot; year(s)&quot;"/>
    <numFmt numFmtId="182" formatCode="0.00&quot; PU&quot;"/>
    <numFmt numFmtId="183" formatCode="&quot;$&quot;#,##0.00&quot;PSF&quot;"/>
    <numFmt numFmtId="184" formatCode="&quot;$&quot;#,##0.00&quot; /SF&quot;"/>
    <numFmt numFmtId="185" formatCode="#,##0&quot;SF&quot;"/>
    <numFmt numFmtId="186" formatCode="#,##0&quot; months&quot;"/>
    <numFmt numFmtId="187" formatCode="0.00000%"/>
    <numFmt numFmtId="188" formatCode="0.000000%"/>
    <numFmt numFmtId="189" formatCode="0.00%&quot;prj cost&quot;"/>
  </numFmts>
  <fonts count="193">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
      <b/>
      <sz val="14"/>
      <color theme="1"/>
      <name val="Calibri"/>
      <family val="2"/>
      <scheme val="minor"/>
    </font>
    <font>
      <b/>
      <sz val="14"/>
      <color rgb="FF0070C0"/>
      <name val="Calibri"/>
      <family val="2"/>
      <scheme val="minor"/>
    </font>
    <font>
      <b/>
      <sz val="16"/>
      <name val="Calibri"/>
      <family val="2"/>
      <scheme val="minor"/>
    </font>
    <font>
      <b/>
      <sz val="12"/>
      <color theme="1"/>
      <name val="Calibri"/>
      <family val="2"/>
      <scheme val="minor"/>
    </font>
    <font>
      <b/>
      <sz val="24"/>
      <color theme="1"/>
      <name val="Calibri"/>
      <family val="2"/>
      <scheme val="minor"/>
    </font>
    <font>
      <sz val="9"/>
      <color theme="1"/>
      <name val="Calibri"/>
      <family val="2"/>
      <scheme val="minor"/>
    </font>
    <font>
      <b/>
      <sz val="10"/>
      <color rgb="FFFFFF00"/>
      <name val="Calibri"/>
      <family val="2"/>
      <scheme val="minor"/>
    </font>
    <font>
      <sz val="10"/>
      <color rgb="FFFFFF00"/>
      <name val="Calibri"/>
      <family val="2"/>
      <scheme val="minor"/>
    </font>
    <font>
      <b/>
      <sz val="10"/>
      <color theme="2" tint="-0.749992370372631"/>
      <name val="Calibri"/>
      <family val="2"/>
      <scheme val="minor"/>
    </font>
    <font>
      <b/>
      <sz val="10"/>
      <name val="Calibri"/>
      <family val="2"/>
      <scheme val="minor"/>
    </font>
    <font>
      <sz val="10"/>
      <name val="Calibri"/>
      <family val="2"/>
      <scheme val="minor"/>
    </font>
    <font>
      <sz val="12"/>
      <color theme="1"/>
      <name val="Calibri"/>
      <family val="2"/>
      <scheme val="minor"/>
    </font>
    <font>
      <sz val="12"/>
      <color rgb="FF0070C0"/>
      <name val="Calibri"/>
      <family val="2"/>
      <scheme val="minor"/>
    </font>
    <font>
      <b/>
      <u/>
      <sz val="11"/>
      <color theme="1"/>
      <name val="Calibri"/>
      <family val="2"/>
      <scheme val="minor"/>
    </font>
    <font>
      <b/>
      <u/>
      <sz val="10"/>
      <name val="Calibri"/>
      <family val="2"/>
      <scheme val="minor"/>
    </font>
    <font>
      <sz val="11"/>
      <color rgb="FF7030A0"/>
      <name val="Calibri"/>
      <family val="2"/>
      <scheme val="minor"/>
    </font>
    <font>
      <sz val="11"/>
      <name val="Calibri"/>
      <family val="2"/>
      <scheme val="minor"/>
    </font>
    <font>
      <sz val="11"/>
      <color theme="4"/>
      <name val="Calibri"/>
      <family val="2"/>
      <scheme val="minor"/>
    </font>
    <font>
      <sz val="10"/>
      <color theme="1"/>
      <name val="Calibri"/>
      <family val="2"/>
      <scheme val="minor"/>
    </font>
    <font>
      <u/>
      <sz val="11"/>
      <color theme="1"/>
      <name val="Calibri"/>
      <family val="2"/>
      <scheme val="minor"/>
    </font>
    <font>
      <sz val="11"/>
      <color rgb="FF0070C0"/>
      <name val="Calibri"/>
      <family val="2"/>
      <scheme val="minor"/>
    </font>
    <font>
      <i/>
      <sz val="10"/>
      <color theme="4" tint="-0.249977111117893"/>
      <name val="Calibri"/>
      <family val="2"/>
      <scheme val="minor"/>
    </font>
    <font>
      <b/>
      <u/>
      <sz val="11"/>
      <color rgb="FF000000"/>
      <name val="Calibri"/>
      <family val="2"/>
      <scheme val="minor"/>
    </font>
    <font>
      <sz val="11"/>
      <color theme="1"/>
      <name val="Calibri"/>
      <family val="2"/>
    </font>
    <font>
      <sz val="10"/>
      <color theme="0"/>
      <name val="Calibri"/>
      <family val="2"/>
      <scheme val="minor"/>
    </font>
    <font>
      <sz val="9"/>
      <color theme="0"/>
      <name val="Calibri"/>
      <family val="2"/>
      <scheme val="minor"/>
    </font>
    <font>
      <u/>
      <sz val="9"/>
      <color rgb="FF7030A0"/>
      <name val="Calibri"/>
      <family val="2"/>
      <scheme val="minor"/>
    </font>
    <font>
      <b/>
      <u/>
      <sz val="10"/>
      <color theme="1"/>
      <name val="Calibri"/>
      <family val="2"/>
      <scheme val="minor"/>
    </font>
    <font>
      <b/>
      <i/>
      <sz val="11"/>
      <color theme="2" tint="-0.749992370372631"/>
      <name val="Calibri"/>
      <family val="2"/>
      <scheme val="minor"/>
    </font>
    <font>
      <b/>
      <sz val="11"/>
      <color theme="8" tint="-0.249977111117893"/>
      <name val="Calibri"/>
      <family val="2"/>
      <scheme val="minor"/>
    </font>
    <font>
      <b/>
      <sz val="11"/>
      <color rgb="FF0070C0"/>
      <name val="Calibri"/>
      <family val="2"/>
      <scheme val="minor"/>
    </font>
    <font>
      <i/>
      <sz val="11"/>
      <color theme="5"/>
      <name val="Calibri"/>
      <family val="2"/>
      <scheme val="minor"/>
    </font>
    <font>
      <b/>
      <sz val="16"/>
      <color theme="1"/>
      <name val="Calibri"/>
      <family val="2"/>
      <scheme val="minor"/>
    </font>
    <font>
      <sz val="11"/>
      <color theme="2" tint="-0.749992370372631"/>
      <name val="Calibri"/>
      <family val="2"/>
      <scheme val="minor"/>
    </font>
    <font>
      <b/>
      <u/>
      <sz val="10"/>
      <color theme="4"/>
      <name val="Calibri"/>
      <family val="2"/>
      <scheme val="minor"/>
    </font>
    <font>
      <b/>
      <i/>
      <u/>
      <sz val="10"/>
      <color theme="4"/>
      <name val="Calibri"/>
      <family val="2"/>
      <scheme val="minor"/>
    </font>
    <font>
      <sz val="10"/>
      <color theme="4"/>
      <name val="Calibri"/>
      <family val="2"/>
      <scheme val="minor"/>
    </font>
    <font>
      <i/>
      <sz val="10"/>
      <color theme="4"/>
      <name val="Calibri"/>
      <family val="2"/>
      <scheme val="minor"/>
    </font>
    <font>
      <b/>
      <sz val="12"/>
      <color theme="1"/>
      <name val="Calibri"/>
      <family val="2"/>
    </font>
    <font>
      <i/>
      <sz val="11"/>
      <color theme="1"/>
      <name val="Calibri"/>
      <family val="2"/>
      <scheme val="minor"/>
    </font>
    <font>
      <b/>
      <i/>
      <u/>
      <sz val="10"/>
      <color theme="4" tint="-0.249977111117893"/>
      <name val="Calibri"/>
      <family val="2"/>
      <scheme val="minor"/>
    </font>
    <font>
      <i/>
      <sz val="10"/>
      <color theme="3" tint="0.39997558519241921"/>
      <name val="Calibri"/>
      <family val="2"/>
      <scheme val="minor"/>
    </font>
    <font>
      <b/>
      <u/>
      <sz val="11"/>
      <name val="Calibri"/>
      <family val="2"/>
      <scheme val="minor"/>
    </font>
    <font>
      <u/>
      <sz val="11"/>
      <name val="Calibri"/>
      <family val="2"/>
      <scheme val="minor"/>
    </font>
    <font>
      <b/>
      <sz val="11"/>
      <name val="Calibri"/>
      <family val="2"/>
      <scheme val="minor"/>
    </font>
    <font>
      <sz val="14"/>
      <name val="Calibri"/>
      <family val="2"/>
      <scheme val="minor"/>
    </font>
    <font>
      <b/>
      <u/>
      <sz val="10"/>
      <color theme="4" tint="-0.249977111117893"/>
      <name val="Calibri"/>
      <family val="2"/>
      <scheme val="minor"/>
    </font>
    <font>
      <b/>
      <i/>
      <sz val="10"/>
      <color theme="4"/>
      <name val="Calibri"/>
      <family val="2"/>
      <scheme val="minor"/>
    </font>
    <font>
      <b/>
      <i/>
      <sz val="10"/>
      <color rgb="FFC00000"/>
      <name val="Calibri"/>
      <family val="2"/>
      <scheme val="minor"/>
    </font>
    <font>
      <u/>
      <sz val="10"/>
      <name val="Calibri"/>
      <family val="2"/>
      <scheme val="minor"/>
    </font>
    <font>
      <b/>
      <u/>
      <sz val="12"/>
      <name val="Arial"/>
      <family val="2"/>
    </font>
    <font>
      <b/>
      <i/>
      <sz val="8"/>
      <color theme="2" tint="-0.749992370372631"/>
      <name val="Calibri"/>
      <family val="2"/>
      <scheme val="minor"/>
    </font>
    <font>
      <b/>
      <sz val="8"/>
      <color theme="1"/>
      <name val="Calibri"/>
      <family val="2"/>
      <scheme val="minor"/>
    </font>
    <font>
      <sz val="8"/>
      <color theme="1"/>
      <name val="Calibri"/>
      <family val="2"/>
      <scheme val="minor"/>
    </font>
    <font>
      <b/>
      <u/>
      <sz val="11"/>
      <color rgb="FFFF0000"/>
      <name val="Calibri"/>
      <family val="2"/>
      <scheme val="minor"/>
    </font>
    <font>
      <sz val="10"/>
      <color rgb="FFFF0000"/>
      <name val="Arial"/>
      <family val="2"/>
    </font>
    <font>
      <b/>
      <sz val="11"/>
      <color rgb="FFFF0000"/>
      <name val="Calibri"/>
      <family val="2"/>
      <scheme val="minor"/>
    </font>
    <font>
      <b/>
      <sz val="12"/>
      <color rgb="FFFF0000"/>
      <name val="Calibri"/>
      <family val="2"/>
      <scheme val="minor"/>
    </font>
    <font>
      <sz val="12"/>
      <color rgb="FFFF0000"/>
      <name val="Calibri"/>
      <family val="2"/>
      <scheme val="minor"/>
    </font>
    <font>
      <i/>
      <u/>
      <sz val="12"/>
      <color theme="1"/>
      <name val="Calibri"/>
      <family val="2"/>
      <scheme val="minor"/>
    </font>
    <font>
      <sz val="10"/>
      <name val="Century Gothic"/>
      <family val="2"/>
    </font>
    <font>
      <b/>
      <sz val="10"/>
      <color theme="5"/>
      <name val="Arial"/>
      <family val="2"/>
    </font>
  </fonts>
  <fills count="70">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206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CCCFF"/>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5" tint="0.79998168889431442"/>
        <bgColor indexed="64"/>
      </patternFill>
    </fill>
  </fills>
  <borders count="12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style="hair">
        <color auto="1"/>
      </left>
      <right style="hair">
        <color auto="1"/>
      </right>
      <top style="hair">
        <color auto="1"/>
      </top>
      <bottom/>
      <diagonal/>
    </border>
    <border>
      <left style="hair">
        <color indexed="64"/>
      </left>
      <right style="thin">
        <color indexed="64"/>
      </right>
      <top style="hair">
        <color indexed="64"/>
      </top>
      <bottom/>
      <diagonal/>
    </border>
    <border>
      <left style="thin">
        <color indexed="64"/>
      </left>
      <right style="hair">
        <color auto="1"/>
      </right>
      <top style="thin">
        <color indexed="64"/>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thin">
        <color indexed="64"/>
      </left>
      <right style="hair">
        <color auto="1"/>
      </right>
      <top style="hair">
        <color auto="1"/>
      </top>
      <bottom style="hair">
        <color auto="1"/>
      </bottom>
      <diagonal/>
    </border>
    <border>
      <left style="medium">
        <color indexed="64"/>
      </left>
      <right/>
      <top style="hair">
        <color indexed="64"/>
      </top>
      <bottom style="hair">
        <color indexed="64"/>
      </bottom>
      <diagonal/>
    </border>
    <border>
      <left style="hair">
        <color auto="1"/>
      </left>
      <right style="medium">
        <color indexed="64"/>
      </right>
      <top style="hair">
        <color auto="1"/>
      </top>
      <bottom style="hair">
        <color auto="1"/>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thin">
        <color indexed="64"/>
      </left>
      <right style="hair">
        <color auto="1"/>
      </right>
      <top style="hair">
        <color auto="1"/>
      </top>
      <bottom style="thin">
        <color indexed="64"/>
      </bottom>
      <diagonal/>
    </border>
    <border>
      <left style="thin">
        <color indexed="64"/>
      </left>
      <right style="hair">
        <color auto="1"/>
      </right>
      <top style="hair">
        <color auto="1"/>
      </top>
      <bottom/>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medium">
        <color indexed="64"/>
      </top>
      <bottom/>
      <diagonal/>
    </border>
    <border>
      <left style="hair">
        <color auto="1"/>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s>
  <cellStyleXfs count="575">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43" fontId="130" fillId="0" borderId="0" applyFont="0" applyFill="0" applyBorder="0" applyAlignment="0" applyProtection="0"/>
  </cellStyleXfs>
  <cellXfs count="32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0" fillId="0" borderId="0" xfId="0"/>
    <xf numFmtId="0" fontId="0" fillId="0" borderId="5" xfId="0" applyBorder="1" applyProtection="1">
      <protection locked="0"/>
    </xf>
    <xf numFmtId="0" fontId="131" fillId="0" borderId="0" xfId="0" applyFont="1"/>
    <xf numFmtId="0" fontId="132" fillId="0" borderId="0" xfId="0" applyFont="1"/>
    <xf numFmtId="0" fontId="133" fillId="0" borderId="0" xfId="0" applyFont="1" applyProtection="1">
      <protection locked="0"/>
    </xf>
    <xf numFmtId="0" fontId="134" fillId="53" borderId="0" xfId="0" applyFont="1" applyFill="1" applyProtection="1">
      <protection locked="0"/>
    </xf>
    <xf numFmtId="0" fontId="133" fillId="53" borderId="0" xfId="0" applyFont="1" applyFill="1" applyProtection="1">
      <protection locked="0"/>
    </xf>
    <xf numFmtId="0" fontId="135" fillId="0" borderId="0" xfId="0" applyFont="1" applyAlignment="1">
      <alignment vertical="top"/>
    </xf>
    <xf numFmtId="14" fontId="136" fillId="0" borderId="0" xfId="0" applyNumberFormat="1" applyFont="1" applyAlignment="1">
      <alignment wrapText="1"/>
    </xf>
    <xf numFmtId="0" fontId="137" fillId="54" borderId="30" xfId="0" applyFont="1" applyFill="1" applyBorder="1" applyAlignment="1">
      <alignment horizontal="center" vertical="center" wrapText="1"/>
    </xf>
    <xf numFmtId="0" fontId="137" fillId="54" borderId="25" xfId="0" applyFont="1" applyFill="1" applyBorder="1" applyAlignment="1">
      <alignment horizontal="center" vertical="center" wrapText="1"/>
    </xf>
    <xf numFmtId="0" fontId="138" fillId="54" borderId="25" xfId="0" applyFont="1" applyFill="1" applyBorder="1" applyAlignment="1">
      <alignment horizontal="center" vertical="center" wrapText="1"/>
    </xf>
    <xf numFmtId="0" fontId="137" fillId="54" borderId="73" xfId="0" applyFont="1" applyFill="1" applyBorder="1" applyAlignment="1">
      <alignment horizontal="center" vertical="center" wrapText="1"/>
    </xf>
    <xf numFmtId="0" fontId="137" fillId="54" borderId="31" xfId="0" applyFont="1" applyFill="1" applyBorder="1" applyAlignment="1">
      <alignment vertical="center" wrapText="1"/>
    </xf>
    <xf numFmtId="0" fontId="137" fillId="0" borderId="0" xfId="0" applyFont="1" applyAlignment="1">
      <alignment vertical="center" wrapText="1"/>
    </xf>
    <xf numFmtId="0" fontId="0" fillId="0" borderId="0" xfId="0" applyAlignment="1">
      <alignment horizontal="center" wrapText="1"/>
    </xf>
    <xf numFmtId="0" fontId="90" fillId="48" borderId="0" xfId="0" applyFont="1" applyFill="1" applyAlignment="1">
      <alignment wrapText="1"/>
    </xf>
    <xf numFmtId="0" fontId="139" fillId="55" borderId="25" xfId="0" applyFont="1" applyFill="1" applyBorder="1" applyAlignment="1">
      <alignment horizontal="center" vertical="center" wrapText="1"/>
    </xf>
    <xf numFmtId="0" fontId="137" fillId="54" borderId="26" xfId="0" applyFont="1" applyFill="1" applyBorder="1" applyAlignment="1">
      <alignment vertical="center" wrapText="1"/>
    </xf>
    <xf numFmtId="0" fontId="106" fillId="0" borderId="0" xfId="0" applyFont="1" applyProtection="1">
      <protection locked="0"/>
    </xf>
    <xf numFmtId="0" fontId="0" fillId="53" borderId="0" xfId="0" applyFill="1"/>
    <xf numFmtId="0" fontId="0" fillId="53" borderId="0" xfId="0" applyFill="1" applyProtection="1">
      <protection locked="0"/>
    </xf>
    <xf numFmtId="0" fontId="2" fillId="53" borderId="0" xfId="0" applyFont="1" applyFill="1" applyProtection="1">
      <protection locked="0"/>
    </xf>
    <xf numFmtId="0" fontId="140" fillId="0" borderId="3" xfId="0" applyFont="1" applyBorder="1" applyAlignment="1" applyProtection="1">
      <alignment horizontal="center"/>
      <protection locked="0"/>
    </xf>
    <xf numFmtId="0" fontId="140" fillId="0" borderId="4" xfId="0" applyFont="1" applyBorder="1" applyAlignment="1" applyProtection="1">
      <alignment horizontal="center"/>
      <protection locked="0"/>
    </xf>
    <xf numFmtId="0" fontId="140" fillId="0" borderId="8" xfId="0" applyFont="1" applyBorder="1" applyAlignment="1" applyProtection="1">
      <alignment horizontal="center"/>
      <protection locked="0"/>
    </xf>
    <xf numFmtId="0" fontId="106" fillId="0" borderId="0" xfId="0" applyFont="1"/>
    <xf numFmtId="0" fontId="137" fillId="54" borderId="22" xfId="0" applyFont="1" applyFill="1" applyBorder="1" applyAlignment="1">
      <alignment horizontal="center" vertical="center" wrapText="1"/>
    </xf>
    <xf numFmtId="0" fontId="137" fillId="54" borderId="15" xfId="0" applyFont="1" applyFill="1" applyBorder="1" applyAlignment="1">
      <alignment horizontal="center" vertical="center" wrapText="1"/>
    </xf>
    <xf numFmtId="0" fontId="138" fillId="54" borderId="15" xfId="0" quotePrefix="1" applyFont="1" applyFill="1" applyBorder="1" applyAlignment="1">
      <alignment horizontal="center" vertical="center" wrapText="1"/>
    </xf>
    <xf numFmtId="0" fontId="137" fillId="54" borderId="9" xfId="0" applyFont="1" applyFill="1" applyBorder="1" applyAlignment="1">
      <alignment horizontal="center" vertical="center" wrapText="1"/>
    </xf>
    <xf numFmtId="0" fontId="137" fillId="54" borderId="74" xfId="0" applyFont="1" applyFill="1" applyBorder="1" applyAlignment="1">
      <alignment vertical="center" wrapText="1"/>
    </xf>
    <xf numFmtId="0" fontId="139" fillId="55" borderId="15" xfId="0" applyFont="1" applyFill="1" applyBorder="1" applyAlignment="1">
      <alignment horizontal="center" vertical="center" wrapText="1"/>
    </xf>
    <xf numFmtId="5" fontId="141" fillId="0" borderId="15" xfId="0" applyNumberFormat="1" applyFont="1" applyBorder="1" applyAlignment="1">
      <alignment horizontal="right" vertical="center" wrapText="1"/>
    </xf>
    <xf numFmtId="0" fontId="137" fillId="55" borderId="15" xfId="0" applyFont="1" applyFill="1" applyBorder="1" applyAlignment="1">
      <alignment horizontal="center" vertical="center" wrapText="1"/>
    </xf>
    <xf numFmtId="0" fontId="137" fillId="54" borderId="27" xfId="0" applyFont="1" applyFill="1" applyBorder="1" applyAlignment="1">
      <alignment vertical="center" wrapText="1"/>
    </xf>
    <xf numFmtId="0" fontId="142" fillId="0" borderId="0" xfId="0" applyFont="1"/>
    <xf numFmtId="0" fontId="143" fillId="0" borderId="0" xfId="0" applyFont="1"/>
    <xf numFmtId="6" fontId="144" fillId="0" borderId="0" xfId="0" applyNumberFormat="1" applyFont="1" applyAlignment="1" applyProtection="1">
      <alignment horizontal="right"/>
      <protection locked="0"/>
    </xf>
    <xf numFmtId="0" fontId="145" fillId="0" borderId="0" xfId="0" applyFont="1" applyProtection="1">
      <protection locked="0"/>
    </xf>
    <xf numFmtId="6" fontId="0" fillId="0" borderId="23" xfId="0" applyNumberFormat="1" applyBorder="1" applyAlignment="1">
      <alignment wrapText="1"/>
    </xf>
    <xf numFmtId="6" fontId="0" fillId="0" borderId="21" xfId="0" applyNumberFormat="1" applyBorder="1" applyAlignment="1">
      <alignment wrapText="1"/>
    </xf>
    <xf numFmtId="6" fontId="146" fillId="0" borderId="21" xfId="0" applyNumberFormat="1" applyFont="1" applyBorder="1" applyAlignment="1">
      <alignment wrapText="1"/>
    </xf>
    <xf numFmtId="179" fontId="0" fillId="0" borderId="75" xfId="0" applyNumberFormat="1" applyBorder="1" applyAlignment="1">
      <alignment wrapText="1"/>
    </xf>
    <xf numFmtId="6" fontId="0" fillId="56" borderId="76" xfId="0" applyNumberFormat="1" applyFill="1" applyBorder="1" applyAlignment="1">
      <alignment wrapText="1"/>
    </xf>
    <xf numFmtId="6" fontId="0" fillId="0" borderId="0" xfId="0" applyNumberFormat="1" applyAlignment="1">
      <alignment wrapText="1"/>
    </xf>
    <xf numFmtId="6" fontId="0" fillId="56" borderId="23" xfId="0" applyNumberFormat="1" applyFill="1" applyBorder="1" applyAlignment="1">
      <alignment wrapText="1"/>
    </xf>
    <xf numFmtId="6" fontId="0" fillId="56" borderId="21" xfId="0" applyNumberFormat="1" applyFill="1" applyBorder="1" applyAlignment="1">
      <alignment wrapText="1"/>
    </xf>
    <xf numFmtId="6" fontId="146" fillId="55" borderId="21" xfId="0" applyNumberFormat="1" applyFont="1" applyFill="1" applyBorder="1" applyAlignment="1">
      <alignment wrapText="1"/>
    </xf>
    <xf numFmtId="6" fontId="147" fillId="56" borderId="21" xfId="0" applyNumberFormat="1" applyFont="1" applyFill="1" applyBorder="1" applyAlignment="1">
      <alignment horizontal="right" wrapText="1"/>
    </xf>
    <xf numFmtId="6" fontId="0" fillId="57" borderId="21" xfId="0" applyNumberFormat="1" applyFill="1" applyBorder="1" applyAlignment="1">
      <alignment wrapText="1"/>
    </xf>
    <xf numFmtId="6" fontId="0" fillId="56" borderId="28" xfId="0" applyNumberFormat="1" applyFill="1" applyBorder="1" applyAlignment="1">
      <alignment wrapText="1"/>
    </xf>
    <xf numFmtId="5" fontId="0" fillId="0" borderId="0" xfId="0" applyNumberFormat="1" applyAlignment="1">
      <alignment wrapText="1"/>
    </xf>
    <xf numFmtId="171" fontId="0" fillId="0" borderId="0" xfId="573" applyNumberFormat="1" applyFont="1" applyAlignment="1"/>
    <xf numFmtId="6" fontId="0" fillId="0" borderId="0" xfId="0" applyNumberFormat="1" applyProtection="1">
      <protection locked="0"/>
    </xf>
    <xf numFmtId="0" fontId="106" fillId="53" borderId="3" xfId="0" applyFont="1" applyFill="1" applyBorder="1" applyProtection="1">
      <protection locked="0"/>
    </xf>
    <xf numFmtId="6" fontId="145" fillId="0" borderId="0" xfId="0" applyNumberFormat="1" applyFont="1" applyProtection="1">
      <protection locked="0"/>
    </xf>
    <xf numFmtId="0" fontId="140" fillId="0" borderId="0" xfId="0" applyFont="1" applyProtection="1">
      <protection locked="0"/>
    </xf>
    <xf numFmtId="179" fontId="0" fillId="0" borderId="0" xfId="0" applyNumberFormat="1" applyAlignment="1">
      <alignment wrapText="1"/>
    </xf>
    <xf numFmtId="6" fontId="148" fillId="0" borderId="0" xfId="0" applyNumberFormat="1" applyFont="1" applyAlignment="1">
      <alignment wrapText="1"/>
    </xf>
    <xf numFmtId="6" fontId="0" fillId="0" borderId="5" xfId="0" applyNumberFormat="1" applyBorder="1" applyProtection="1">
      <protection locked="0"/>
    </xf>
    <xf numFmtId="0" fontId="106" fillId="53" borderId="0" xfId="0" applyFont="1" applyFill="1" applyProtection="1">
      <protection locked="0"/>
    </xf>
    <xf numFmtId="0" fontId="149" fillId="0" borderId="0" xfId="0" applyFont="1" applyAlignment="1">
      <alignment horizontal="left" wrapText="1"/>
    </xf>
    <xf numFmtId="0" fontId="0" fillId="0" borderId="12" xfId="0" applyBorder="1" applyAlignment="1">
      <alignment wrapText="1"/>
    </xf>
    <xf numFmtId="14" fontId="150" fillId="58" borderId="12" xfId="0" applyNumberFormat="1" applyFont="1" applyFill="1" applyBorder="1" applyAlignment="1">
      <alignment horizontal="center" wrapText="1"/>
    </xf>
    <xf numFmtId="0" fontId="150" fillId="59" borderId="12" xfId="0" applyFont="1" applyFill="1" applyBorder="1" applyAlignment="1">
      <alignment horizontal="center" wrapText="1"/>
    </xf>
    <xf numFmtId="165" fontId="0" fillId="0" borderId="12" xfId="573" applyNumberFormat="1" applyFont="1" applyBorder="1" applyAlignment="1">
      <alignment horizontal="right" wrapText="1" indent="1"/>
    </xf>
    <xf numFmtId="0" fontId="90" fillId="48" borderId="3" xfId="0" applyFont="1" applyFill="1" applyBorder="1" applyAlignment="1">
      <alignment wrapText="1"/>
    </xf>
    <xf numFmtId="6" fontId="0" fillId="0" borderId="8" xfId="0" applyNumberFormat="1" applyBorder="1" applyAlignment="1">
      <alignment wrapText="1"/>
    </xf>
    <xf numFmtId="6" fontId="0" fillId="55" borderId="12" xfId="0" applyNumberFormat="1" applyFill="1" applyBorder="1" applyAlignment="1">
      <alignment wrapText="1"/>
    </xf>
    <xf numFmtId="0" fontId="148" fillId="0" borderId="61" xfId="0" applyFont="1" applyBorder="1" applyAlignment="1">
      <alignment wrapText="1"/>
    </xf>
    <xf numFmtId="6" fontId="106" fillId="0" borderId="0" xfId="0" applyNumberFormat="1" applyFont="1" applyProtection="1">
      <protection locked="0"/>
    </xf>
    <xf numFmtId="0" fontId="106" fillId="53" borderId="1" xfId="0" applyFont="1" applyFill="1" applyBorder="1" applyProtection="1">
      <protection locked="0"/>
    </xf>
    <xf numFmtId="0" fontId="0" fillId="53" borderId="2" xfId="0" applyFill="1" applyBorder="1" applyProtection="1">
      <protection locked="0"/>
    </xf>
    <xf numFmtId="0" fontId="0" fillId="53" borderId="2" xfId="0" applyFill="1" applyBorder="1"/>
    <xf numFmtId="171" fontId="106" fillId="53" borderId="11" xfId="0" applyNumberFormat="1" applyFont="1" applyFill="1" applyBorder="1" applyProtection="1">
      <protection locked="0"/>
    </xf>
    <xf numFmtId="10" fontId="0" fillId="0" borderId="0" xfId="573" applyNumberFormat="1" applyFont="1" applyProtection="1">
      <protection locked="0"/>
    </xf>
    <xf numFmtId="10" fontId="136" fillId="0" borderId="0" xfId="573" applyNumberFormat="1" applyFont="1" applyFill="1" applyAlignment="1">
      <alignment wrapText="1"/>
    </xf>
    <xf numFmtId="9" fontId="0" fillId="59" borderId="12" xfId="573" applyFont="1" applyFill="1" applyBorder="1" applyAlignment="1">
      <alignment wrapText="1"/>
    </xf>
    <xf numFmtId="6" fontId="0" fillId="58" borderId="12" xfId="0" applyNumberFormat="1" applyFill="1" applyBorder="1" applyAlignment="1">
      <alignment wrapText="1"/>
    </xf>
    <xf numFmtId="6" fontId="0" fillId="59" borderId="12" xfId="0" applyNumberFormat="1" applyFill="1" applyBorder="1" applyAlignment="1">
      <alignment wrapText="1"/>
    </xf>
    <xf numFmtId="165" fontId="0" fillId="0" borderId="12" xfId="573" applyNumberFormat="1" applyFont="1" applyFill="1" applyBorder="1" applyAlignment="1">
      <alignment horizontal="right" wrapText="1" indent="1"/>
    </xf>
    <xf numFmtId="6" fontId="0" fillId="0" borderId="12" xfId="0" applyNumberFormat="1" applyBorder="1" applyAlignment="1">
      <alignment wrapText="1"/>
    </xf>
    <xf numFmtId="9" fontId="148" fillId="0" borderId="61" xfId="0" applyNumberFormat="1" applyFont="1" applyBorder="1" applyAlignment="1">
      <alignment wrapText="1"/>
    </xf>
    <xf numFmtId="6" fontId="148" fillId="0" borderId="61" xfId="0" applyNumberFormat="1" applyFont="1" applyBorder="1" applyAlignment="1">
      <alignment wrapText="1"/>
    </xf>
    <xf numFmtId="0" fontId="151" fillId="0" borderId="0" xfId="0" applyFont="1"/>
    <xf numFmtId="0" fontId="106" fillId="0" borderId="5" xfId="0" applyFont="1" applyBorder="1" applyProtection="1">
      <protection locked="0"/>
    </xf>
    <xf numFmtId="9" fontId="106" fillId="0" borderId="5" xfId="0" applyNumberFormat="1" applyFont="1" applyBorder="1" applyProtection="1">
      <protection locked="0"/>
    </xf>
    <xf numFmtId="6" fontId="106" fillId="0" borderId="5" xfId="0" applyNumberFormat="1" applyFont="1" applyBorder="1" applyProtection="1">
      <protection locked="0"/>
    </xf>
    <xf numFmtId="0" fontId="106" fillId="53" borderId="7" xfId="0" applyFont="1" applyFill="1" applyBorder="1" applyProtection="1">
      <protection locked="0"/>
    </xf>
    <xf numFmtId="176" fontId="0" fillId="53" borderId="0" xfId="0" applyNumberFormat="1" applyFill="1" applyProtection="1">
      <protection locked="0"/>
    </xf>
    <xf numFmtId="6" fontId="0" fillId="53" borderId="13" xfId="0" applyNumberFormat="1" applyFill="1" applyBorder="1" applyProtection="1">
      <protection locked="0"/>
    </xf>
    <xf numFmtId="0" fontId="152" fillId="0" borderId="0" xfId="0" applyFont="1" applyProtection="1">
      <protection locked="0"/>
    </xf>
    <xf numFmtId="6" fontId="152" fillId="0" borderId="0" xfId="0" applyNumberFormat="1" applyFont="1" applyProtection="1">
      <protection locked="0"/>
    </xf>
    <xf numFmtId="0" fontId="153" fillId="60" borderId="12" xfId="0" applyFont="1" applyFill="1" applyBorder="1" applyAlignment="1">
      <alignment horizontal="center" vertical="center" wrapText="1"/>
    </xf>
    <xf numFmtId="0" fontId="106" fillId="60" borderId="12" xfId="0" applyFont="1" applyFill="1" applyBorder="1" applyAlignment="1">
      <alignment horizontal="center"/>
    </xf>
    <xf numFmtId="180" fontId="144" fillId="60" borderId="12" xfId="0" applyNumberFormat="1" applyFont="1" applyFill="1" applyBorder="1" applyAlignment="1">
      <alignment horizontal="center"/>
    </xf>
    <xf numFmtId="0" fontId="106" fillId="61" borderId="4" xfId="0" applyFont="1" applyFill="1" applyBorder="1" applyProtection="1">
      <protection locked="0"/>
    </xf>
    <xf numFmtId="6" fontId="106" fillId="61" borderId="4" xfId="0" applyNumberFormat="1" applyFont="1" applyFill="1" applyBorder="1" applyProtection="1">
      <protection locked="0"/>
    </xf>
    <xf numFmtId="165" fontId="0" fillId="0" borderId="12" xfId="573" applyNumberFormat="1" applyFont="1" applyBorder="1" applyAlignment="1">
      <alignment horizontal="center" wrapText="1"/>
    </xf>
    <xf numFmtId="14" fontId="0" fillId="0" borderId="0" xfId="0" applyNumberFormat="1" applyAlignment="1">
      <alignment wrapText="1"/>
    </xf>
    <xf numFmtId="0" fontId="0" fillId="60" borderId="77" xfId="0" applyFill="1" applyBorder="1" applyAlignment="1">
      <alignment horizontal="right" vertical="center" wrapText="1"/>
    </xf>
    <xf numFmtId="180" fontId="107" fillId="60" borderId="77" xfId="0" applyNumberFormat="1" applyFont="1" applyFill="1" applyBorder="1" applyAlignment="1">
      <alignment horizontal="right" vertical="center" wrapText="1"/>
    </xf>
    <xf numFmtId="0" fontId="0" fillId="60" borderId="77" xfId="0" applyFill="1" applyBorder="1" applyAlignment="1">
      <alignment horizontal="center"/>
    </xf>
    <xf numFmtId="180" fontId="0" fillId="60" borderId="77" xfId="0" applyNumberFormat="1" applyFill="1" applyBorder="1"/>
    <xf numFmtId="0" fontId="106" fillId="53" borderId="9" xfId="0" applyFont="1" applyFill="1" applyBorder="1" applyProtection="1">
      <protection locked="0"/>
    </xf>
    <xf numFmtId="0" fontId="0" fillId="53" borderId="5" xfId="0" applyFill="1" applyBorder="1" applyProtection="1">
      <protection locked="0"/>
    </xf>
    <xf numFmtId="176" fontId="0" fillId="53" borderId="5" xfId="0" applyNumberFormat="1" applyFill="1" applyBorder="1" applyProtection="1">
      <protection locked="0"/>
    </xf>
    <xf numFmtId="6" fontId="0" fillId="53" borderId="10" xfId="0" applyNumberFormat="1" applyFill="1" applyBorder="1" applyProtection="1">
      <protection locked="0"/>
    </xf>
    <xf numFmtId="0" fontId="145" fillId="62" borderId="0" xfId="0" applyFont="1" applyFill="1" applyProtection="1">
      <protection locked="0"/>
    </xf>
    <xf numFmtId="6" fontId="145" fillId="62" borderId="0" xfId="0" applyNumberFormat="1" applyFont="1" applyFill="1" applyProtection="1">
      <protection locked="0"/>
    </xf>
    <xf numFmtId="0" fontId="0" fillId="0" borderId="0" xfId="0" applyAlignment="1">
      <alignment horizontal="right" wrapText="1"/>
    </xf>
    <xf numFmtId="14" fontId="149" fillId="0" borderId="0" xfId="0" applyNumberFormat="1" applyFont="1" applyAlignment="1">
      <alignment horizontal="left" wrapText="1"/>
    </xf>
    <xf numFmtId="6" fontId="0" fillId="0" borderId="0" xfId="0" applyNumberFormat="1"/>
    <xf numFmtId="0" fontId="154" fillId="0" borderId="0" xfId="0" applyFont="1" applyAlignment="1">
      <alignment horizontal="left"/>
    </xf>
    <xf numFmtId="0" fontId="0" fillId="60" borderId="78" xfId="0" applyFill="1" applyBorder="1" applyAlignment="1">
      <alignment horizontal="right" vertical="center" wrapText="1"/>
    </xf>
    <xf numFmtId="180" fontId="107" fillId="60" borderId="78" xfId="0" applyNumberFormat="1" applyFont="1" applyFill="1" applyBorder="1" applyAlignment="1">
      <alignment horizontal="right" vertical="center" wrapText="1"/>
    </xf>
    <xf numFmtId="0" fontId="0" fillId="60" borderId="78" xfId="0" applyFill="1" applyBorder="1" applyAlignment="1">
      <alignment horizontal="center"/>
    </xf>
    <xf numFmtId="180" fontId="0" fillId="60" borderId="78" xfId="0" applyNumberFormat="1" applyFill="1" applyBorder="1"/>
    <xf numFmtId="9" fontId="145" fillId="62" borderId="0" xfId="0" applyNumberFormat="1" applyFont="1" applyFill="1" applyProtection="1">
      <protection locked="0"/>
    </xf>
    <xf numFmtId="9" fontId="0" fillId="0" borderId="0" xfId="573" applyFont="1" applyFill="1" applyAlignment="1">
      <alignment wrapText="1"/>
    </xf>
    <xf numFmtId="171" fontId="0" fillId="0" borderId="0" xfId="0" applyNumberFormat="1" applyAlignment="1">
      <alignment wrapText="1"/>
    </xf>
    <xf numFmtId="10" fontId="0" fillId="0" borderId="0" xfId="0" applyNumberFormat="1" applyAlignment="1">
      <alignment wrapText="1"/>
    </xf>
    <xf numFmtId="0" fontId="0" fillId="60" borderId="79" xfId="0" applyFill="1" applyBorder="1" applyAlignment="1">
      <alignment horizontal="right" vertical="center" wrapText="1"/>
    </xf>
    <xf numFmtId="180" fontId="107" fillId="60" borderId="79" xfId="0" applyNumberFormat="1" applyFont="1" applyFill="1" applyBorder="1" applyAlignment="1">
      <alignment horizontal="right" vertical="center" wrapText="1"/>
    </xf>
    <xf numFmtId="0" fontId="0" fillId="60" borderId="79" xfId="0" applyFill="1" applyBorder="1" applyAlignment="1">
      <alignment horizontal="center"/>
    </xf>
    <xf numFmtId="180" fontId="0" fillId="60" borderId="79" xfId="0" applyNumberFormat="1" applyFill="1" applyBorder="1"/>
    <xf numFmtId="181" fontId="0" fillId="53" borderId="0" xfId="0" applyNumberFormat="1" applyFill="1" applyProtection="1">
      <protection locked="0"/>
    </xf>
    <xf numFmtId="6" fontId="0" fillId="53" borderId="0" xfId="0" applyNumberFormat="1" applyFill="1" applyAlignment="1" applyProtection="1">
      <alignment horizontal="right"/>
      <protection locked="0"/>
    </xf>
    <xf numFmtId="0" fontId="145" fillId="0" borderId="3" xfId="0" applyFont="1" applyBorder="1" applyProtection="1">
      <protection locked="0"/>
    </xf>
    <xf numFmtId="0" fontId="145" fillId="0" borderId="4" xfId="0" applyFont="1" applyBorder="1" applyProtection="1">
      <protection locked="0"/>
    </xf>
    <xf numFmtId="6" fontId="145" fillId="0" borderId="4" xfId="0" applyNumberFormat="1" applyFont="1" applyBorder="1" applyProtection="1">
      <protection locked="0"/>
    </xf>
    <xf numFmtId="6" fontId="145" fillId="0" borderId="8" xfId="0" applyNumberFormat="1" applyFont="1" applyBorder="1" applyProtection="1">
      <protection locked="0"/>
    </xf>
    <xf numFmtId="0" fontId="149" fillId="0" borderId="0" xfId="0" applyFont="1" applyAlignment="1">
      <alignment horizontal="center" vertical="center" wrapText="1"/>
    </xf>
    <xf numFmtId="0" fontId="155" fillId="54" borderId="65" xfId="0" applyFont="1" applyFill="1" applyBorder="1" applyAlignment="1">
      <alignment horizontal="center" vertical="center" wrapText="1"/>
    </xf>
    <xf numFmtId="0" fontId="155" fillId="54" borderId="66" xfId="0" applyFont="1" applyFill="1" applyBorder="1" applyAlignment="1">
      <alignment horizontal="center" vertical="center" wrapText="1"/>
    </xf>
    <xf numFmtId="14" fontId="156" fillId="54" borderId="67" xfId="0" applyNumberFormat="1" applyFont="1" applyFill="1" applyBorder="1" applyAlignment="1">
      <alignment horizontal="center" vertical="center" wrapText="1"/>
    </xf>
    <xf numFmtId="14" fontId="156" fillId="54" borderId="66" xfId="0" applyNumberFormat="1" applyFont="1" applyFill="1" applyBorder="1" applyAlignment="1">
      <alignment horizontal="center" vertical="center" wrapText="1"/>
    </xf>
    <xf numFmtId="14" fontId="156" fillId="54" borderId="31" xfId="0" applyNumberFormat="1" applyFont="1" applyFill="1" applyBorder="1" applyAlignment="1">
      <alignment horizontal="center" vertical="center" wrapText="1"/>
    </xf>
    <xf numFmtId="14" fontId="157" fillId="0" borderId="0" xfId="0" applyNumberFormat="1" applyFont="1" applyAlignment="1">
      <alignment horizontal="center" vertical="center" wrapText="1"/>
    </xf>
    <xf numFmtId="14" fontId="156" fillId="0" borderId="0" xfId="0" applyNumberFormat="1" applyFont="1" applyAlignment="1">
      <alignment horizontal="center" vertical="center" wrapText="1"/>
    </xf>
    <xf numFmtId="0" fontId="158" fillId="0" borderId="31" xfId="0" applyFont="1" applyBorder="1" applyAlignment="1">
      <alignment horizontal="center" vertical="center" wrapText="1"/>
    </xf>
    <xf numFmtId="0" fontId="155" fillId="48" borderId="0" xfId="0" applyFont="1" applyFill="1" applyAlignment="1">
      <alignment horizontal="center" vertical="center" wrapText="1"/>
    </xf>
    <xf numFmtId="14" fontId="156" fillId="54" borderId="65" xfId="0" applyNumberFormat="1" applyFont="1" applyFill="1" applyBorder="1" applyAlignment="1">
      <alignment horizontal="center" vertical="center" wrapText="1"/>
    </xf>
    <xf numFmtId="0" fontId="106" fillId="60" borderId="12" xfId="0" applyFont="1" applyFill="1" applyBorder="1" applyAlignment="1">
      <alignment horizontal="right" vertical="center" wrapText="1"/>
    </xf>
    <xf numFmtId="0" fontId="0" fillId="60" borderId="12" xfId="0" applyFill="1" applyBorder="1" applyAlignment="1">
      <alignment vertical="center" wrapText="1"/>
    </xf>
    <xf numFmtId="0" fontId="0" fillId="60" borderId="12" xfId="0" applyFill="1" applyBorder="1" applyAlignment="1">
      <alignment horizontal="center"/>
    </xf>
    <xf numFmtId="180" fontId="0" fillId="60" borderId="12" xfId="0" applyNumberFormat="1" applyFill="1" applyBorder="1"/>
    <xf numFmtId="0" fontId="0" fillId="0" borderId="68" xfId="0" applyBorder="1"/>
    <xf numFmtId="14" fontId="136" fillId="0" borderId="69" xfId="0" applyNumberFormat="1" applyFont="1" applyBorder="1"/>
    <xf numFmtId="14" fontId="136" fillId="0" borderId="0" xfId="0" applyNumberFormat="1" applyFont="1"/>
    <xf numFmtId="5" fontId="0" fillId="0" borderId="0" xfId="0" applyNumberFormat="1"/>
    <xf numFmtId="5" fontId="147" fillId="0" borderId="0" xfId="0" applyNumberFormat="1" applyFont="1"/>
    <xf numFmtId="5" fontId="146" fillId="0" borderId="0" xfId="0" applyNumberFormat="1" applyFont="1"/>
    <xf numFmtId="6" fontId="0" fillId="0" borderId="80" xfId="0" applyNumberFormat="1" applyBorder="1"/>
    <xf numFmtId="165" fontId="0" fillId="0" borderId="80" xfId="0" applyNumberFormat="1" applyBorder="1" applyAlignment="1">
      <alignment horizontal="center"/>
    </xf>
    <xf numFmtId="0" fontId="90" fillId="0" borderId="0" xfId="0" applyFont="1"/>
    <xf numFmtId="6" fontId="0" fillId="0" borderId="68" xfId="0" applyNumberFormat="1" applyBorder="1"/>
    <xf numFmtId="6" fontId="0" fillId="55" borderId="0" xfId="0" applyNumberFormat="1" applyFill="1"/>
    <xf numFmtId="6" fontId="146" fillId="0" borderId="0" xfId="0" applyNumberFormat="1" applyFont="1"/>
    <xf numFmtId="6" fontId="0" fillId="55" borderId="69" xfId="0" applyNumberFormat="1" applyFill="1" applyBorder="1"/>
    <xf numFmtId="5" fontId="0" fillId="0" borderId="80" xfId="0" applyNumberFormat="1" applyBorder="1"/>
    <xf numFmtId="6" fontId="159" fillId="62" borderId="12" xfId="0" applyNumberFormat="1" applyFont="1" applyFill="1" applyBorder="1"/>
    <xf numFmtId="6" fontId="159" fillId="63" borderId="12" xfId="0" applyNumberFormat="1" applyFont="1" applyFill="1" applyBorder="1"/>
    <xf numFmtId="6" fontId="159" fillId="55" borderId="12" xfId="0" applyNumberFormat="1" applyFont="1" applyFill="1" applyBorder="1"/>
    <xf numFmtId="6" fontId="160" fillId="0" borderId="12" xfId="0" applyNumberFormat="1" applyFont="1" applyBorder="1"/>
    <xf numFmtId="6" fontId="0" fillId="0" borderId="12" xfId="0" applyNumberFormat="1" applyBorder="1"/>
    <xf numFmtId="0" fontId="106" fillId="53" borderId="2" xfId="0" applyFont="1" applyFill="1" applyBorder="1" applyProtection="1">
      <protection locked="0"/>
    </xf>
    <xf numFmtId="6" fontId="106" fillId="53" borderId="11" xfId="0" applyNumberFormat="1" applyFont="1" applyFill="1" applyBorder="1" applyProtection="1">
      <protection locked="0"/>
    </xf>
    <xf numFmtId="0" fontId="106" fillId="64" borderId="3" xfId="0" applyFont="1" applyFill="1" applyBorder="1" applyAlignment="1">
      <alignment horizontal="right" vertical="center" wrapText="1"/>
    </xf>
    <xf numFmtId="0" fontId="161" fillId="64" borderId="4" xfId="0" applyFont="1" applyFill="1" applyBorder="1"/>
    <xf numFmtId="0" fontId="106" fillId="64" borderId="4" xfId="0" applyFont="1" applyFill="1" applyBorder="1"/>
    <xf numFmtId="180" fontId="106" fillId="64" borderId="8" xfId="0" applyNumberFormat="1" applyFont="1" applyFill="1" applyBorder="1"/>
    <xf numFmtId="10" fontId="106" fillId="53" borderId="2" xfId="573" applyNumberFormat="1" applyFont="1" applyFill="1" applyBorder="1" applyProtection="1">
      <protection locked="0"/>
    </xf>
    <xf numFmtId="182" fontId="152" fillId="0" borderId="0" xfId="0" applyNumberFormat="1" applyFont="1" applyProtection="1">
      <protection locked="0"/>
    </xf>
    <xf numFmtId="0" fontId="106" fillId="53" borderId="5" xfId="0" applyFont="1" applyFill="1" applyBorder="1" applyProtection="1">
      <protection locked="0"/>
    </xf>
    <xf numFmtId="6" fontId="106" fillId="53" borderId="10" xfId="0" applyNumberFormat="1" applyFont="1" applyFill="1" applyBorder="1" applyProtection="1">
      <protection locked="0"/>
    </xf>
    <xf numFmtId="0" fontId="106" fillId="0" borderId="4" xfId="0" applyFont="1" applyBorder="1"/>
    <xf numFmtId="0" fontId="151" fillId="0" borderId="4" xfId="0" applyFont="1" applyBorder="1"/>
    <xf numFmtId="0" fontId="106" fillId="0" borderId="8" xfId="0" applyFont="1" applyBorder="1"/>
    <xf numFmtId="0" fontId="106" fillId="0" borderId="0" xfId="0" applyFont="1" applyAlignment="1">
      <alignment horizontal="left"/>
    </xf>
    <xf numFmtId="0" fontId="153" fillId="60" borderId="3" xfId="0" applyFont="1" applyFill="1" applyBorder="1" applyAlignment="1">
      <alignment horizontal="right" vertical="center" wrapText="1"/>
    </xf>
    <xf numFmtId="0" fontId="153" fillId="60" borderId="4" xfId="0" applyFont="1" applyFill="1" applyBorder="1" applyAlignment="1">
      <alignment horizontal="right" vertical="center" wrapText="1"/>
    </xf>
    <xf numFmtId="0" fontId="153" fillId="60" borderId="4" xfId="0" applyFont="1" applyFill="1" applyBorder="1" applyAlignment="1">
      <alignment horizontal="center" vertical="center" wrapText="1"/>
    </xf>
    <xf numFmtId="164" fontId="144" fillId="0" borderId="81" xfId="0" applyNumberFormat="1" applyFont="1" applyBorder="1" applyAlignment="1">
      <alignment horizontal="center" vertical="center" wrapText="1"/>
    </xf>
    <xf numFmtId="164" fontId="144" fillId="0" borderId="82" xfId="0" applyNumberFormat="1" applyFont="1" applyBorder="1" applyAlignment="1">
      <alignment horizontal="center" vertical="center" wrapText="1"/>
    </xf>
    <xf numFmtId="0" fontId="162" fillId="0" borderId="0" xfId="0" applyFont="1" applyAlignment="1">
      <alignment horizontal="left"/>
    </xf>
    <xf numFmtId="0" fontId="162" fillId="0" borderId="0" xfId="0" applyFont="1"/>
    <xf numFmtId="6" fontId="162" fillId="0" borderId="0" xfId="0" applyNumberFormat="1" applyFont="1"/>
    <xf numFmtId="0" fontId="163" fillId="62" borderId="0" xfId="0" applyFont="1" applyFill="1" applyProtection="1">
      <protection locked="0"/>
    </xf>
    <xf numFmtId="0" fontId="133" fillId="62" borderId="0" xfId="0" applyFont="1" applyFill="1" applyProtection="1">
      <protection locked="0"/>
    </xf>
    <xf numFmtId="0" fontId="0" fillId="60" borderId="83" xfId="0" applyFill="1" applyBorder="1" applyAlignment="1">
      <alignment horizontal="right" vertical="center" wrapText="1"/>
    </xf>
    <xf numFmtId="180" fontId="0" fillId="60" borderId="53" xfId="0" applyNumberFormat="1" applyFill="1" applyBorder="1" applyAlignment="1">
      <alignment horizontal="right" vertical="center" wrapText="1"/>
    </xf>
    <xf numFmtId="9" fontId="0" fillId="60" borderId="53" xfId="573" applyFont="1" applyFill="1" applyBorder="1" applyAlignment="1">
      <alignment horizontal="right" vertical="center" wrapText="1"/>
    </xf>
    <xf numFmtId="0" fontId="0" fillId="0" borderId="84" xfId="0" applyBorder="1" applyAlignment="1">
      <alignment horizontal="center" vertical="center" wrapText="1"/>
    </xf>
    <xf numFmtId="180" fontId="0" fillId="0" borderId="84" xfId="0" applyNumberFormat="1" applyBorder="1" applyAlignment="1">
      <alignment horizontal="right" vertical="center" wrapText="1"/>
    </xf>
    <xf numFmtId="6" fontId="0" fillId="0" borderId="84" xfId="0" applyNumberFormat="1" applyBorder="1" applyAlignment="1">
      <alignment horizontal="right" vertical="center" wrapText="1"/>
    </xf>
    <xf numFmtId="6" fontId="0" fillId="0" borderId="85" xfId="0" applyNumberFormat="1" applyBorder="1" applyAlignment="1">
      <alignment horizontal="right" vertical="center" wrapText="1"/>
    </xf>
    <xf numFmtId="0" fontId="106" fillId="62" borderId="3" xfId="0" applyFont="1" applyFill="1" applyBorder="1" applyProtection="1">
      <protection locked="0"/>
    </xf>
    <xf numFmtId="0" fontId="0" fillId="62" borderId="4" xfId="0" applyFill="1" applyBorder="1" applyProtection="1">
      <protection locked="0"/>
    </xf>
    <xf numFmtId="0" fontId="0" fillId="62" borderId="4" xfId="0" applyFill="1" applyBorder="1"/>
    <xf numFmtId="6" fontId="0" fillId="62" borderId="8" xfId="0" applyNumberFormat="1" applyFill="1" applyBorder="1" applyProtection="1">
      <protection locked="0"/>
    </xf>
    <xf numFmtId="0" fontId="0" fillId="60" borderId="86" xfId="0" applyFill="1" applyBorder="1" applyAlignment="1">
      <alignment horizontal="right" vertical="center" wrapText="1"/>
    </xf>
    <xf numFmtId="180" fontId="0" fillId="60" borderId="59" xfId="0" applyNumberFormat="1" applyFill="1" applyBorder="1" applyAlignment="1">
      <alignment horizontal="right" vertical="center" wrapText="1"/>
    </xf>
    <xf numFmtId="9" fontId="0" fillId="60" borderId="59" xfId="573" applyFont="1" applyFill="1" applyBorder="1" applyAlignment="1">
      <alignment horizontal="right" vertical="center" wrapText="1"/>
    </xf>
    <xf numFmtId="0" fontId="0" fillId="0" borderId="61" xfId="0" applyBorder="1" applyAlignment="1">
      <alignment horizontal="center" vertical="center" wrapText="1"/>
    </xf>
    <xf numFmtId="180" fontId="0" fillId="0" borderId="61" xfId="0" applyNumberFormat="1" applyBorder="1" applyAlignment="1">
      <alignment horizontal="right" vertical="center" wrapText="1"/>
    </xf>
    <xf numFmtId="6" fontId="0" fillId="0" borderId="61" xfId="0" applyNumberFormat="1" applyBorder="1" applyAlignment="1">
      <alignment horizontal="right" vertical="center" wrapText="1"/>
    </xf>
    <xf numFmtId="6" fontId="0" fillId="0" borderId="87" xfId="0" applyNumberFormat="1" applyBorder="1" applyAlignment="1">
      <alignment horizontal="right" vertical="center" wrapText="1"/>
    </xf>
    <xf numFmtId="0" fontId="106" fillId="62" borderId="0" xfId="0" applyFont="1" applyFill="1" applyProtection="1">
      <protection locked="0"/>
    </xf>
    <xf numFmtId="0" fontId="0" fillId="62" borderId="0" xfId="0" applyFill="1" applyProtection="1">
      <protection locked="0"/>
    </xf>
    <xf numFmtId="6" fontId="0" fillId="62" borderId="0" xfId="0" applyNumberFormat="1" applyFill="1" applyProtection="1">
      <protection locked="0"/>
    </xf>
    <xf numFmtId="0" fontId="106" fillId="62" borderId="1" xfId="0" applyFont="1" applyFill="1" applyBorder="1" applyProtection="1">
      <protection locked="0"/>
    </xf>
    <xf numFmtId="0" fontId="0" fillId="62" borderId="2" xfId="0" applyFill="1" applyBorder="1" applyProtection="1">
      <protection locked="0"/>
    </xf>
    <xf numFmtId="0" fontId="0" fillId="62" borderId="2" xfId="0" applyFill="1" applyBorder="1"/>
    <xf numFmtId="171" fontId="106" fillId="62" borderId="11" xfId="0" applyNumberFormat="1" applyFont="1" applyFill="1" applyBorder="1" applyProtection="1">
      <protection locked="0"/>
    </xf>
    <xf numFmtId="0" fontId="1" fillId="0" borderId="0" xfId="0" applyFont="1" applyProtection="1">
      <protection locked="0"/>
    </xf>
    <xf numFmtId="0" fontId="1" fillId="0" borderId="0" xfId="0" applyFont="1"/>
    <xf numFmtId="6" fontId="1" fillId="0" borderId="0" xfId="0" applyNumberFormat="1" applyFont="1" applyProtection="1">
      <protection locked="0"/>
    </xf>
    <xf numFmtId="0" fontId="106" fillId="62" borderId="7" xfId="0" applyFont="1" applyFill="1" applyBorder="1" applyProtection="1">
      <protection locked="0"/>
    </xf>
    <xf numFmtId="176" fontId="0" fillId="62" borderId="0" xfId="0" applyNumberFormat="1" applyFill="1" applyProtection="1">
      <protection locked="0"/>
    </xf>
    <xf numFmtId="6" fontId="0" fillId="62" borderId="13" xfId="0" applyNumberFormat="1" applyFill="1" applyBorder="1" applyProtection="1">
      <protection locked="0"/>
    </xf>
    <xf numFmtId="0" fontId="2" fillId="0" borderId="5" xfId="0" applyFont="1" applyBorder="1"/>
    <xf numFmtId="6" fontId="2" fillId="0" borderId="5" xfId="0" applyNumberFormat="1" applyFont="1" applyBorder="1"/>
    <xf numFmtId="0" fontId="0" fillId="60" borderId="88" xfId="0" applyFill="1" applyBorder="1" applyAlignment="1">
      <alignment horizontal="right" vertical="center" wrapText="1"/>
    </xf>
    <xf numFmtId="180" fontId="0" fillId="60" borderId="56" xfId="0" applyNumberFormat="1" applyFill="1" applyBorder="1" applyAlignment="1">
      <alignment horizontal="right" vertical="center" wrapText="1"/>
    </xf>
    <xf numFmtId="9" fontId="0" fillId="60" borderId="56" xfId="573" applyFont="1" applyFill="1" applyBorder="1" applyAlignment="1">
      <alignment horizontal="right" vertical="center" wrapText="1"/>
    </xf>
    <xf numFmtId="0" fontId="0" fillId="0" borderId="89" xfId="0" applyBorder="1" applyAlignment="1">
      <alignment horizontal="center" vertical="center" wrapText="1"/>
    </xf>
    <xf numFmtId="180" fontId="0" fillId="0" borderId="89" xfId="0" applyNumberFormat="1" applyBorder="1" applyAlignment="1">
      <alignment horizontal="right" vertical="center" wrapText="1"/>
    </xf>
    <xf numFmtId="6" fontId="0" fillId="0" borderId="89" xfId="0" applyNumberFormat="1" applyBorder="1" applyAlignment="1">
      <alignment horizontal="right" vertical="center" wrapText="1"/>
    </xf>
    <xf numFmtId="6" fontId="0" fillId="0" borderId="90" xfId="0" applyNumberFormat="1" applyBorder="1" applyAlignment="1">
      <alignment horizontal="right" vertical="center" wrapText="1"/>
    </xf>
    <xf numFmtId="6" fontId="9" fillId="0" borderId="0" xfId="0" applyNumberFormat="1" applyFont="1"/>
    <xf numFmtId="0" fontId="106" fillId="62" borderId="9" xfId="0" applyFont="1" applyFill="1" applyBorder="1" applyProtection="1">
      <protection locked="0"/>
    </xf>
    <xf numFmtId="0" fontId="0" fillId="62" borderId="5" xfId="0" applyFill="1" applyBorder="1" applyProtection="1">
      <protection locked="0"/>
    </xf>
    <xf numFmtId="176" fontId="0" fillId="62" borderId="5" xfId="0" applyNumberFormat="1" applyFill="1" applyBorder="1" applyProtection="1">
      <protection locked="0"/>
    </xf>
    <xf numFmtId="6" fontId="0" fillId="62" borderId="10" xfId="0" applyNumberFormat="1" applyFill="1" applyBorder="1" applyProtection="1">
      <protection locked="0"/>
    </xf>
    <xf numFmtId="0" fontId="106" fillId="60" borderId="9" xfId="0" applyFont="1" applyFill="1" applyBorder="1" applyAlignment="1">
      <alignment horizontal="right" vertical="center" wrapText="1"/>
    </xf>
    <xf numFmtId="0" fontId="106" fillId="60" borderId="5" xfId="0" applyFont="1" applyFill="1" applyBorder="1" applyAlignment="1">
      <alignment horizontal="right" vertical="center" wrapText="1"/>
    </xf>
    <xf numFmtId="10" fontId="106" fillId="60" borderId="5" xfId="573" applyNumberFormat="1" applyFont="1" applyFill="1" applyBorder="1" applyAlignment="1">
      <alignment vertical="center" wrapText="1"/>
    </xf>
    <xf numFmtId="0" fontId="106" fillId="60" borderId="91" xfId="0" applyFont="1" applyFill="1" applyBorder="1" applyAlignment="1">
      <alignment horizontal="center" vertical="center" wrapText="1"/>
    </xf>
    <xf numFmtId="180" fontId="106" fillId="60" borderId="91" xfId="0" applyNumberFormat="1" applyFont="1" applyFill="1" applyBorder="1" applyAlignment="1">
      <alignment horizontal="right" vertical="center" wrapText="1"/>
    </xf>
    <xf numFmtId="6" fontId="106" fillId="60" borderId="91" xfId="0" applyNumberFormat="1" applyFont="1" applyFill="1" applyBorder="1" applyAlignment="1">
      <alignment horizontal="center" vertical="center" wrapText="1"/>
    </xf>
    <xf numFmtId="6" fontId="106" fillId="60" borderId="91" xfId="0" applyNumberFormat="1" applyFont="1" applyFill="1" applyBorder="1" applyAlignment="1">
      <alignment horizontal="right" vertical="center" wrapText="1"/>
    </xf>
    <xf numFmtId="6" fontId="106" fillId="60" borderId="92" xfId="0" applyNumberFormat="1" applyFont="1" applyFill="1" applyBorder="1" applyAlignment="1">
      <alignment horizontal="right" vertical="center" wrapText="1"/>
    </xf>
    <xf numFmtId="0" fontId="0" fillId="62" borderId="0" xfId="0" applyFill="1"/>
    <xf numFmtId="0" fontId="106" fillId="0" borderId="0" xfId="0" applyFont="1" applyAlignment="1">
      <alignment horizontal="right" vertical="center" wrapText="1"/>
    </xf>
    <xf numFmtId="0" fontId="106" fillId="0" borderId="0" xfId="0" applyFont="1" applyAlignment="1">
      <alignment vertical="center" wrapText="1"/>
    </xf>
    <xf numFmtId="0" fontId="106" fillId="0" borderId="0" xfId="0" applyFont="1" applyAlignment="1">
      <alignment horizontal="center" vertical="center" wrapText="1"/>
    </xf>
    <xf numFmtId="6" fontId="106" fillId="0" borderId="0" xfId="0" applyNumberFormat="1" applyFont="1"/>
    <xf numFmtId="181" fontId="0" fillId="62" borderId="0" xfId="0" applyNumberFormat="1" applyFill="1" applyProtection="1">
      <protection locked="0"/>
    </xf>
    <xf numFmtId="6" fontId="0" fillId="62" borderId="0" xfId="0" applyNumberFormat="1" applyFill="1" applyAlignment="1" applyProtection="1">
      <alignment horizontal="right"/>
      <protection locked="0"/>
    </xf>
    <xf numFmtId="0" fontId="153" fillId="50" borderId="3" xfId="0" applyFont="1" applyFill="1" applyBorder="1" applyAlignment="1">
      <alignment horizontal="right" vertical="center" wrapText="1"/>
    </xf>
    <xf numFmtId="0" fontId="153" fillId="50" borderId="4" xfId="0" applyFont="1" applyFill="1" applyBorder="1" applyAlignment="1">
      <alignment horizontal="center" vertical="center" wrapText="1"/>
    </xf>
    <xf numFmtId="6" fontId="144" fillId="0" borderId="81" xfId="0" applyNumberFormat="1" applyFont="1" applyBorder="1" applyAlignment="1">
      <alignment horizontal="center" vertical="center" wrapText="1"/>
    </xf>
    <xf numFmtId="6" fontId="144" fillId="0" borderId="82" xfId="0" applyNumberFormat="1" applyFont="1" applyBorder="1" applyAlignment="1">
      <alignment horizontal="center" vertical="center" wrapText="1"/>
    </xf>
    <xf numFmtId="0" fontId="106" fillId="62" borderId="2" xfId="0" applyFont="1" applyFill="1" applyBorder="1" applyProtection="1">
      <protection locked="0"/>
    </xf>
    <xf numFmtId="6" fontId="106" fillId="62" borderId="11" xfId="0" applyNumberFormat="1" applyFont="1" applyFill="1" applyBorder="1" applyProtection="1">
      <protection locked="0"/>
    </xf>
    <xf numFmtId="0" fontId="0" fillId="50" borderId="83" xfId="0" applyFill="1" applyBorder="1" applyAlignment="1">
      <alignment horizontal="right" vertical="center" wrapText="1"/>
    </xf>
    <xf numFmtId="180" fontId="0" fillId="50" borderId="53" xfId="0" applyNumberFormat="1" applyFill="1" applyBorder="1" applyAlignment="1">
      <alignment horizontal="right" vertical="center" wrapText="1"/>
    </xf>
    <xf numFmtId="9" fontId="0" fillId="50" borderId="53" xfId="573" applyFont="1" applyFill="1" applyBorder="1" applyAlignment="1">
      <alignment horizontal="right" vertical="center" wrapText="1"/>
    </xf>
    <xf numFmtId="6" fontId="0" fillId="0" borderId="84" xfId="0" applyNumberFormat="1" applyBorder="1" applyAlignment="1">
      <alignment horizontal="center" vertical="center" wrapText="1"/>
    </xf>
    <xf numFmtId="6" fontId="0" fillId="0" borderId="85" xfId="0" applyNumberFormat="1" applyBorder="1" applyAlignment="1">
      <alignment horizontal="center" vertical="center" wrapText="1"/>
    </xf>
    <xf numFmtId="10" fontId="106" fillId="62" borderId="2" xfId="573" applyNumberFormat="1" applyFont="1" applyFill="1" applyBorder="1" applyProtection="1">
      <protection locked="0"/>
    </xf>
    <xf numFmtId="179" fontId="0" fillId="0" borderId="0" xfId="0" applyNumberFormat="1"/>
    <xf numFmtId="0" fontId="0" fillId="50" borderId="86" xfId="0" applyFill="1" applyBorder="1" applyAlignment="1">
      <alignment horizontal="right" vertical="center" wrapText="1"/>
    </xf>
    <xf numFmtId="180" fontId="0" fillId="50" borderId="59" xfId="0" applyNumberFormat="1" applyFill="1" applyBorder="1" applyAlignment="1">
      <alignment horizontal="right" vertical="center" wrapText="1"/>
    </xf>
    <xf numFmtId="9" fontId="0" fillId="50" borderId="59" xfId="573" applyFont="1" applyFill="1" applyBorder="1" applyAlignment="1">
      <alignment horizontal="right" vertical="center" wrapText="1"/>
    </xf>
    <xf numFmtId="6" fontId="0" fillId="0" borderId="61" xfId="0" applyNumberFormat="1" applyBorder="1" applyAlignment="1">
      <alignment horizontal="center" vertical="center" wrapText="1"/>
    </xf>
    <xf numFmtId="6" fontId="0" fillId="0" borderId="87" xfId="0" applyNumberFormat="1" applyBorder="1" applyAlignment="1">
      <alignment horizontal="center" vertical="center" wrapText="1"/>
    </xf>
    <xf numFmtId="0" fontId="106" fillId="62" borderId="5" xfId="0" applyFont="1" applyFill="1" applyBorder="1" applyProtection="1">
      <protection locked="0"/>
    </xf>
    <xf numFmtId="6" fontId="106" fillId="62" borderId="10" xfId="0" applyNumberFormat="1" applyFont="1" applyFill="1" applyBorder="1" applyProtection="1">
      <protection locked="0"/>
    </xf>
    <xf numFmtId="0" fontId="0" fillId="50" borderId="93" xfId="0" applyFill="1" applyBorder="1" applyAlignment="1">
      <alignment horizontal="right" vertical="center" wrapText="1"/>
    </xf>
    <xf numFmtId="9" fontId="0" fillId="50" borderId="47" xfId="573" applyFont="1" applyFill="1" applyBorder="1" applyAlignment="1">
      <alignment horizontal="right" vertical="center" wrapText="1"/>
    </xf>
    <xf numFmtId="0" fontId="0" fillId="0" borderId="94" xfId="0" applyBorder="1" applyAlignment="1">
      <alignment horizontal="center" vertical="center" wrapText="1"/>
    </xf>
    <xf numFmtId="0" fontId="0" fillId="0" borderId="94" xfId="0" applyBorder="1" applyAlignment="1">
      <alignment horizontal="right"/>
    </xf>
    <xf numFmtId="6" fontId="0" fillId="0" borderId="94" xfId="0" applyNumberFormat="1" applyBorder="1"/>
    <xf numFmtId="6" fontId="0" fillId="0" borderId="94" xfId="0" applyNumberFormat="1" applyBorder="1" applyAlignment="1">
      <alignment horizontal="center"/>
    </xf>
    <xf numFmtId="6" fontId="0" fillId="0" borderId="95" xfId="0" applyNumberFormat="1" applyBorder="1"/>
    <xf numFmtId="0" fontId="165" fillId="62" borderId="0" xfId="0" applyFont="1" applyFill="1" applyProtection="1">
      <protection locked="0"/>
    </xf>
    <xf numFmtId="9" fontId="165" fillId="62" borderId="0" xfId="0" applyNumberFormat="1" applyFont="1" applyFill="1" applyProtection="1">
      <protection locked="0"/>
    </xf>
    <xf numFmtId="6" fontId="165" fillId="62" borderId="0" xfId="0" applyNumberFormat="1" applyFont="1" applyFill="1" applyProtection="1">
      <protection locked="0"/>
    </xf>
    <xf numFmtId="0" fontId="106" fillId="50" borderId="3" xfId="0" applyFont="1" applyFill="1" applyBorder="1" applyAlignment="1">
      <alignment horizontal="right" vertical="center" wrapText="1"/>
    </xf>
    <xf numFmtId="0" fontId="106" fillId="50" borderId="4" xfId="0" applyFont="1" applyFill="1" applyBorder="1" applyAlignment="1">
      <alignment horizontal="right" vertical="center" wrapText="1"/>
    </xf>
    <xf numFmtId="0" fontId="106" fillId="50" borderId="4" xfId="0" applyFont="1" applyFill="1" applyBorder="1" applyAlignment="1">
      <alignment vertical="center" wrapText="1"/>
    </xf>
    <xf numFmtId="0" fontId="106" fillId="50" borderId="81" xfId="0" applyFont="1" applyFill="1" applyBorder="1" applyAlignment="1">
      <alignment horizontal="center" vertical="center" wrapText="1"/>
    </xf>
    <xf numFmtId="180" fontId="106" fillId="50" borderId="81" xfId="0" applyNumberFormat="1" applyFont="1" applyFill="1" applyBorder="1" applyAlignment="1">
      <alignment horizontal="right" vertical="center" wrapText="1"/>
    </xf>
    <xf numFmtId="6" fontId="106" fillId="50" borderId="81" xfId="0" applyNumberFormat="1" applyFont="1" applyFill="1" applyBorder="1" applyAlignment="1">
      <alignment horizontal="center" vertical="center" wrapText="1"/>
    </xf>
    <xf numFmtId="6" fontId="106" fillId="50" borderId="82"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9" fillId="65" borderId="65" xfId="0" applyFont="1" applyFill="1" applyBorder="1"/>
    <xf numFmtId="0" fontId="9" fillId="65" borderId="66" xfId="0" applyFont="1" applyFill="1" applyBorder="1"/>
    <xf numFmtId="0" fontId="9" fillId="65" borderId="67" xfId="0" applyFont="1" applyFill="1" applyBorder="1"/>
    <xf numFmtId="0" fontId="153" fillId="52" borderId="3" xfId="0" applyFont="1" applyFill="1" applyBorder="1" applyAlignment="1">
      <alignment horizontal="right" vertical="center" wrapText="1"/>
    </xf>
    <xf numFmtId="0" fontId="153" fillId="52" borderId="4" xfId="0" applyFont="1" applyFill="1" applyBorder="1" applyAlignment="1">
      <alignment horizontal="center" vertical="center" wrapText="1"/>
    </xf>
    <xf numFmtId="0" fontId="2" fillId="48" borderId="65" xfId="0" applyFont="1" applyFill="1" applyBorder="1" applyProtection="1">
      <protection locked="0"/>
    </xf>
    <xf numFmtId="0" fontId="0" fillId="48" borderId="66" xfId="0" applyFill="1" applyBorder="1" applyProtection="1">
      <protection locked="0"/>
    </xf>
    <xf numFmtId="0" fontId="0" fillId="52" borderId="83" xfId="0" applyFill="1" applyBorder="1" applyAlignment="1">
      <alignment horizontal="right" vertical="center" wrapText="1"/>
    </xf>
    <xf numFmtId="180" fontId="0" fillId="52" borderId="53" xfId="0" applyNumberFormat="1" applyFill="1" applyBorder="1" applyAlignment="1">
      <alignment horizontal="right" vertical="center" wrapText="1"/>
    </xf>
    <xf numFmtId="9" fontId="0" fillId="52" borderId="53" xfId="573" applyFont="1" applyFill="1" applyBorder="1" applyAlignment="1">
      <alignment horizontal="right" vertical="center" wrapText="1"/>
    </xf>
    <xf numFmtId="3" fontId="0" fillId="0" borderId="84" xfId="0" applyNumberFormat="1" applyBorder="1" applyAlignment="1">
      <alignment horizontal="center" vertical="center" wrapText="1"/>
    </xf>
    <xf numFmtId="180" fontId="0" fillId="0" borderId="84" xfId="0" applyNumberFormat="1" applyBorder="1" applyAlignment="1">
      <alignment horizontal="center" vertical="center" wrapText="1"/>
    </xf>
    <xf numFmtId="0" fontId="2" fillId="48" borderId="68" xfId="0" applyFont="1" applyFill="1" applyBorder="1" applyProtection="1">
      <protection locked="0"/>
    </xf>
    <xf numFmtId="0" fontId="0" fillId="48" borderId="0" xfId="0" applyFill="1" applyProtection="1">
      <protection locked="0"/>
    </xf>
    <xf numFmtId="6" fontId="0" fillId="48" borderId="0" xfId="0" applyNumberFormat="1" applyFill="1" applyProtection="1">
      <protection locked="0"/>
    </xf>
    <xf numFmtId="6" fontId="0" fillId="48" borderId="69" xfId="0" applyNumberFormat="1" applyFill="1" applyBorder="1" applyProtection="1">
      <protection locked="0"/>
    </xf>
    <xf numFmtId="0" fontId="141" fillId="0" borderId="0" xfId="0" applyFont="1" applyProtection="1">
      <protection locked="0"/>
    </xf>
    <xf numFmtId="0" fontId="140" fillId="0" borderId="3" xfId="0" applyFont="1" applyBorder="1" applyProtection="1">
      <protection locked="0"/>
    </xf>
    <xf numFmtId="9" fontId="140" fillId="0" borderId="4" xfId="0" applyNumberFormat="1" applyFont="1" applyBorder="1" applyProtection="1">
      <protection locked="0"/>
    </xf>
    <xf numFmtId="0" fontId="140" fillId="0" borderId="4" xfId="0" applyFont="1" applyBorder="1" applyProtection="1">
      <protection locked="0"/>
    </xf>
    <xf numFmtId="6" fontId="140" fillId="0" borderId="4" xfId="0" applyNumberFormat="1" applyFont="1" applyBorder="1" applyProtection="1">
      <protection locked="0"/>
    </xf>
    <xf numFmtId="6" fontId="140" fillId="0" borderId="8" xfId="0" applyNumberFormat="1" applyFont="1" applyBorder="1" applyProtection="1">
      <protection locked="0"/>
    </xf>
    <xf numFmtId="0" fontId="0" fillId="52" borderId="88" xfId="0" applyFill="1" applyBorder="1" applyAlignment="1">
      <alignment horizontal="right" vertical="center" wrapText="1"/>
    </xf>
    <xf numFmtId="180" fontId="0" fillId="52" borderId="56" xfId="0" applyNumberFormat="1" applyFill="1" applyBorder="1" applyAlignment="1">
      <alignment horizontal="right" vertical="center" wrapText="1"/>
    </xf>
    <xf numFmtId="9" fontId="0" fillId="52" borderId="56" xfId="573" applyFont="1" applyFill="1" applyBorder="1" applyAlignment="1">
      <alignment horizontal="right" vertical="center" wrapText="1"/>
    </xf>
    <xf numFmtId="180" fontId="0" fillId="0" borderId="89" xfId="0" applyNumberFormat="1" applyBorder="1" applyAlignment="1">
      <alignment horizontal="center" vertical="center" wrapText="1"/>
    </xf>
    <xf numFmtId="6" fontId="0" fillId="0" borderId="89" xfId="0" applyNumberFormat="1" applyBorder="1" applyAlignment="1">
      <alignment horizontal="center" vertical="center" wrapText="1"/>
    </xf>
    <xf numFmtId="6" fontId="0" fillId="0" borderId="90" xfId="0" applyNumberFormat="1" applyBorder="1" applyAlignment="1">
      <alignment horizontal="center" vertical="center" wrapText="1"/>
    </xf>
    <xf numFmtId="0" fontId="2" fillId="62" borderId="0" xfId="0" applyFont="1" applyFill="1" applyAlignment="1" applyProtection="1">
      <alignment horizontal="center"/>
      <protection locked="0"/>
    </xf>
    <xf numFmtId="6" fontId="144" fillId="62" borderId="0" xfId="0" applyNumberFormat="1" applyFont="1" applyFill="1" applyAlignment="1" applyProtection="1">
      <alignment horizontal="right"/>
      <protection locked="0"/>
    </xf>
    <xf numFmtId="0" fontId="2" fillId="48" borderId="70" xfId="0" applyFont="1" applyFill="1" applyBorder="1" applyProtection="1">
      <protection locked="0"/>
    </xf>
    <xf numFmtId="0" fontId="0" fillId="48" borderId="71" xfId="0" applyFill="1" applyBorder="1" applyProtection="1">
      <protection locked="0"/>
    </xf>
    <xf numFmtId="6" fontId="0" fillId="48" borderId="71" xfId="0" applyNumberFormat="1" applyFill="1" applyBorder="1" applyProtection="1">
      <protection locked="0"/>
    </xf>
    <xf numFmtId="6" fontId="0" fillId="48" borderId="72" xfId="0" applyNumberFormat="1" applyFill="1" applyBorder="1" applyProtection="1">
      <protection locked="0"/>
    </xf>
    <xf numFmtId="0" fontId="0" fillId="52" borderId="86" xfId="0" applyFill="1" applyBorder="1" applyAlignment="1">
      <alignment horizontal="right" vertical="center" wrapText="1"/>
    </xf>
    <xf numFmtId="9" fontId="0" fillId="52" borderId="59" xfId="573" applyFont="1" applyFill="1" applyBorder="1" applyAlignment="1">
      <alignment horizontal="right" vertical="center" wrapText="1"/>
    </xf>
    <xf numFmtId="180" fontId="0" fillId="0" borderId="61" xfId="0" applyNumberFormat="1" applyBorder="1" applyAlignment="1">
      <alignment horizontal="center" vertical="center" wrapText="1"/>
    </xf>
    <xf numFmtId="180" fontId="0" fillId="62" borderId="0" xfId="0" applyNumberFormat="1" applyFill="1" applyProtection="1">
      <protection locked="0"/>
    </xf>
    <xf numFmtId="183" fontId="0" fillId="62" borderId="0" xfId="0" applyNumberFormat="1" applyFill="1" applyAlignment="1" applyProtection="1">
      <alignment horizontal="center"/>
      <protection locked="0"/>
    </xf>
    <xf numFmtId="0" fontId="9" fillId="65" borderId="70" xfId="0" applyFont="1" applyFill="1" applyBorder="1" applyProtection="1">
      <protection locked="0"/>
    </xf>
    <xf numFmtId="0" fontId="9" fillId="65" borderId="71" xfId="0" applyFont="1" applyFill="1" applyBorder="1" applyProtection="1">
      <protection locked="0"/>
    </xf>
    <xf numFmtId="6" fontId="9" fillId="65" borderId="71" xfId="0" applyNumberFormat="1" applyFont="1" applyFill="1" applyBorder="1" applyProtection="1">
      <protection locked="0"/>
    </xf>
    <xf numFmtId="6" fontId="9" fillId="65" borderId="72" xfId="0" applyNumberFormat="1" applyFont="1" applyFill="1" applyBorder="1" applyProtection="1">
      <protection locked="0"/>
    </xf>
    <xf numFmtId="9" fontId="145" fillId="0" borderId="4" xfId="0" applyNumberFormat="1" applyFont="1" applyBorder="1" applyProtection="1">
      <protection locked="0"/>
    </xf>
    <xf numFmtId="0" fontId="0" fillId="52" borderId="56" xfId="0" applyFill="1" applyBorder="1" applyAlignment="1">
      <alignment horizontal="right" vertical="center" wrapText="1"/>
    </xf>
    <xf numFmtId="6" fontId="0" fillId="62" borderId="5" xfId="0" applyNumberFormat="1" applyFill="1" applyBorder="1" applyProtection="1">
      <protection locked="0"/>
    </xf>
    <xf numFmtId="182" fontId="165" fillId="62" borderId="0" xfId="0" applyNumberFormat="1" applyFont="1" applyFill="1" applyProtection="1">
      <protection locked="0"/>
    </xf>
    <xf numFmtId="165" fontId="0" fillId="0" borderId="32" xfId="573" applyNumberFormat="1" applyFont="1" applyFill="1" applyBorder="1" applyAlignment="1">
      <alignment horizontal="center"/>
    </xf>
    <xf numFmtId="0" fontId="106" fillId="52" borderId="9" xfId="0" applyFont="1" applyFill="1" applyBorder="1" applyAlignment="1">
      <alignment horizontal="right" vertical="center" wrapText="1"/>
    </xf>
    <xf numFmtId="0" fontId="106" fillId="52" borderId="5" xfId="0" applyFont="1" applyFill="1" applyBorder="1" applyAlignment="1">
      <alignment horizontal="right" vertical="center" wrapText="1"/>
    </xf>
    <xf numFmtId="0" fontId="106" fillId="52" borderId="5" xfId="0" applyFont="1" applyFill="1" applyBorder="1" applyAlignment="1">
      <alignment vertical="center" wrapText="1"/>
    </xf>
    <xf numFmtId="180" fontId="106" fillId="52" borderId="91" xfId="0" applyNumberFormat="1" applyFont="1" applyFill="1" applyBorder="1" applyAlignment="1">
      <alignment horizontal="center" vertical="center" wrapText="1"/>
    </xf>
    <xf numFmtId="6" fontId="106" fillId="52" borderId="91" xfId="0" applyNumberFormat="1" applyFont="1" applyFill="1" applyBorder="1" applyAlignment="1">
      <alignment horizontal="center" vertical="center" wrapText="1"/>
    </xf>
    <xf numFmtId="6" fontId="106" fillId="52" borderId="92" xfId="0" applyNumberFormat="1" applyFont="1" applyFill="1" applyBorder="1" applyAlignment="1">
      <alignment horizontal="center" vertical="center" wrapText="1"/>
    </xf>
    <xf numFmtId="6" fontId="106" fillId="62" borderId="0" xfId="0" applyNumberFormat="1" applyFont="1" applyFill="1" applyProtection="1">
      <protection locked="0"/>
    </xf>
    <xf numFmtId="0" fontId="2" fillId="0" borderId="1" xfId="0" applyFont="1" applyBorder="1" applyProtection="1">
      <protection locked="0"/>
    </xf>
    <xf numFmtId="0" fontId="0" fillId="0" borderId="2" xfId="0" applyBorder="1" applyProtection="1">
      <protection locked="0"/>
    </xf>
    <xf numFmtId="10" fontId="0" fillId="0" borderId="2" xfId="0" applyNumberFormat="1" applyBorder="1" applyProtection="1">
      <protection locked="0"/>
    </xf>
    <xf numFmtId="6" fontId="0" fillId="0" borderId="11" xfId="0" applyNumberFormat="1" applyBorder="1" applyProtection="1">
      <protection locked="0"/>
    </xf>
    <xf numFmtId="165" fontId="0" fillId="0" borderId="0" xfId="573" applyNumberFormat="1" applyFont="1" applyFill="1" applyBorder="1" applyAlignment="1">
      <alignment horizontal="center"/>
    </xf>
    <xf numFmtId="5" fontId="0" fillId="66" borderId="0" xfId="0" applyNumberFormat="1" applyFill="1"/>
    <xf numFmtId="180" fontId="0" fillId="0" borderId="0" xfId="0" applyNumberFormat="1"/>
    <xf numFmtId="9" fontId="106" fillId="62" borderId="5" xfId="0" applyNumberFormat="1" applyFont="1" applyFill="1" applyBorder="1" applyProtection="1">
      <protection locked="0"/>
    </xf>
    <xf numFmtId="6" fontId="106" fillId="62" borderId="5" xfId="0" applyNumberFormat="1" applyFont="1" applyFill="1" applyBorder="1" applyProtection="1">
      <protection locked="0"/>
    </xf>
    <xf numFmtId="0" fontId="2" fillId="0" borderId="7" xfId="0" applyFont="1" applyBorder="1"/>
    <xf numFmtId="10" fontId="0" fillId="0" borderId="0" xfId="0" applyNumberFormat="1"/>
    <xf numFmtId="6" fontId="0" fillId="0" borderId="13" xfId="0" applyNumberFormat="1" applyBorder="1" applyProtection="1">
      <protection locked="0"/>
    </xf>
    <xf numFmtId="0" fontId="90" fillId="54" borderId="70" xfId="0" applyFont="1" applyFill="1" applyBorder="1"/>
    <xf numFmtId="0" fontId="90" fillId="54" borderId="71" xfId="0" applyFont="1" applyFill="1" applyBorder="1"/>
    <xf numFmtId="14" fontId="156" fillId="54" borderId="72" xfId="0" applyNumberFormat="1" applyFont="1" applyFill="1" applyBorder="1"/>
    <xf numFmtId="14" fontId="156" fillId="54" borderId="71" xfId="0" applyNumberFormat="1" applyFont="1" applyFill="1" applyBorder="1"/>
    <xf numFmtId="5" fontId="90" fillId="54" borderId="71" xfId="0" applyNumberFormat="1" applyFont="1" applyFill="1" applyBorder="1"/>
    <xf numFmtId="6" fontId="90" fillId="54" borderId="71" xfId="0" applyNumberFormat="1" applyFont="1" applyFill="1" applyBorder="1"/>
    <xf numFmtId="6" fontId="90" fillId="54" borderId="32" xfId="0" applyNumberFormat="1" applyFont="1" applyFill="1" applyBorder="1"/>
    <xf numFmtId="5" fontId="90" fillId="0" borderId="0" xfId="0" applyNumberFormat="1" applyFont="1"/>
    <xf numFmtId="165" fontId="0" fillId="0" borderId="19" xfId="0" applyNumberFormat="1" applyBorder="1" applyAlignment="1">
      <alignment horizontal="center"/>
    </xf>
    <xf numFmtId="0" fontId="90" fillId="48" borderId="0" xfId="0" applyFont="1" applyFill="1"/>
    <xf numFmtId="5" fontId="90" fillId="54" borderId="70" xfId="0" applyNumberFormat="1" applyFont="1" applyFill="1" applyBorder="1"/>
    <xf numFmtId="5" fontId="90" fillId="54" borderId="32" xfId="0" applyNumberFormat="1" applyFont="1" applyFill="1" applyBorder="1"/>
    <xf numFmtId="6" fontId="93" fillId="54" borderId="12" xfId="0" applyNumberFormat="1" applyFont="1" applyFill="1" applyBorder="1"/>
    <xf numFmtId="0" fontId="93" fillId="54" borderId="12" xfId="0" applyFont="1" applyFill="1" applyBorder="1"/>
    <xf numFmtId="5" fontId="93" fillId="54" borderId="12" xfId="0" applyNumberFormat="1" applyFont="1" applyFill="1" applyBorder="1"/>
    <xf numFmtId="0" fontId="134" fillId="0" borderId="3" xfId="0" applyFont="1" applyBorder="1" applyAlignment="1">
      <alignment horizontal="right" vertical="center" wrapText="1"/>
    </xf>
    <xf numFmtId="0" fontId="134" fillId="0" borderId="4" xfId="0" applyFont="1" applyBorder="1" applyAlignment="1">
      <alignment horizontal="right" vertical="center" wrapText="1"/>
    </xf>
    <xf numFmtId="0" fontId="134" fillId="0" borderId="4" xfId="0" applyFont="1" applyBorder="1" applyAlignment="1">
      <alignment vertical="center" wrapText="1"/>
    </xf>
    <xf numFmtId="180" fontId="134" fillId="0" borderId="81" xfId="0" applyNumberFormat="1" applyFont="1" applyBorder="1" applyAlignment="1">
      <alignment horizontal="center" vertical="center" wrapText="1"/>
    </xf>
    <xf numFmtId="6" fontId="134" fillId="0" borderId="81" xfId="0" applyNumberFormat="1" applyFont="1" applyBorder="1" applyAlignment="1">
      <alignment horizontal="center" vertical="center" wrapText="1"/>
    </xf>
    <xf numFmtId="6" fontId="134" fillId="0" borderId="82" xfId="0" applyNumberFormat="1" applyFont="1" applyBorder="1" applyAlignment="1">
      <alignment horizontal="center" vertical="center" wrapText="1"/>
    </xf>
    <xf numFmtId="0" fontId="106" fillId="62" borderId="4" xfId="0" applyFont="1" applyFill="1" applyBorder="1" applyProtection="1">
      <protection locked="0"/>
    </xf>
    <xf numFmtId="6" fontId="106" fillId="62" borderId="4" xfId="0" applyNumberFormat="1" applyFont="1" applyFill="1" applyBorder="1" applyProtection="1">
      <protection locked="0"/>
    </xf>
    <xf numFmtId="182" fontId="140" fillId="0" borderId="4" xfId="0" applyNumberFormat="1" applyFont="1" applyBorder="1" applyProtection="1">
      <protection locked="0"/>
    </xf>
    <xf numFmtId="0" fontId="0" fillId="0" borderId="0" xfId="0" applyAlignment="1">
      <alignment horizontal="center"/>
    </xf>
    <xf numFmtId="5" fontId="2" fillId="0" borderId="0" xfId="0" applyNumberFormat="1" applyFont="1"/>
    <xf numFmtId="0" fontId="134" fillId="0" borderId="2" xfId="0" applyFont="1" applyBorder="1" applyAlignment="1">
      <alignment horizontal="right" vertical="center" wrapText="1"/>
    </xf>
    <xf numFmtId="0" fontId="134" fillId="0" borderId="2" xfId="0" applyFont="1" applyBorder="1" applyAlignment="1">
      <alignment vertical="center" wrapText="1"/>
    </xf>
    <xf numFmtId="0" fontId="134" fillId="0" borderId="2" xfId="0" applyFont="1" applyBorder="1" applyAlignment="1">
      <alignment horizontal="center" vertical="center" wrapText="1"/>
    </xf>
    <xf numFmtId="180" fontId="134" fillId="0" borderId="2" xfId="0" applyNumberFormat="1" applyFont="1" applyBorder="1" applyAlignment="1">
      <alignment horizontal="center" vertical="center" wrapText="1"/>
    </xf>
    <xf numFmtId="6" fontId="134" fillId="0" borderId="2" xfId="0" applyNumberFormat="1" applyFont="1" applyBorder="1" applyAlignment="1">
      <alignment horizontal="center" vertical="center" wrapText="1"/>
    </xf>
    <xf numFmtId="0" fontId="2" fillId="0" borderId="9" xfId="0" applyFont="1" applyBorder="1"/>
    <xf numFmtId="10" fontId="0" fillId="0" borderId="5" xfId="0" applyNumberFormat="1" applyBorder="1"/>
    <xf numFmtId="6" fontId="0" fillId="0" borderId="10" xfId="0" applyNumberFormat="1" applyBorder="1" applyProtection="1">
      <protection locked="0"/>
    </xf>
    <xf numFmtId="0" fontId="152" fillId="0" borderId="0" xfId="0" applyFont="1" applyAlignment="1" applyProtection="1">
      <alignment horizontal="left"/>
      <protection locked="0"/>
    </xf>
    <xf numFmtId="0" fontId="0" fillId="0" borderId="0" xfId="0" applyAlignment="1">
      <alignment horizontal="right"/>
    </xf>
    <xf numFmtId="8" fontId="0" fillId="0" borderId="0" xfId="0" applyNumberFormat="1"/>
    <xf numFmtId="5" fontId="150" fillId="0" borderId="0" xfId="0" applyNumberFormat="1" applyFont="1"/>
    <xf numFmtId="180" fontId="142" fillId="62" borderId="2" xfId="0" applyNumberFormat="1" applyFont="1" applyFill="1" applyBorder="1" applyAlignment="1">
      <alignment horizontal="center" vertical="center"/>
    </xf>
    <xf numFmtId="6" fontId="142" fillId="62" borderId="2" xfId="0" applyNumberFormat="1" applyFont="1" applyFill="1" applyBorder="1" applyAlignment="1">
      <alignment horizontal="left" vertical="center"/>
    </xf>
    <xf numFmtId="6" fontId="142" fillId="62" borderId="2" xfId="0" applyNumberFormat="1" applyFont="1" applyFill="1" applyBorder="1" applyAlignment="1">
      <alignment horizontal="center" vertical="center"/>
    </xf>
    <xf numFmtId="6" fontId="142" fillId="62" borderId="11" xfId="0" applyNumberFormat="1" applyFont="1" applyFill="1" applyBorder="1" applyAlignment="1">
      <alignment horizontal="center" vertical="center"/>
    </xf>
    <xf numFmtId="9" fontId="0" fillId="0" borderId="0" xfId="0" applyNumberFormat="1"/>
    <xf numFmtId="180" fontId="142" fillId="62" borderId="0" xfId="0" applyNumberFormat="1" applyFont="1" applyFill="1" applyAlignment="1">
      <alignment horizontal="left" vertical="center"/>
    </xf>
    <xf numFmtId="6" fontId="142" fillId="62" borderId="0" xfId="0" applyNumberFormat="1" applyFont="1" applyFill="1" applyAlignment="1">
      <alignment horizontal="left" vertical="center"/>
    </xf>
    <xf numFmtId="6" fontId="142" fillId="62" borderId="0" xfId="0" applyNumberFormat="1" applyFont="1" applyFill="1" applyAlignment="1">
      <alignment horizontal="center" vertical="center"/>
    </xf>
    <xf numFmtId="6" fontId="142" fillId="62" borderId="13" xfId="0" applyNumberFormat="1" applyFont="1" applyFill="1" applyBorder="1" applyAlignment="1">
      <alignment horizontal="center" vertical="center"/>
    </xf>
    <xf numFmtId="0" fontId="40" fillId="62" borderId="0" xfId="0" applyFont="1" applyFill="1" applyProtection="1">
      <protection locked="0"/>
    </xf>
    <xf numFmtId="0" fontId="40" fillId="62" borderId="0" xfId="0" applyFont="1" applyFill="1"/>
    <xf numFmtId="6" fontId="40" fillId="62" borderId="0" xfId="0" applyNumberFormat="1" applyFont="1" applyFill="1" applyProtection="1">
      <protection locked="0"/>
    </xf>
    <xf numFmtId="10" fontId="0" fillId="0" borderId="2" xfId="0" applyNumberFormat="1" applyBorder="1"/>
    <xf numFmtId="6" fontId="149" fillId="67" borderId="12" xfId="0" applyNumberFormat="1" applyFont="1" applyFill="1" applyBorder="1" applyAlignment="1">
      <alignment horizontal="left" vertical="center" wrapText="1"/>
    </xf>
    <xf numFmtId="6" fontId="149" fillId="67" borderId="12" xfId="0" applyNumberFormat="1" applyFont="1" applyFill="1" applyBorder="1" applyAlignment="1">
      <alignment horizontal="center" vertical="center" wrapText="1"/>
    </xf>
    <xf numFmtId="184" fontId="40" fillId="62" borderId="0" xfId="0" applyNumberFormat="1" applyFont="1" applyFill="1" applyProtection="1">
      <protection locked="0"/>
    </xf>
    <xf numFmtId="6" fontId="0" fillId="0" borderId="10" xfId="0" applyNumberFormat="1" applyBorder="1"/>
    <xf numFmtId="0" fontId="166" fillId="62" borderId="0" xfId="0" applyFont="1" applyFill="1" applyProtection="1">
      <protection locked="0"/>
    </xf>
    <xf numFmtId="6" fontId="166" fillId="62" borderId="0" xfId="0" applyNumberFormat="1" applyFont="1" applyFill="1" applyProtection="1">
      <protection locked="0"/>
    </xf>
    <xf numFmtId="0" fontId="167" fillId="0" borderId="0" xfId="0" quotePrefix="1" applyFont="1" applyProtection="1">
      <protection locked="0"/>
    </xf>
    <xf numFmtId="14" fontId="0" fillId="0" borderId="0" xfId="0" applyNumberFormat="1"/>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180" fontId="142" fillId="67" borderId="12" xfId="0" applyNumberFormat="1" applyFont="1" applyFill="1" applyBorder="1" applyAlignment="1">
      <alignment horizontal="center" vertical="center"/>
    </xf>
    <xf numFmtId="0" fontId="9" fillId="0" borderId="9" xfId="0" applyFont="1" applyBorder="1"/>
    <xf numFmtId="0" fontId="9" fillId="0" borderId="5" xfId="0" applyFont="1" applyBorder="1"/>
    <xf numFmtId="6" fontId="9" fillId="0" borderId="10" xfId="0" applyNumberFormat="1" applyFont="1" applyBorder="1"/>
    <xf numFmtId="0" fontId="168" fillId="0" borderId="0" xfId="0" applyFont="1" applyProtection="1">
      <protection locked="0"/>
    </xf>
    <xf numFmtId="10" fontId="168" fillId="0" borderId="0" xfId="0" applyNumberFormat="1" applyFont="1" applyProtection="1">
      <protection locked="0"/>
    </xf>
    <xf numFmtId="6" fontId="168" fillId="0" borderId="0" xfId="0" applyNumberFormat="1" applyFont="1" applyProtection="1">
      <protection locked="0"/>
    </xf>
    <xf numFmtId="0" fontId="167" fillId="0" borderId="0" xfId="0" applyFont="1" applyProtection="1">
      <protection locked="0"/>
    </xf>
    <xf numFmtId="0" fontId="142" fillId="62" borderId="7" xfId="0" applyFont="1" applyFill="1" applyBorder="1" applyAlignment="1">
      <alignment vertical="center" wrapText="1"/>
    </xf>
    <xf numFmtId="0" fontId="142" fillId="62" borderId="0" xfId="0" applyFont="1" applyFill="1" applyAlignment="1">
      <alignment vertical="center" wrapText="1"/>
    </xf>
    <xf numFmtId="10" fontId="142" fillId="62" borderId="0" xfId="573" applyNumberFormat="1" applyFont="1" applyFill="1" applyBorder="1" applyAlignment="1">
      <alignment vertical="center" wrapText="1"/>
    </xf>
    <xf numFmtId="6" fontId="149" fillId="62" borderId="12" xfId="0" applyNumberFormat="1" applyFont="1" applyFill="1" applyBorder="1" applyAlignment="1">
      <alignment horizontal="left" vertical="center" wrapText="1"/>
    </xf>
    <xf numFmtId="0" fontId="40" fillId="62" borderId="5" xfId="0" applyFont="1" applyFill="1" applyBorder="1"/>
    <xf numFmtId="6" fontId="40" fillId="62" borderId="5" xfId="0" applyNumberFormat="1" applyFont="1" applyFill="1" applyBorder="1"/>
    <xf numFmtId="0" fontId="0" fillId="63" borderId="1" xfId="0" applyFill="1" applyBorder="1"/>
    <xf numFmtId="0" fontId="0" fillId="63" borderId="2" xfId="0" applyFill="1" applyBorder="1"/>
    <xf numFmtId="6" fontId="0" fillId="63" borderId="11" xfId="0" applyNumberFormat="1" applyFill="1" applyBorder="1"/>
    <xf numFmtId="180" fontId="142" fillId="62" borderId="12" xfId="0" applyNumberFormat="1" applyFont="1" applyFill="1" applyBorder="1" applyAlignment="1">
      <alignment horizontal="left" vertical="center"/>
    </xf>
    <xf numFmtId="0" fontId="106" fillId="62" borderId="0" xfId="0" applyFont="1" applyFill="1"/>
    <xf numFmtId="0" fontId="0" fillId="63" borderId="9" xfId="0" applyFill="1" applyBorder="1"/>
    <xf numFmtId="0" fontId="0" fillId="63" borderId="5" xfId="0" applyFill="1" applyBorder="1"/>
    <xf numFmtId="6" fontId="0" fillId="63" borderId="10" xfId="0" applyNumberFormat="1" applyFill="1" applyBorder="1"/>
    <xf numFmtId="185" fontId="142" fillId="62" borderId="5" xfId="0" applyNumberFormat="1" applyFont="1" applyFill="1" applyBorder="1" applyAlignment="1">
      <alignment horizontal="left" vertical="center"/>
    </xf>
    <xf numFmtId="185" fontId="142" fillId="62" borderId="5" xfId="0" applyNumberFormat="1" applyFont="1" applyFill="1" applyBorder="1" applyAlignment="1">
      <alignment horizontal="center" vertical="center"/>
    </xf>
    <xf numFmtId="185" fontId="142" fillId="62" borderId="10" xfId="0" applyNumberFormat="1" applyFont="1" applyFill="1" applyBorder="1" applyAlignment="1">
      <alignment horizontal="center" vertical="center"/>
    </xf>
    <xf numFmtId="0" fontId="168" fillId="0" borderId="0" xfId="0" applyFont="1" applyAlignment="1" applyProtection="1">
      <alignment horizontal="right"/>
      <protection locked="0"/>
    </xf>
    <xf numFmtId="44" fontId="136" fillId="0" borderId="0" xfId="164" applyFont="1" applyFill="1" applyBorder="1"/>
    <xf numFmtId="6" fontId="149" fillId="62" borderId="12" xfId="0" applyNumberFormat="1" applyFont="1" applyFill="1" applyBorder="1" applyAlignment="1">
      <alignment horizontal="center" vertical="center" wrapText="1"/>
    </xf>
    <xf numFmtId="44" fontId="136" fillId="0" borderId="0" xfId="164" applyFont="1"/>
    <xf numFmtId="180" fontId="142" fillId="62" borderId="13" xfId="0" applyNumberFormat="1" applyFont="1" applyFill="1" applyBorder="1" applyAlignment="1">
      <alignment horizontal="center" vertical="center"/>
    </xf>
    <xf numFmtId="38" fontId="134" fillId="62" borderId="12" xfId="0" applyNumberFormat="1" applyFont="1" applyFill="1" applyBorder="1" applyAlignment="1">
      <alignment horizontal="center" vertical="center"/>
    </xf>
    <xf numFmtId="180" fontId="134" fillId="62" borderId="12" xfId="0" applyNumberFormat="1" applyFont="1" applyFill="1" applyBorder="1" applyAlignment="1">
      <alignment horizontal="center" vertical="center"/>
    </xf>
    <xf numFmtId="0" fontId="1" fillId="62" borderId="0" xfId="0" applyFont="1" applyFill="1" applyProtection="1">
      <protection locked="0"/>
    </xf>
    <xf numFmtId="0" fontId="170" fillId="62" borderId="5" xfId="0" applyFont="1" applyFill="1" applyBorder="1" applyProtection="1">
      <protection locked="0"/>
    </xf>
    <xf numFmtId="0" fontId="171" fillId="0" borderId="0" xfId="0" applyFont="1" applyProtection="1">
      <protection locked="0"/>
    </xf>
    <xf numFmtId="6" fontId="171" fillId="0" borderId="0" xfId="0" applyNumberFormat="1" applyFont="1" applyProtection="1">
      <protection locked="0"/>
    </xf>
    <xf numFmtId="176" fontId="0" fillId="0" borderId="0" xfId="573" applyNumberFormat="1" applyFont="1"/>
    <xf numFmtId="0" fontId="142" fillId="62" borderId="9" xfId="0" applyFont="1" applyFill="1" applyBorder="1" applyAlignment="1">
      <alignment horizontal="left" vertical="center" wrapText="1"/>
    </xf>
    <xf numFmtId="10" fontId="142" fillId="62" borderId="5" xfId="573" applyNumberFormat="1" applyFont="1" applyFill="1" applyBorder="1" applyAlignment="1">
      <alignment horizontal="left" vertical="center" wrapText="1"/>
    </xf>
    <xf numFmtId="0" fontId="142" fillId="62" borderId="5" xfId="0" applyFont="1" applyFill="1" applyBorder="1" applyAlignment="1">
      <alignment horizontal="left" vertical="center" wrapText="1"/>
    </xf>
    <xf numFmtId="180" fontId="142" fillId="62" borderId="5" xfId="0" applyNumberFormat="1" applyFont="1" applyFill="1" applyBorder="1" applyAlignment="1">
      <alignment horizontal="center" vertical="center"/>
    </xf>
    <xf numFmtId="6" fontId="134" fillId="62" borderId="5" xfId="0" applyNumberFormat="1" applyFont="1" applyFill="1" applyBorder="1" applyAlignment="1">
      <alignment horizontal="left" vertical="center"/>
    </xf>
    <xf numFmtId="6" fontId="134" fillId="62" borderId="5" xfId="0" applyNumberFormat="1" applyFont="1" applyFill="1" applyBorder="1" applyAlignment="1">
      <alignment horizontal="center" vertical="center"/>
    </xf>
    <xf numFmtId="6" fontId="134" fillId="62" borderId="10" xfId="0" applyNumberFormat="1" applyFont="1" applyFill="1" applyBorder="1" applyAlignment="1">
      <alignment horizontal="center" vertical="center"/>
    </xf>
    <xf numFmtId="0" fontId="9" fillId="62" borderId="0" xfId="0" applyFont="1" applyFill="1"/>
    <xf numFmtId="6" fontId="9" fillId="62" borderId="0" xfId="0" applyNumberFormat="1" applyFont="1" applyFill="1"/>
    <xf numFmtId="0" fontId="172" fillId="0" borderId="0" xfId="0" applyFont="1" applyProtection="1">
      <protection locked="0"/>
    </xf>
    <xf numFmtId="10" fontId="172" fillId="0" borderId="0" xfId="0" applyNumberFormat="1" applyFont="1" applyProtection="1">
      <protection locked="0"/>
    </xf>
    <xf numFmtId="6" fontId="172" fillId="0" borderId="0" xfId="0" applyNumberFormat="1" applyFont="1" applyProtection="1">
      <protection locked="0"/>
    </xf>
    <xf numFmtId="43" fontId="136" fillId="0" borderId="0" xfId="574" applyFont="1"/>
    <xf numFmtId="0" fontId="144" fillId="0" borderId="0" xfId="0" applyFont="1" applyAlignment="1">
      <alignment horizontal="left"/>
    </xf>
    <xf numFmtId="9" fontId="0" fillId="0" borderId="0" xfId="573" applyFont="1" applyFill="1" applyBorder="1" applyAlignment="1">
      <alignment horizontal="center" wrapText="1"/>
    </xf>
    <xf numFmtId="6" fontId="0" fillId="0" borderId="0" xfId="0" applyNumberFormat="1" applyAlignment="1">
      <alignment horizontal="center" wrapText="1"/>
    </xf>
    <xf numFmtId="9" fontId="0" fillId="0" borderId="0" xfId="0" applyNumberFormat="1" applyAlignment="1">
      <alignment horizontal="right" wrapText="1"/>
    </xf>
    <xf numFmtId="0" fontId="171" fillId="62" borderId="0" xfId="0" applyFont="1" applyFill="1" applyProtection="1">
      <protection locked="0"/>
    </xf>
    <xf numFmtId="6" fontId="171" fillId="62" borderId="0" xfId="0" applyNumberFormat="1" applyFont="1" applyFill="1" applyProtection="1">
      <protection locked="0"/>
    </xf>
    <xf numFmtId="0" fontId="141" fillId="0" borderId="0" xfId="0" quotePrefix="1" applyFont="1" applyProtection="1">
      <protection locked="0"/>
    </xf>
    <xf numFmtId="0" fontId="0" fillId="60" borderId="96" xfId="0" applyFill="1" applyBorder="1" applyAlignment="1">
      <alignment horizontal="right"/>
    </xf>
    <xf numFmtId="0" fontId="0" fillId="60" borderId="97" xfId="0" applyFill="1" applyBorder="1" applyAlignment="1">
      <alignment horizontal="center"/>
    </xf>
    <xf numFmtId="0" fontId="0" fillId="0" borderId="98" xfId="0" applyBorder="1" applyAlignment="1">
      <alignment horizontal="center"/>
    </xf>
    <xf numFmtId="0" fontId="173" fillId="68" borderId="65" xfId="0" applyFont="1" applyFill="1" applyBorder="1" applyAlignment="1">
      <alignment horizontal="left" vertical="center"/>
    </xf>
    <xf numFmtId="0" fontId="173" fillId="68" borderId="66" xfId="0" applyFont="1" applyFill="1" applyBorder="1" applyAlignment="1">
      <alignment horizontal="left" vertical="center"/>
    </xf>
    <xf numFmtId="0" fontId="173" fillId="68" borderId="66" xfId="0" applyFont="1" applyFill="1" applyBorder="1" applyAlignment="1">
      <alignment horizontal="center" vertical="center"/>
    </xf>
    <xf numFmtId="164" fontId="174" fillId="68" borderId="99" xfId="0" applyNumberFormat="1" applyFont="1" applyFill="1" applyBorder="1" applyAlignment="1">
      <alignment horizontal="center" vertical="center"/>
    </xf>
    <xf numFmtId="164" fontId="174" fillId="68" borderId="100" xfId="0" applyNumberFormat="1" applyFont="1" applyFill="1" applyBorder="1" applyAlignment="1">
      <alignment horizontal="center" vertical="center"/>
    </xf>
    <xf numFmtId="0" fontId="0" fillId="0" borderId="4" xfId="0" applyBorder="1" applyProtection="1">
      <protection locked="0"/>
    </xf>
    <xf numFmtId="6" fontId="0" fillId="0" borderId="4" xfId="0" applyNumberFormat="1" applyBorder="1" applyProtection="1">
      <protection locked="0"/>
    </xf>
    <xf numFmtId="8" fontId="0" fillId="0" borderId="0" xfId="0" applyNumberFormat="1" applyProtection="1">
      <protection locked="0"/>
    </xf>
    <xf numFmtId="9" fontId="0" fillId="60" borderId="101" xfId="0" applyNumberFormat="1" applyFill="1" applyBorder="1" applyAlignment="1">
      <alignment horizontal="right"/>
    </xf>
    <xf numFmtId="9" fontId="0" fillId="60" borderId="61" xfId="573" applyFont="1" applyFill="1" applyBorder="1" applyAlignment="1"/>
    <xf numFmtId="6" fontId="0" fillId="0" borderId="87" xfId="0" applyNumberFormat="1" applyBorder="1" applyAlignment="1">
      <alignment horizontal="center"/>
    </xf>
    <xf numFmtId="0" fontId="106" fillId="0" borderId="102" xfId="0" applyFont="1" applyBorder="1" applyAlignment="1">
      <alignment horizontal="left" vertical="center"/>
    </xf>
    <xf numFmtId="0" fontId="106" fillId="0" borderId="59" xfId="0" applyFont="1" applyBorder="1" applyAlignment="1">
      <alignment horizontal="left" vertical="center"/>
    </xf>
    <xf numFmtId="9" fontId="0" fillId="0" borderId="59" xfId="573" applyFont="1" applyFill="1" applyBorder="1" applyAlignment="1">
      <alignment horizontal="right" vertical="center"/>
    </xf>
    <xf numFmtId="14" fontId="0" fillId="0" borderId="61" xfId="0" applyNumberFormat="1" applyBorder="1" applyAlignment="1">
      <alignment horizontal="center" vertical="center"/>
    </xf>
    <xf numFmtId="14" fontId="0" fillId="0" borderId="103" xfId="0" applyNumberFormat="1" applyBorder="1" applyAlignment="1">
      <alignment horizontal="center" vertical="center"/>
    </xf>
    <xf numFmtId="182" fontId="171" fillId="62" borderId="0" xfId="0" applyNumberFormat="1" applyFont="1" applyFill="1" applyProtection="1">
      <protection locked="0"/>
    </xf>
    <xf numFmtId="0" fontId="106" fillId="68" borderId="102" xfId="0" applyFont="1" applyFill="1" applyBorder="1" applyAlignment="1">
      <alignment horizontal="left" vertical="center"/>
    </xf>
    <xf numFmtId="0" fontId="106" fillId="68" borderId="59" xfId="0" applyFont="1" applyFill="1" applyBorder="1" applyAlignment="1">
      <alignment horizontal="left" vertical="center"/>
    </xf>
    <xf numFmtId="9" fontId="0" fillId="68" borderId="59" xfId="573" applyFont="1" applyFill="1" applyBorder="1" applyAlignment="1">
      <alignment horizontal="right" vertical="center"/>
    </xf>
    <xf numFmtId="186" fontId="0" fillId="68" borderId="61" xfId="0" applyNumberFormat="1" applyFill="1" applyBorder="1" applyAlignment="1">
      <alignment horizontal="center" vertical="center"/>
    </xf>
    <xf numFmtId="186" fontId="0" fillId="68" borderId="103" xfId="0" applyNumberFormat="1" applyFill="1" applyBorder="1" applyAlignment="1">
      <alignment horizontal="center" vertical="center"/>
    </xf>
    <xf numFmtId="9" fontId="0" fillId="0" borderId="61" xfId="0" applyNumberFormat="1" applyBorder="1" applyAlignment="1">
      <alignment horizontal="center" vertical="center"/>
    </xf>
    <xf numFmtId="0" fontId="175" fillId="0" borderId="0" xfId="0" applyFont="1" applyAlignment="1" applyProtection="1">
      <alignment vertical="top"/>
      <protection locked="0"/>
    </xf>
    <xf numFmtId="0" fontId="106" fillId="0" borderId="104" xfId="0" applyFont="1" applyBorder="1" applyAlignment="1">
      <alignment horizontal="left" vertical="center"/>
    </xf>
    <xf numFmtId="0" fontId="106" fillId="0" borderId="105" xfId="0" applyFont="1" applyBorder="1" applyAlignment="1">
      <alignment horizontal="left" vertical="center"/>
    </xf>
    <xf numFmtId="9" fontId="0" fillId="0" borderId="105" xfId="573" applyFont="1" applyFill="1" applyBorder="1" applyAlignment="1">
      <alignment horizontal="right" vertical="center"/>
    </xf>
    <xf numFmtId="14" fontId="0" fillId="0" borderId="106" xfId="0" applyNumberFormat="1" applyBorder="1" applyAlignment="1">
      <alignment horizontal="center" vertical="center"/>
    </xf>
    <xf numFmtId="14" fontId="0" fillId="0" borderId="107" xfId="0" applyNumberFormat="1" applyBorder="1" applyAlignment="1">
      <alignment horizontal="center" vertical="center"/>
    </xf>
    <xf numFmtId="0" fontId="106" fillId="61" borderId="3" xfId="0" applyFont="1" applyFill="1" applyBorder="1" applyProtection="1">
      <protection locked="0"/>
    </xf>
    <xf numFmtId="0" fontId="0" fillId="61" borderId="4" xfId="0" applyFill="1" applyBorder="1" applyProtection="1">
      <protection locked="0"/>
    </xf>
    <xf numFmtId="0" fontId="0" fillId="61" borderId="4" xfId="0" applyFill="1" applyBorder="1"/>
    <xf numFmtId="179" fontId="0" fillId="61" borderId="8" xfId="0" applyNumberFormat="1" applyFill="1" applyBorder="1" applyProtection="1">
      <protection locked="0"/>
    </xf>
    <xf numFmtId="9" fontId="0" fillId="60" borderId="108" xfId="0" applyNumberFormat="1" applyFill="1" applyBorder="1" applyAlignment="1">
      <alignment horizontal="right"/>
    </xf>
    <xf numFmtId="9" fontId="0" fillId="60" borderId="89" xfId="573" applyFont="1" applyFill="1" applyBorder="1" applyAlignment="1"/>
    <xf numFmtId="6" fontId="0" fillId="0" borderId="90" xfId="0" applyNumberFormat="1" applyBorder="1" applyAlignment="1">
      <alignment horizontal="center"/>
    </xf>
    <xf numFmtId="0" fontId="106" fillId="61" borderId="1" xfId="0" applyFont="1" applyFill="1" applyBorder="1" applyProtection="1">
      <protection locked="0"/>
    </xf>
    <xf numFmtId="0" fontId="0" fillId="61" borderId="2" xfId="0" applyFill="1" applyBorder="1" applyProtection="1">
      <protection locked="0"/>
    </xf>
    <xf numFmtId="0" fontId="0" fillId="61" borderId="2" xfId="0" applyFill="1" applyBorder="1"/>
    <xf numFmtId="171" fontId="106" fillId="61" borderId="11" xfId="0" applyNumberFormat="1" applyFont="1" applyFill="1" applyBorder="1" applyProtection="1">
      <protection locked="0"/>
    </xf>
    <xf numFmtId="0" fontId="106" fillId="61" borderId="7" xfId="0" applyFont="1" applyFill="1" applyBorder="1" applyProtection="1">
      <protection locked="0"/>
    </xf>
    <xf numFmtId="0" fontId="0" fillId="61" borderId="0" xfId="0" applyFill="1" applyProtection="1">
      <protection locked="0"/>
    </xf>
    <xf numFmtId="176" fontId="0" fillId="61" borderId="0" xfId="0" applyNumberFormat="1" applyFill="1" applyProtection="1">
      <protection locked="0"/>
    </xf>
    <xf numFmtId="6" fontId="0" fillId="61" borderId="13" xfId="0" applyNumberFormat="1" applyFill="1" applyBorder="1" applyProtection="1">
      <protection locked="0"/>
    </xf>
    <xf numFmtId="164" fontId="150" fillId="0" borderId="0" xfId="0" applyNumberFormat="1" applyFont="1" applyAlignment="1">
      <alignment horizontal="left"/>
    </xf>
    <xf numFmtId="0" fontId="106" fillId="61" borderId="9" xfId="0" applyFont="1" applyFill="1" applyBorder="1" applyProtection="1">
      <protection locked="0"/>
    </xf>
    <xf numFmtId="0" fontId="0" fillId="61" borderId="5" xfId="0" applyFill="1" applyBorder="1" applyProtection="1">
      <protection locked="0"/>
    </xf>
    <xf numFmtId="176" fontId="0" fillId="61" borderId="5" xfId="0" applyNumberFormat="1" applyFill="1" applyBorder="1" applyProtection="1">
      <protection locked="0"/>
    </xf>
    <xf numFmtId="6" fontId="0" fillId="61" borderId="10" xfId="0" applyNumberFormat="1" applyFill="1" applyBorder="1" applyProtection="1">
      <protection locked="0"/>
    </xf>
    <xf numFmtId="0" fontId="0" fillId="60" borderId="96" xfId="0" applyFill="1" applyBorder="1" applyAlignment="1">
      <alignment horizontal="right" wrapText="1"/>
    </xf>
    <xf numFmtId="0" fontId="0" fillId="60" borderId="97" xfId="0" applyFill="1" applyBorder="1" applyAlignment="1">
      <alignment horizontal="center" wrapText="1"/>
    </xf>
    <xf numFmtId="164" fontId="0" fillId="0" borderId="98" xfId="0" applyNumberFormat="1" applyBorder="1" applyAlignment="1">
      <alignment horizontal="center" wrapText="1"/>
    </xf>
    <xf numFmtId="0" fontId="0" fillId="60" borderId="101" xfId="0" applyFill="1" applyBorder="1" applyAlignment="1">
      <alignment horizontal="right" wrapText="1"/>
    </xf>
    <xf numFmtId="0" fontId="0" fillId="60" borderId="61" xfId="0" applyFill="1" applyBorder="1" applyAlignment="1">
      <alignment horizontal="center" wrapText="1"/>
    </xf>
    <xf numFmtId="14" fontId="0" fillId="0" borderId="87" xfId="0" applyNumberFormat="1" applyBorder="1" applyAlignment="1">
      <alignment horizontal="center" wrapText="1"/>
    </xf>
    <xf numFmtId="181" fontId="0" fillId="0" borderId="0" xfId="0" applyNumberFormat="1" applyProtection="1">
      <protection locked="0"/>
    </xf>
    <xf numFmtId="6" fontId="2" fillId="0" borderId="0" xfId="0" applyNumberFormat="1" applyFont="1" applyAlignment="1" applyProtection="1">
      <alignment horizontal="right"/>
      <protection locked="0"/>
    </xf>
    <xf numFmtId="0" fontId="106" fillId="60" borderId="109" xfId="0" applyFont="1" applyFill="1" applyBorder="1" applyAlignment="1">
      <alignment horizontal="right" wrapText="1"/>
    </xf>
    <xf numFmtId="0" fontId="106" fillId="60" borderId="94" xfId="0" applyFont="1" applyFill="1" applyBorder="1" applyAlignment="1">
      <alignment horizontal="center" wrapText="1"/>
    </xf>
    <xf numFmtId="0" fontId="106" fillId="0" borderId="95" xfId="0" applyFont="1" applyBorder="1" applyAlignment="1">
      <alignment horizontal="center" wrapText="1"/>
    </xf>
    <xf numFmtId="9" fontId="0" fillId="60" borderId="110" xfId="0" applyNumberFormat="1" applyFill="1" applyBorder="1" applyAlignment="1">
      <alignment horizontal="right" wrapText="1"/>
    </xf>
    <xf numFmtId="9" fontId="0" fillId="60" borderId="111" xfId="573" applyFont="1" applyFill="1" applyBorder="1" applyAlignment="1">
      <alignment horizontal="center" wrapText="1"/>
    </xf>
    <xf numFmtId="6" fontId="0" fillId="0" borderId="112" xfId="0" applyNumberFormat="1" applyBorder="1" applyAlignment="1">
      <alignment horizontal="center" wrapText="1"/>
    </xf>
    <xf numFmtId="0" fontId="106" fillId="61" borderId="2" xfId="0" applyFont="1" applyFill="1" applyBorder="1" applyProtection="1">
      <protection locked="0"/>
    </xf>
    <xf numFmtId="6" fontId="106" fillId="61" borderId="11" xfId="0" applyNumberFormat="1" applyFont="1" applyFill="1" applyBorder="1" applyProtection="1">
      <protection locked="0"/>
    </xf>
    <xf numFmtId="9" fontId="0" fillId="60" borderId="113" xfId="0" applyNumberFormat="1" applyFill="1" applyBorder="1" applyAlignment="1">
      <alignment horizontal="right" wrapText="1"/>
    </xf>
    <xf numFmtId="9" fontId="0" fillId="60" borderId="106" xfId="573" applyFont="1" applyFill="1" applyBorder="1" applyAlignment="1">
      <alignment horizontal="center" wrapText="1"/>
    </xf>
    <xf numFmtId="6" fontId="0" fillId="0" borderId="114" xfId="0" applyNumberFormat="1" applyBorder="1" applyAlignment="1">
      <alignment horizontal="center" wrapText="1"/>
    </xf>
    <xf numFmtId="0" fontId="106" fillId="0" borderId="1" xfId="0" applyFont="1" applyBorder="1" applyProtection="1">
      <protection locked="0"/>
    </xf>
    <xf numFmtId="0" fontId="106" fillId="0" borderId="2" xfId="0" applyFont="1" applyBorder="1" applyProtection="1">
      <protection locked="0"/>
    </xf>
    <xf numFmtId="10" fontId="106" fillId="0" borderId="2" xfId="573" applyNumberFormat="1" applyFont="1" applyFill="1" applyBorder="1" applyProtection="1">
      <protection locked="0"/>
    </xf>
    <xf numFmtId="6" fontId="106" fillId="0" borderId="11" xfId="0" applyNumberFormat="1" applyFont="1" applyBorder="1" applyProtection="1">
      <protection locked="0"/>
    </xf>
    <xf numFmtId="0" fontId="177" fillId="62" borderId="0" xfId="0" applyFont="1" applyFill="1" applyProtection="1">
      <protection locked="0"/>
    </xf>
    <xf numFmtId="182" fontId="177" fillId="62" borderId="0" xfId="0" applyNumberFormat="1" applyFont="1" applyFill="1" applyProtection="1">
      <protection locked="0"/>
    </xf>
    <xf numFmtId="6" fontId="177" fillId="62" borderId="0" xfId="0" applyNumberFormat="1" applyFont="1" applyFill="1" applyProtection="1">
      <protection locked="0"/>
    </xf>
    <xf numFmtId="0" fontId="106" fillId="0" borderId="9" xfId="0" applyFont="1" applyBorder="1" applyProtection="1">
      <protection locked="0"/>
    </xf>
    <xf numFmtId="6" fontId="106" fillId="0" borderId="10" xfId="0" applyNumberFormat="1" applyFont="1" applyBorder="1" applyProtection="1">
      <protection locked="0"/>
    </xf>
    <xf numFmtId="0" fontId="106" fillId="61" borderId="5" xfId="0" applyFont="1" applyFill="1" applyBorder="1" applyProtection="1">
      <protection locked="0"/>
    </xf>
    <xf numFmtId="6" fontId="106" fillId="61" borderId="10" xfId="0" applyNumberFormat="1" applyFont="1" applyFill="1" applyBorder="1" applyProtection="1">
      <protection locked="0"/>
    </xf>
    <xf numFmtId="182" fontId="168" fillId="0" borderId="0" xfId="0" applyNumberFormat="1" applyFont="1" applyProtection="1">
      <protection locked="0"/>
    </xf>
    <xf numFmtId="9" fontId="0" fillId="60" borderId="115" xfId="0" applyNumberFormat="1" applyFill="1" applyBorder="1" applyAlignment="1">
      <alignment horizontal="right" wrapText="1"/>
    </xf>
    <xf numFmtId="9" fontId="0" fillId="60" borderId="99" xfId="573" applyFont="1" applyFill="1" applyBorder="1" applyAlignment="1">
      <alignment horizontal="center" wrapText="1"/>
    </xf>
    <xf numFmtId="6" fontId="0" fillId="0" borderId="116" xfId="0" applyNumberFormat="1" applyBorder="1" applyAlignment="1">
      <alignment horizontal="center" wrapText="1"/>
    </xf>
    <xf numFmtId="9" fontId="0" fillId="60" borderId="117" xfId="0" applyNumberFormat="1" applyFill="1" applyBorder="1" applyAlignment="1">
      <alignment horizontal="right" wrapText="1"/>
    </xf>
    <xf numFmtId="9" fontId="0" fillId="60" borderId="118" xfId="573" applyFont="1" applyFill="1" applyBorder="1" applyAlignment="1">
      <alignment horizontal="center" wrapText="1"/>
    </xf>
    <xf numFmtId="6" fontId="0" fillId="60" borderId="29" xfId="0" applyNumberFormat="1" applyFill="1" applyBorder="1" applyAlignment="1">
      <alignment horizontal="center" wrapText="1"/>
    </xf>
    <xf numFmtId="0" fontId="140" fillId="68" borderId="119" xfId="0" applyFont="1" applyFill="1" applyBorder="1" applyProtection="1">
      <protection locked="0"/>
    </xf>
    <xf numFmtId="0" fontId="140" fillId="68" borderId="120" xfId="0" applyFont="1" applyFill="1" applyBorder="1" applyProtection="1">
      <protection locked="0"/>
    </xf>
    <xf numFmtId="6" fontId="140" fillId="68" borderId="120" xfId="0" applyNumberFormat="1" applyFont="1" applyFill="1" applyBorder="1" applyProtection="1">
      <protection locked="0"/>
    </xf>
    <xf numFmtId="6" fontId="140" fillId="68" borderId="121" xfId="0" applyNumberFormat="1" applyFont="1" applyFill="1" applyBorder="1" applyProtection="1">
      <protection locked="0"/>
    </xf>
    <xf numFmtId="9" fontId="59" fillId="48" borderId="0" xfId="0" applyNumberFormat="1" applyFont="1" applyFill="1" applyAlignment="1">
      <alignment horizontal="left"/>
    </xf>
    <xf numFmtId="0" fontId="161" fillId="48" borderId="0" xfId="0" applyFont="1" applyFill="1"/>
    <xf numFmtId="0" fontId="178" fillId="52" borderId="0" xfId="0" applyFont="1" applyFill="1" applyProtection="1">
      <protection locked="0"/>
    </xf>
    <xf numFmtId="6" fontId="178" fillId="52" borderId="0" xfId="0" applyNumberFormat="1" applyFont="1" applyFill="1" applyProtection="1">
      <protection locked="0"/>
    </xf>
    <xf numFmtId="0" fontId="9" fillId="0" borderId="1" xfId="0" applyFont="1" applyBorder="1"/>
    <xf numFmtId="0" fontId="161" fillId="0" borderId="2" xfId="0" applyFont="1" applyBorder="1"/>
    <xf numFmtId="0" fontId="9" fillId="0" borderId="2" xfId="0" applyFont="1" applyBorder="1"/>
    <xf numFmtId="0" fontId="179" fillId="52" borderId="0" xfId="0" applyFont="1" applyFill="1" applyProtection="1">
      <protection locked="0"/>
    </xf>
    <xf numFmtId="6" fontId="179" fillId="52" borderId="0" xfId="0" applyNumberFormat="1" applyFont="1" applyFill="1" applyProtection="1">
      <protection locked="0"/>
    </xf>
    <xf numFmtId="0" fontId="9" fillId="0" borderId="7" xfId="0" applyFont="1" applyBorder="1"/>
    <xf numFmtId="0" fontId="161" fillId="0" borderId="0" xfId="0" applyFont="1"/>
    <xf numFmtId="8" fontId="9" fillId="0" borderId="0" xfId="0" applyNumberFormat="1" applyFont="1"/>
    <xf numFmtId="180" fontId="9" fillId="0" borderId="0" xfId="0" applyNumberFormat="1" applyFont="1"/>
    <xf numFmtId="38" fontId="9" fillId="0" borderId="0" xfId="0" applyNumberFormat="1" applyFont="1"/>
    <xf numFmtId="0" fontId="178" fillId="52" borderId="5" xfId="0" applyFont="1" applyFill="1" applyBorder="1" applyProtection="1">
      <protection locked="0"/>
    </xf>
    <xf numFmtId="6" fontId="178" fillId="52" borderId="5" xfId="0" applyNumberFormat="1" applyFont="1" applyFill="1" applyBorder="1" applyProtection="1">
      <protection locked="0"/>
    </xf>
    <xf numFmtId="0" fontId="161" fillId="0" borderId="5" xfId="0" applyFont="1" applyBorder="1"/>
    <xf numFmtId="8" fontId="9" fillId="0" borderId="5" xfId="0" applyNumberFormat="1" applyFont="1" applyBorder="1"/>
    <xf numFmtId="180" fontId="9" fillId="0" borderId="5" xfId="0" applyNumberFormat="1" applyFont="1" applyBorder="1"/>
    <xf numFmtId="6" fontId="9" fillId="0" borderId="5" xfId="0" applyNumberFormat="1" applyFont="1" applyBorder="1"/>
    <xf numFmtId="0" fontId="140" fillId="52" borderId="3" xfId="0" applyFont="1" applyFill="1" applyBorder="1" applyProtection="1">
      <protection locked="0"/>
    </xf>
    <xf numFmtId="182" fontId="140" fillId="52" borderId="4" xfId="0" applyNumberFormat="1" applyFont="1" applyFill="1" applyBorder="1" applyProtection="1">
      <protection locked="0"/>
    </xf>
    <xf numFmtId="0" fontId="140" fillId="52" borderId="4" xfId="0" applyFont="1" applyFill="1" applyBorder="1" applyProtection="1">
      <protection locked="0"/>
    </xf>
    <xf numFmtId="6" fontId="140" fillId="52" borderId="4" xfId="0" applyNumberFormat="1" applyFont="1" applyFill="1" applyBorder="1" applyProtection="1">
      <protection locked="0"/>
    </xf>
    <xf numFmtId="6" fontId="140" fillId="52" borderId="8" xfId="0" applyNumberFormat="1" applyFont="1" applyFill="1" applyBorder="1" applyProtection="1">
      <protection locked="0"/>
    </xf>
    <xf numFmtId="182" fontId="145" fillId="0" borderId="0" xfId="0" applyNumberFormat="1" applyFont="1" applyProtection="1">
      <protection locked="0"/>
    </xf>
    <xf numFmtId="0" fontId="180" fillId="0" borderId="0" xfId="0" applyFont="1" applyProtection="1">
      <protection locked="0"/>
    </xf>
    <xf numFmtId="0" fontId="181" fillId="0" borderId="0" xfId="0" applyFont="1"/>
    <xf numFmtId="0" fontId="141" fillId="0" borderId="0" xfId="0" applyFont="1" applyAlignment="1" applyProtection="1">
      <alignment horizontal="right"/>
      <protection locked="0"/>
    </xf>
    <xf numFmtId="6" fontId="140" fillId="0" borderId="0" xfId="0" applyNumberFormat="1" applyFont="1" applyProtection="1">
      <protection locked="0"/>
    </xf>
    <xf numFmtId="0" fontId="2" fillId="0" borderId="1" xfId="0" applyFont="1" applyBorder="1"/>
    <xf numFmtId="0" fontId="151" fillId="0" borderId="2" xfId="0" applyFont="1" applyBorder="1"/>
    <xf numFmtId="0" fontId="2" fillId="0" borderId="2" xfId="0" applyFont="1" applyBorder="1"/>
    <xf numFmtId="0" fontId="140" fillId="0" borderId="119" xfId="0" applyFont="1" applyBorder="1" applyProtection="1">
      <protection locked="0"/>
    </xf>
    <xf numFmtId="0" fontId="140" fillId="0" borderId="120" xfId="0" applyFont="1" applyBorder="1" applyProtection="1">
      <protection locked="0"/>
    </xf>
    <xf numFmtId="6" fontId="140" fillId="0" borderId="121" xfId="0" applyNumberFormat="1" applyFont="1" applyBorder="1" applyProtection="1">
      <protection locked="0"/>
    </xf>
    <xf numFmtId="0" fontId="2" fillId="0" borderId="0" xfId="0" applyFont="1" applyAlignment="1">
      <alignment horizontal="right"/>
    </xf>
    <xf numFmtId="0" fontId="2" fillId="0" borderId="13" xfId="0" applyFont="1" applyBorder="1" applyAlignment="1">
      <alignment horizontal="right"/>
    </xf>
    <xf numFmtId="180" fontId="0" fillId="0" borderId="7" xfId="0" applyNumberFormat="1" applyBorder="1"/>
    <xf numFmtId="2" fontId="151" fillId="0" borderId="0" xfId="0" applyNumberFormat="1" applyFont="1"/>
    <xf numFmtId="8" fontId="0" fillId="0" borderId="7" xfId="0" applyNumberFormat="1" applyBorder="1"/>
    <xf numFmtId="8" fontId="0" fillId="0" borderId="13" xfId="0" applyNumberFormat="1" applyBorder="1"/>
    <xf numFmtId="180" fontId="151" fillId="0" borderId="0" xfId="0" applyNumberFormat="1" applyFont="1"/>
    <xf numFmtId="8" fontId="2" fillId="0" borderId="0" xfId="0" quotePrefix="1" applyNumberFormat="1" applyFont="1" applyAlignment="1">
      <alignment horizontal="center"/>
    </xf>
    <xf numFmtId="180" fontId="151" fillId="0" borderId="5" xfId="0" applyNumberFormat="1" applyFont="1" applyBorder="1"/>
    <xf numFmtId="8" fontId="0" fillId="0" borderId="5" xfId="0" applyNumberFormat="1" applyBorder="1"/>
    <xf numFmtId="8" fontId="0" fillId="0" borderId="9" xfId="0" applyNumberFormat="1" applyBorder="1"/>
    <xf numFmtId="8" fontId="0" fillId="0" borderId="10" xfId="0" applyNumberFormat="1" applyBorder="1"/>
    <xf numFmtId="180" fontId="161" fillId="0" borderId="0" xfId="0" applyNumberFormat="1" applyFont="1"/>
    <xf numFmtId="8" fontId="9" fillId="0" borderId="9" xfId="0" applyNumberFormat="1" applyFont="1" applyBorder="1"/>
    <xf numFmtId="8" fontId="9" fillId="0" borderId="10" xfId="0" applyNumberFormat="1" applyFont="1" applyBorder="1"/>
    <xf numFmtId="0" fontId="9" fillId="47" borderId="3" xfId="0" applyFont="1" applyFill="1" applyBorder="1"/>
    <xf numFmtId="6" fontId="9" fillId="47" borderId="8" xfId="0" applyNumberFormat="1" applyFont="1" applyFill="1" applyBorder="1"/>
    <xf numFmtId="6" fontId="134" fillId="62" borderId="12" xfId="0" applyNumberFormat="1" applyFont="1" applyFill="1" applyBorder="1" applyAlignment="1">
      <alignment horizontal="center" vertical="center" wrapText="1"/>
    </xf>
    <xf numFmtId="38" fontId="0" fillId="0" borderId="0" xfId="0" applyNumberFormat="1" applyProtection="1">
      <protection locked="0"/>
    </xf>
    <xf numFmtId="14" fontId="182" fillId="62" borderId="12" xfId="0" applyNumberFormat="1" applyFont="1" applyFill="1" applyBorder="1" applyAlignment="1">
      <alignment horizontal="center" vertical="center" wrapText="1"/>
    </xf>
    <xf numFmtId="14" fontId="182" fillId="63" borderId="12" xfId="0" applyNumberFormat="1" applyFont="1" applyFill="1" applyBorder="1" applyAlignment="1">
      <alignment horizontal="center" vertical="center" wrapText="1"/>
    </xf>
    <xf numFmtId="0" fontId="182" fillId="62" borderId="12" xfId="0" applyFont="1" applyFill="1" applyBorder="1" applyAlignment="1">
      <alignment horizontal="center" vertical="center" wrapText="1"/>
    </xf>
    <xf numFmtId="0" fontId="182" fillId="63" borderId="12" xfId="0" applyFont="1" applyFill="1" applyBorder="1" applyAlignment="1">
      <alignment horizontal="center" vertical="center" wrapText="1"/>
    </xf>
    <xf numFmtId="0" fontId="182" fillId="55" borderId="12" xfId="0" applyFont="1" applyFill="1" applyBorder="1" applyAlignment="1">
      <alignment horizontal="center" vertical="center" wrapText="1"/>
    </xf>
    <xf numFmtId="0" fontId="183" fillId="0" borderId="12" xfId="0" applyFont="1" applyBorder="1" applyAlignment="1">
      <alignment horizontal="center" vertical="center" wrapText="1"/>
    </xf>
    <xf numFmtId="0" fontId="134" fillId="0" borderId="0" xfId="571" applyFont="1" applyBorder="1"/>
    <xf numFmtId="0" fontId="134" fillId="0" borderId="0" xfId="0" applyFont="1" applyBorder="1"/>
    <xf numFmtId="0" fontId="142" fillId="0" borderId="0" xfId="0" applyFont="1" applyBorder="1"/>
    <xf numFmtId="164" fontId="185" fillId="0" borderId="81" xfId="0" applyNumberFormat="1" applyFont="1" applyBorder="1" applyAlignment="1">
      <alignment horizontal="center" vertical="center" wrapText="1"/>
    </xf>
    <xf numFmtId="3" fontId="106" fillId="52" borderId="91" xfId="0" applyNumberFormat="1" applyFont="1" applyFill="1" applyBorder="1" applyAlignment="1">
      <alignment horizontal="center" vertical="center" wrapText="1"/>
    </xf>
    <xf numFmtId="6" fontId="187" fillId="60" borderId="91" xfId="0" applyNumberFormat="1" applyFont="1" applyFill="1" applyBorder="1" applyAlignment="1">
      <alignment horizontal="center" vertical="center" wrapText="1"/>
    </xf>
    <xf numFmtId="6" fontId="185" fillId="0" borderId="81" xfId="0" applyNumberFormat="1" applyFont="1" applyBorder="1" applyAlignment="1">
      <alignment horizontal="center" vertical="center" wrapText="1"/>
    </xf>
    <xf numFmtId="6" fontId="186" fillId="0" borderId="84" xfId="0" applyNumberFormat="1" applyFont="1" applyBorder="1" applyAlignment="1">
      <alignment horizontal="center" vertical="center" wrapText="1"/>
    </xf>
    <xf numFmtId="6" fontId="186" fillId="0" borderId="61" xfId="0" applyNumberFormat="1" applyFont="1" applyBorder="1" applyAlignment="1">
      <alignment horizontal="center" vertical="center" wrapText="1"/>
    </xf>
    <xf numFmtId="6" fontId="187" fillId="50" borderId="81" xfId="0" applyNumberFormat="1" applyFont="1" applyFill="1" applyBorder="1" applyAlignment="1">
      <alignment horizontal="center" vertical="center" wrapText="1"/>
    </xf>
    <xf numFmtId="6" fontId="186" fillId="0" borderId="89" xfId="0" applyNumberFormat="1" applyFont="1" applyBorder="1" applyAlignment="1">
      <alignment horizontal="center" vertical="center" wrapText="1"/>
    </xf>
    <xf numFmtId="6" fontId="187" fillId="52" borderId="91" xfId="0" applyNumberFormat="1" applyFont="1" applyFill="1" applyBorder="1" applyAlignment="1">
      <alignment horizontal="center" vertical="center" wrapText="1"/>
    </xf>
    <xf numFmtId="6" fontId="188" fillId="0" borderId="81" xfId="0" applyNumberFormat="1" applyFont="1" applyBorder="1" applyAlignment="1">
      <alignment horizontal="center" vertical="center" wrapText="1"/>
    </xf>
    <xf numFmtId="6" fontId="188" fillId="0" borderId="2" xfId="0" applyNumberFormat="1" applyFont="1" applyBorder="1" applyAlignment="1">
      <alignment horizontal="center" vertical="center" wrapText="1"/>
    </xf>
    <xf numFmtId="6" fontId="186" fillId="0" borderId="0" xfId="0" applyNumberFormat="1" applyFont="1" applyAlignment="1">
      <alignment horizontal="center"/>
    </xf>
    <xf numFmtId="6" fontId="186" fillId="0" borderId="94" xfId="0" applyNumberFormat="1" applyFont="1" applyBorder="1" applyAlignment="1">
      <alignment horizontal="center"/>
    </xf>
    <xf numFmtId="0" fontId="186" fillId="0" borderId="0" xfId="0" applyFont="1" applyAlignment="1">
      <alignment horizontal="center"/>
    </xf>
    <xf numFmtId="3" fontId="134" fillId="0" borderId="81" xfId="0" applyNumberFormat="1" applyFont="1" applyBorder="1" applyAlignment="1">
      <alignment horizontal="center" vertical="center" wrapText="1"/>
    </xf>
    <xf numFmtId="180" fontId="189" fillId="62" borderId="0" xfId="0" applyNumberFormat="1" applyFont="1" applyFill="1" applyAlignment="1">
      <alignment horizontal="left" vertical="center"/>
    </xf>
    <xf numFmtId="180" fontId="190" fillId="62" borderId="0" xfId="0" applyNumberFormat="1" applyFont="1" applyFill="1" applyAlignment="1">
      <alignment horizontal="left" vertical="center"/>
    </xf>
    <xf numFmtId="0" fontId="2" fillId="0" borderId="0" xfId="0" applyFont="1" applyAlignment="1">
      <alignment wrapText="1"/>
    </xf>
    <xf numFmtId="0" fontId="2" fillId="0" borderId="12" xfId="0" applyFont="1" applyBorder="1" applyAlignment="1">
      <alignment wrapText="1"/>
    </xf>
    <xf numFmtId="0" fontId="2" fillId="55" borderId="12" xfId="0" applyFont="1" applyFill="1" applyBorder="1" applyAlignment="1">
      <alignment wrapText="1"/>
    </xf>
    <xf numFmtId="6" fontId="2" fillId="55" borderId="12" xfId="0" applyNumberFormat="1" applyFont="1" applyFill="1" applyBorder="1" applyAlignment="1">
      <alignment wrapText="1"/>
    </xf>
    <xf numFmtId="0" fontId="152" fillId="69" borderId="0" xfId="0" applyFont="1" applyFill="1" applyProtection="1">
      <protection locked="0"/>
    </xf>
    <xf numFmtId="0" fontId="192" fillId="62" borderId="0" xfId="0" applyFont="1" applyFill="1" applyProtection="1">
      <protection locked="0"/>
    </xf>
    <xf numFmtId="6" fontId="192" fillId="62" borderId="0" xfId="0" applyNumberFormat="1" applyFont="1" applyFill="1" applyProtection="1">
      <protection locked="0"/>
    </xf>
    <xf numFmtId="6" fontId="10" fillId="0" borderId="0" xfId="0" applyNumberFormat="1" applyFont="1" applyAlignment="1">
      <alignment wrapText="1"/>
    </xf>
    <xf numFmtId="0" fontId="0" fillId="0" borderId="66" xfId="0" applyBorder="1"/>
    <xf numFmtId="0" fontId="0" fillId="0" borderId="66" xfId="0" applyBorder="1" applyProtection="1">
      <protection locked="0"/>
    </xf>
    <xf numFmtId="0" fontId="0" fillId="0" borderId="0" xfId="0" applyBorder="1" applyProtection="1">
      <protection locked="0"/>
    </xf>
    <xf numFmtId="0" fontId="0" fillId="0" borderId="0" xfId="0" applyBorder="1" applyAlignment="1" applyProtection="1">
      <alignment horizontal="right"/>
      <protection locked="0"/>
    </xf>
    <xf numFmtId="0" fontId="147" fillId="0" borderId="0" xfId="0" applyFont="1" applyBorder="1" applyAlignment="1">
      <alignment horizontal="right"/>
    </xf>
    <xf numFmtId="0" fontId="147" fillId="0" borderId="0" xfId="0" applyFont="1" applyBorder="1"/>
    <xf numFmtId="6" fontId="0" fillId="0" borderId="0" xfId="0" applyNumberFormat="1" applyBorder="1" applyProtection="1">
      <protection locked="0"/>
    </xf>
    <xf numFmtId="0" fontId="151" fillId="0" borderId="0" xfId="0" applyFont="1" applyBorder="1"/>
    <xf numFmtId="0" fontId="151" fillId="0" borderId="0" xfId="0" applyFont="1" applyBorder="1" applyAlignment="1">
      <alignment horizontal="right"/>
    </xf>
    <xf numFmtId="187" fontId="151" fillId="0" borderId="0" xfId="0" applyNumberFormat="1" applyFont="1" applyBorder="1"/>
    <xf numFmtId="6" fontId="151" fillId="0" borderId="0" xfId="0" applyNumberFormat="1" applyFont="1" applyBorder="1"/>
    <xf numFmtId="187" fontId="0" fillId="0" borderId="0" xfId="0" applyNumberFormat="1" applyBorder="1"/>
    <xf numFmtId="188" fontId="0" fillId="0" borderId="0" xfId="0" applyNumberFormat="1" applyBorder="1"/>
    <xf numFmtId="0" fontId="107" fillId="0" borderId="0" xfId="0" applyFont="1" applyBorder="1"/>
    <xf numFmtId="189" fontId="106" fillId="61" borderId="2" xfId="573" applyNumberFormat="1" applyFont="1" applyFill="1" applyBorder="1" applyProtection="1">
      <protection locked="0"/>
    </xf>
    <xf numFmtId="0" fontId="2" fillId="0" borderId="68" xfId="0" applyFont="1" applyBorder="1"/>
    <xf numFmtId="5" fontId="146" fillId="63" borderId="0" xfId="0" applyNumberFormat="1" applyFont="1" applyFill="1"/>
    <xf numFmtId="0" fontId="2" fillId="68" borderId="68" xfId="0" applyFont="1" applyFill="1" applyBorder="1"/>
    <xf numFmtId="0" fontId="0" fillId="68" borderId="0" xfId="0" applyFill="1"/>
    <xf numFmtId="14" fontId="136" fillId="68" borderId="69" xfId="0" applyNumberFormat="1" applyFont="1" applyFill="1" applyBorder="1"/>
    <xf numFmtId="0" fontId="0" fillId="68" borderId="68" xfId="0" applyFill="1" applyBorder="1"/>
    <xf numFmtId="14" fontId="136" fillId="68" borderId="0" xfId="0" applyNumberFormat="1" applyFont="1" applyFill="1"/>
    <xf numFmtId="5" fontId="0" fillId="68" borderId="0" xfId="0" applyNumberFormat="1" applyFill="1"/>
    <xf numFmtId="5" fontId="147" fillId="68" borderId="0" xfId="0" applyNumberFormat="1" applyFont="1" applyFill="1"/>
    <xf numFmtId="5" fontId="164" fillId="68" borderId="0" xfId="0" applyNumberFormat="1" applyFont="1" applyFill="1"/>
    <xf numFmtId="5" fontId="146" fillId="68" borderId="0" xfId="0" applyNumberFormat="1" applyFont="1" applyFill="1"/>
    <xf numFmtId="6" fontId="0" fillId="68" borderId="0" xfId="0" applyNumberFormat="1" applyFill="1"/>
    <xf numFmtId="6" fontId="0" fillId="68" borderId="80" xfId="0" applyNumberFormat="1" applyFill="1" applyBorder="1"/>
    <xf numFmtId="0" fontId="2" fillId="46" borderId="0" xfId="0" applyFont="1" applyFill="1" applyProtection="1">
      <protection locked="0"/>
    </xf>
    <xf numFmtId="0" fontId="0" fillId="46" borderId="0" xfId="0" applyFill="1" applyProtection="1">
      <protection locked="0"/>
    </xf>
    <xf numFmtId="179" fontId="0" fillId="46" borderId="0" xfId="164" applyNumberFormat="1" applyFont="1" applyFill="1" applyProtection="1">
      <protection locked="0"/>
    </xf>
    <xf numFmtId="0" fontId="9" fillId="53" borderId="4" xfId="0" applyFont="1" applyFill="1" applyBorder="1" applyProtection="1">
      <protection locked="0"/>
    </xf>
    <xf numFmtId="0" fontId="9" fillId="53" borderId="4" xfId="0" applyFont="1" applyFill="1" applyBorder="1"/>
    <xf numFmtId="6" fontId="9" fillId="53" borderId="8" xfId="0" applyNumberFormat="1" applyFont="1" applyFill="1" applyBorder="1" applyProtection="1">
      <protection locked="0"/>
    </xf>
    <xf numFmtId="0" fontId="192" fillId="53" borderId="0" xfId="0" applyFont="1" applyFill="1" applyProtection="1">
      <protection locked="0"/>
    </xf>
    <xf numFmtId="6" fontId="192" fillId="53" borderId="0" xfId="0" applyNumberFormat="1" applyFont="1" applyFill="1" applyProtection="1">
      <protection locked="0"/>
    </xf>
    <xf numFmtId="6" fontId="160" fillId="68" borderId="12" xfId="0" applyNumberFormat="1" applyFont="1" applyFill="1" applyBorder="1"/>
    <xf numFmtId="6" fontId="0" fillId="68" borderId="12" xfId="0" applyNumberFormat="1" applyFill="1" applyBorder="1"/>
    <xf numFmtId="0" fontId="184" fillId="63" borderId="12" xfId="0" applyFont="1" applyFill="1" applyBorder="1" applyAlignment="1">
      <alignment horizontal="center" vertical="center" wrapText="1"/>
    </xf>
    <xf numFmtId="6" fontId="0" fillId="63" borderId="12" xfId="0" applyNumberFormat="1" applyFill="1" applyBorder="1"/>
    <xf numFmtId="6" fontId="0" fillId="68" borderId="68" xfId="0" applyNumberFormat="1" applyFill="1" applyBorder="1"/>
    <xf numFmtId="6" fontId="146" fillId="68" borderId="0" xfId="0" applyNumberFormat="1" applyFont="1" applyFill="1"/>
    <xf numFmtId="6" fontId="0" fillId="68" borderId="69" xfId="0" applyNumberFormat="1" applyFill="1" applyBorder="1"/>
    <xf numFmtId="5" fontId="0" fillId="68" borderId="80" xfId="0" applyNumberFormat="1" applyFill="1" applyBorder="1"/>
    <xf numFmtId="165" fontId="0" fillId="0" borderId="0" xfId="0" applyNumberFormat="1" applyProtection="1">
      <protection locked="0"/>
    </xf>
    <xf numFmtId="165" fontId="21" fillId="0" borderId="0" xfId="573" applyNumberFormat="1" applyFont="1" applyAlignment="1">
      <alignment horizontal="center" vertical="center" wrapText="1"/>
    </xf>
    <xf numFmtId="0" fontId="21" fillId="0" borderId="0" xfId="0" applyFont="1" applyAlignment="1">
      <alignment vertical="center" wrapText="1"/>
    </xf>
    <xf numFmtId="0" fontId="21" fillId="48" borderId="66" xfId="0" applyFont="1" applyFill="1" applyBorder="1" applyAlignment="1" applyProtection="1">
      <alignment horizontal="center"/>
      <protection locked="0"/>
    </xf>
    <xf numFmtId="0" fontId="21" fillId="48" borderId="67" xfId="0" applyFont="1" applyFill="1" applyBorder="1" applyAlignment="1" applyProtection="1">
      <alignment horizontal="center"/>
      <protection locked="0"/>
    </xf>
    <xf numFmtId="0" fontId="2" fillId="0" borderId="5" xfId="0" applyFont="1" applyBorder="1" applyAlignment="1">
      <alignment wrapText="1"/>
    </xf>
    <xf numFmtId="38" fontId="151" fillId="0" borderId="0" xfId="0" applyNumberFormat="1" applyFont="1"/>
    <xf numFmtId="169" fontId="0" fillId="0" borderId="0" xfId="0" applyNumberFormat="1"/>
    <xf numFmtId="0" fontId="141" fillId="0" borderId="0" xfId="0" applyFont="1" applyAlignment="1" applyProtection="1">
      <protection locked="0"/>
    </xf>
    <xf numFmtId="0" fontId="2" fillId="0" borderId="13" xfId="0" applyFont="1" applyBorder="1"/>
    <xf numFmtId="0" fontId="2" fillId="0" borderId="10" xfId="0" applyFont="1" applyBorder="1"/>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2"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67" fontId="2"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9" fillId="0" borderId="12" xfId="0" applyFont="1" applyBorder="1" applyAlignment="1" applyProtection="1">
      <alignment horizontal="righ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8" fillId="5" borderId="0" xfId="0" applyFont="1" applyFill="1" applyBorder="1" applyAlignment="1" applyProtection="1">
      <alignment horizontal="center" vertic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169" fontId="2"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2"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9" fillId="0" borderId="12" xfId="0" applyFont="1" applyFill="1" applyBorder="1" applyAlignment="1" applyProtection="1">
      <alignment horizontal="center"/>
    </xf>
    <xf numFmtId="0" fontId="11" fillId="7" borderId="5" xfId="0" applyFont="1" applyFill="1" applyBorder="1" applyAlignment="1" applyProtection="1">
      <alignment horizontal="left" wrapText="1"/>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0" fontId="11"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 fillId="7" borderId="4" xfId="0" applyFont="1" applyFill="1" applyBorder="1" applyAlignment="1" applyProtection="1">
      <alignment horizontal="left"/>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 fillId="0" borderId="4" xfId="0" applyFont="1" applyFill="1" applyBorder="1" applyAlignment="1" applyProtection="1">
      <alignment horizontal="left"/>
      <protection locked="0"/>
    </xf>
    <xf numFmtId="0" fontId="11" fillId="0" borderId="4" xfId="0" applyFont="1" applyFill="1" applyBorder="1" applyAlignment="1" applyProtection="1">
      <alignment horizontal="left"/>
      <protection locked="0"/>
    </xf>
    <xf numFmtId="0" fontId="2" fillId="7" borderId="5" xfId="0" applyFont="1" applyFill="1" applyBorder="1" applyAlignment="1" applyProtection="1">
      <alignment horizontal="left" wrapText="1"/>
      <protection locked="0"/>
    </xf>
    <xf numFmtId="0" fontId="11" fillId="0" borderId="5" xfId="0" applyFont="1" applyBorder="1" applyAlignment="1" applyProtection="1">
      <alignment horizontal="left"/>
    </xf>
    <xf numFmtId="0" fontId="0" fillId="0" borderId="5" xfId="0" applyFill="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2" fillId="7" borderId="5"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1"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11" fillId="0" borderId="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7" borderId="3" xfId="0" applyFont="1" applyFill="1" applyBorder="1" applyAlignment="1" applyProtection="1">
      <alignment horizontal="left"/>
      <protection locked="0"/>
    </xf>
    <xf numFmtId="0" fontId="11" fillId="0" borderId="12" xfId="0" applyFont="1" applyFill="1" applyBorder="1" applyAlignment="1" applyProtection="1">
      <alignment horizontal="center" vertical="top" wrapText="1"/>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0" fontId="11"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2" fillId="7" borderId="3" xfId="0" applyFont="1" applyFill="1" applyBorder="1" applyAlignment="1" applyProtection="1">
      <alignment horizontal="left"/>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9" fontId="10" fillId="7" borderId="5" xfId="0" applyNumberFormat="1"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2"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1" fillId="7" borderId="12" xfId="0" applyFont="1" applyFill="1" applyBorder="1" applyAlignment="1" applyProtection="1">
      <alignment horizontal="center"/>
      <protection locked="0"/>
    </xf>
    <xf numFmtId="0" fontId="0" fillId="0" borderId="0" xfId="0"/>
    <xf numFmtId="0" fontId="0" fillId="0" borderId="6" xfId="0" applyBorder="1"/>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2" fillId="7" borderId="4" xfId="0" quotePrefix="1" applyFont="1" applyFill="1" applyBorder="1" applyAlignment="1" applyProtection="1">
      <alignment horizontal="left"/>
      <protection locked="0"/>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0" borderId="4" xfId="0" applyFont="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3"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3" fillId="0" borderId="0" xfId="245" applyFill="1" applyAlignment="1" applyProtection="1">
      <alignment horizontal="left"/>
      <protection locked="0"/>
    </xf>
    <xf numFmtId="0" fontId="11" fillId="0" borderId="7"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7" borderId="3" xfId="0" applyFont="1" applyFill="1" applyBorder="1" applyAlignment="1" applyProtection="1">
      <alignment horizontal="center"/>
      <protection locked="0"/>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0" fontId="176" fillId="62" borderId="0" xfId="0" applyFont="1" applyFill="1" applyAlignment="1">
      <alignment horizontal="center" vertical="center" wrapText="1"/>
    </xf>
    <xf numFmtId="0" fontId="142" fillId="62" borderId="1" xfId="0" applyFont="1" applyFill="1" applyBorder="1" applyAlignment="1">
      <alignment horizontal="left" vertical="center" wrapText="1"/>
    </xf>
    <xf numFmtId="0" fontId="142" fillId="62" borderId="2" xfId="0" applyFont="1" applyFill="1" applyBorder="1" applyAlignment="1">
      <alignment horizontal="left" vertical="center" wrapText="1"/>
    </xf>
    <xf numFmtId="6" fontId="134" fillId="62" borderId="4" xfId="0" applyNumberFormat="1" applyFont="1" applyFill="1" applyBorder="1" applyAlignment="1">
      <alignment horizontal="center" vertical="center"/>
    </xf>
    <xf numFmtId="6" fontId="134" fillId="62" borderId="8" xfId="0" applyNumberFormat="1" applyFont="1" applyFill="1" applyBorder="1" applyAlignment="1">
      <alignment horizontal="center" vertical="center"/>
    </xf>
    <xf numFmtId="0" fontId="26"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4"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99ADA69D-ED86-4D8E-BC87-ABE6E08822E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workbookViewId="0">
      <selection sqref="A1:AL2"/>
    </sheetView>
  </sheetViews>
  <sheetFormatPr defaultColWidth="0" defaultRowHeight="12.75" zeroHeight="1"/>
  <cols>
    <col min="1" max="38" width="2.42578125" customWidth="1"/>
    <col min="39" max="16384" width="8.85546875" style="284" hidden="1"/>
  </cols>
  <sheetData>
    <row r="1" spans="1:38">
      <c r="A1" s="2167" t="s">
        <v>2197</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8"/>
    </row>
    <row r="2" spans="1:38"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7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2171" t="s">
        <v>2202</v>
      </c>
      <c r="E7" s="2171"/>
      <c r="F7" s="2171"/>
      <c r="G7" s="2171"/>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1"/>
    </row>
    <row r="8" spans="1:38">
      <c r="A8" s="295"/>
      <c r="B8" s="1"/>
      <c r="C8" s="376"/>
      <c r="D8" s="2171"/>
      <c r="E8" s="2171"/>
      <c r="F8" s="2171"/>
      <c r="G8" s="2171"/>
      <c r="H8" s="2171"/>
      <c r="I8" s="2171"/>
      <c r="J8" s="2171"/>
      <c r="K8" s="2171"/>
      <c r="L8" s="2171"/>
      <c r="M8" s="2171"/>
      <c r="N8" s="2171"/>
      <c r="O8" s="2171"/>
      <c r="P8" s="2171"/>
      <c r="Q8" s="2171"/>
      <c r="R8" s="2171"/>
      <c r="S8" s="2171"/>
      <c r="T8" s="2171"/>
      <c r="U8" s="2171"/>
      <c r="V8" s="2171"/>
      <c r="W8" s="2171"/>
      <c r="X8" s="2171"/>
      <c r="Y8" s="2171"/>
      <c r="Z8" s="2171"/>
      <c r="AA8" s="2171"/>
      <c r="AB8" s="2171"/>
      <c r="AC8" s="2171"/>
      <c r="AD8" s="2171"/>
      <c r="AE8" s="2171"/>
      <c r="AF8" s="2171"/>
      <c r="AG8" s="2171"/>
      <c r="AH8" s="2171"/>
      <c r="AI8" s="2171"/>
      <c r="AJ8" s="2171"/>
      <c r="AK8" s="2171"/>
      <c r="AL8" s="1"/>
    </row>
    <row r="9" spans="1:38">
      <c r="A9" s="295"/>
      <c r="B9" s="1"/>
      <c r="C9" s="376"/>
      <c r="D9" s="2171"/>
      <c r="E9" s="2171"/>
      <c r="F9" s="2171"/>
      <c r="G9" s="2171"/>
      <c r="H9" s="2171"/>
      <c r="I9" s="2171"/>
      <c r="J9" s="2171"/>
      <c r="K9" s="2171"/>
      <c r="L9" s="2171"/>
      <c r="M9" s="2171"/>
      <c r="N9" s="2171"/>
      <c r="O9" s="2171"/>
      <c r="P9" s="2171"/>
      <c r="Q9" s="2171"/>
      <c r="R9" s="2171"/>
      <c r="S9" s="2171"/>
      <c r="T9" s="2171"/>
      <c r="U9" s="2171"/>
      <c r="V9" s="2171"/>
      <c r="W9" s="2171"/>
      <c r="X9" s="2171"/>
      <c r="Y9" s="2171"/>
      <c r="Z9" s="2171"/>
      <c r="AA9" s="2171"/>
      <c r="AB9" s="2171"/>
      <c r="AC9" s="2171"/>
      <c r="AD9" s="2171"/>
      <c r="AE9" s="2171"/>
      <c r="AF9" s="2171"/>
      <c r="AG9" s="2171"/>
      <c r="AH9" s="2171"/>
      <c r="AI9" s="2171"/>
      <c r="AJ9" s="2171"/>
      <c r="AK9" s="2171"/>
      <c r="AL9" s="1"/>
    </row>
    <row r="10" spans="1:38">
      <c r="A10" s="295"/>
      <c r="B10" s="1"/>
      <c r="C10" s="376"/>
      <c r="D10" s="2171"/>
      <c r="E10" s="2171"/>
      <c r="F10" s="2171"/>
      <c r="G10" s="2171"/>
      <c r="H10" s="2171"/>
      <c r="I10" s="2171"/>
      <c r="J10" s="2171"/>
      <c r="K10" s="2171"/>
      <c r="L10" s="2171"/>
      <c r="M10" s="2171"/>
      <c r="N10" s="2171"/>
      <c r="O10" s="2171"/>
      <c r="P10" s="2171"/>
      <c r="Q10" s="2171"/>
      <c r="R10" s="2171"/>
      <c r="S10" s="2171"/>
      <c r="T10" s="2171"/>
      <c r="U10" s="2171"/>
      <c r="V10" s="2171"/>
      <c r="W10" s="2171"/>
      <c r="X10" s="2171"/>
      <c r="Y10" s="2171"/>
      <c r="Z10" s="2171"/>
      <c r="AA10" s="2171"/>
      <c r="AB10" s="2171"/>
      <c r="AC10" s="2171"/>
      <c r="AD10" s="2171"/>
      <c r="AE10" s="2171"/>
      <c r="AF10" s="2171"/>
      <c r="AG10" s="2171"/>
      <c r="AH10" s="2171"/>
      <c r="AI10" s="2171"/>
      <c r="AJ10" s="2171"/>
      <c r="AK10" s="2171"/>
      <c r="AL10" s="1"/>
    </row>
    <row r="11" spans="1:38">
      <c r="A11" s="295"/>
      <c r="B11" s="1"/>
      <c r="C11" s="376"/>
      <c r="D11" s="2171"/>
      <c r="E11" s="2171"/>
      <c r="F11" s="2171"/>
      <c r="G11" s="2171"/>
      <c r="H11" s="2171"/>
      <c r="I11" s="2171"/>
      <c r="J11" s="2171"/>
      <c r="K11" s="2171"/>
      <c r="L11" s="2171"/>
      <c r="M11" s="2171"/>
      <c r="N11" s="2171"/>
      <c r="O11" s="2171"/>
      <c r="P11" s="2171"/>
      <c r="Q11" s="2171"/>
      <c r="R11" s="2171"/>
      <c r="S11" s="2171"/>
      <c r="T11" s="2171"/>
      <c r="U11" s="2171"/>
      <c r="V11" s="2171"/>
      <c r="W11" s="2171"/>
      <c r="X11" s="2171"/>
      <c r="Y11" s="2171"/>
      <c r="Z11" s="2171"/>
      <c r="AA11" s="2171"/>
      <c r="AB11" s="2171"/>
      <c r="AC11" s="2171"/>
      <c r="AD11" s="2171"/>
      <c r="AE11" s="2171"/>
      <c r="AF11" s="2171"/>
      <c r="AG11" s="2171"/>
      <c r="AH11" s="2171"/>
      <c r="AI11" s="2171"/>
      <c r="AJ11" s="2171"/>
      <c r="AK11" s="2171"/>
      <c r="AL11" s="1"/>
    </row>
    <row r="12" spans="1:38">
      <c r="A12" s="295"/>
      <c r="B12" s="1"/>
      <c r="C12" s="376"/>
      <c r="D12" s="2171"/>
      <c r="E12" s="2171"/>
      <c r="F12" s="2171"/>
      <c r="G12" s="2171"/>
      <c r="H12" s="2171"/>
      <c r="I12" s="2171"/>
      <c r="J12" s="2171"/>
      <c r="K12" s="2171"/>
      <c r="L12" s="2171"/>
      <c r="M12" s="2171"/>
      <c r="N12" s="2171"/>
      <c r="O12" s="2171"/>
      <c r="P12" s="2171"/>
      <c r="Q12" s="2171"/>
      <c r="R12" s="2171"/>
      <c r="S12" s="2171"/>
      <c r="T12" s="2171"/>
      <c r="U12" s="2171"/>
      <c r="V12" s="2171"/>
      <c r="W12" s="2171"/>
      <c r="X12" s="2171"/>
      <c r="Y12" s="2171"/>
      <c r="Z12" s="2171"/>
      <c r="AA12" s="2171"/>
      <c r="AB12" s="2171"/>
      <c r="AC12" s="2171"/>
      <c r="AD12" s="2171"/>
      <c r="AE12" s="2171"/>
      <c r="AF12" s="2171"/>
      <c r="AG12" s="2171"/>
      <c r="AH12" s="2171"/>
      <c r="AI12" s="2171"/>
      <c r="AJ12" s="2171"/>
      <c r="AK12" s="2171"/>
      <c r="AL12" s="1"/>
    </row>
    <row r="13" spans="1:38">
      <c r="A13" s="295"/>
      <c r="B13" s="1"/>
      <c r="C13" s="376"/>
      <c r="D13" s="2171"/>
      <c r="E13" s="2171"/>
      <c r="F13" s="2171"/>
      <c r="G13" s="2171"/>
      <c r="H13" s="2171"/>
      <c r="I13" s="2171"/>
      <c r="J13" s="2171"/>
      <c r="K13" s="2171"/>
      <c r="L13" s="2171"/>
      <c r="M13" s="2171"/>
      <c r="N13" s="2171"/>
      <c r="O13" s="2171"/>
      <c r="P13" s="2171"/>
      <c r="Q13" s="2171"/>
      <c r="R13" s="2171"/>
      <c r="S13" s="2171"/>
      <c r="T13" s="2171"/>
      <c r="U13" s="2171"/>
      <c r="V13" s="2171"/>
      <c r="W13" s="2171"/>
      <c r="X13" s="2171"/>
      <c r="Y13" s="2171"/>
      <c r="Z13" s="2171"/>
      <c r="AA13" s="2171"/>
      <c r="AB13" s="2171"/>
      <c r="AC13" s="2171"/>
      <c r="AD13" s="2171"/>
      <c r="AE13" s="2171"/>
      <c r="AF13" s="2171"/>
      <c r="AG13" s="2171"/>
      <c r="AH13" s="2171"/>
      <c r="AI13" s="2171"/>
      <c r="AJ13" s="2171"/>
      <c r="AK13" s="2171"/>
      <c r="AL13" s="1"/>
    </row>
    <row r="14" spans="1:38">
      <c r="A14" s="295"/>
      <c r="B14" s="1"/>
      <c r="C14" s="376"/>
      <c r="D14" s="2171"/>
      <c r="E14" s="2171"/>
      <c r="F14" s="2171"/>
      <c r="G14" s="2171"/>
      <c r="H14" s="2171"/>
      <c r="I14" s="2171"/>
      <c r="J14" s="2171"/>
      <c r="K14" s="2171"/>
      <c r="L14" s="2171"/>
      <c r="M14" s="2171"/>
      <c r="N14" s="2171"/>
      <c r="O14" s="2171"/>
      <c r="P14" s="2171"/>
      <c r="Q14" s="2171"/>
      <c r="R14" s="2171"/>
      <c r="S14" s="2171"/>
      <c r="T14" s="2171"/>
      <c r="U14" s="2171"/>
      <c r="V14" s="2171"/>
      <c r="W14" s="2171"/>
      <c r="X14" s="2171"/>
      <c r="Y14" s="2171"/>
      <c r="Z14" s="2171"/>
      <c r="AA14" s="2171"/>
      <c r="AB14" s="2171"/>
      <c r="AC14" s="2171"/>
      <c r="AD14" s="2171"/>
      <c r="AE14" s="2171"/>
      <c r="AF14" s="2171"/>
      <c r="AG14" s="2171"/>
      <c r="AH14" s="2171"/>
      <c r="AI14" s="2171"/>
      <c r="AJ14" s="2171"/>
      <c r="AK14" s="2171"/>
      <c r="AL14" s="1"/>
    </row>
    <row r="15" spans="1:38">
      <c r="A15" s="295"/>
      <c r="B15" s="1"/>
      <c r="C15" s="376"/>
      <c r="D15" s="2171"/>
      <c r="E15" s="2171"/>
      <c r="F15" s="2171"/>
      <c r="G15" s="2171"/>
      <c r="H15" s="2171"/>
      <c r="I15" s="2171"/>
      <c r="J15" s="2171"/>
      <c r="K15" s="2171"/>
      <c r="L15" s="2171"/>
      <c r="M15" s="2171"/>
      <c r="N15" s="2171"/>
      <c r="O15" s="2171"/>
      <c r="P15" s="2171"/>
      <c r="Q15" s="2171"/>
      <c r="R15" s="2171"/>
      <c r="S15" s="2171"/>
      <c r="T15" s="2171"/>
      <c r="U15" s="2171"/>
      <c r="V15" s="2171"/>
      <c r="W15" s="2171"/>
      <c r="X15" s="2171"/>
      <c r="Y15" s="2171"/>
      <c r="Z15" s="2171"/>
      <c r="AA15" s="2171"/>
      <c r="AB15" s="2171"/>
      <c r="AC15" s="2171"/>
      <c r="AD15" s="2171"/>
      <c r="AE15" s="2171"/>
      <c r="AF15" s="2171"/>
      <c r="AG15" s="2171"/>
      <c r="AH15" s="2171"/>
      <c r="AI15" s="2171"/>
      <c r="AJ15" s="2171"/>
      <c r="AK15" s="2171"/>
      <c r="AL15" s="1"/>
    </row>
    <row r="16" spans="1:38">
      <c r="A16" s="295"/>
      <c r="B16" s="1"/>
      <c r="C16" s="376"/>
      <c r="D16" s="2171"/>
      <c r="E16" s="2171"/>
      <c r="F16" s="2171"/>
      <c r="G16" s="2171"/>
      <c r="H16" s="2171"/>
      <c r="I16" s="2171"/>
      <c r="J16" s="2171"/>
      <c r="K16" s="2171"/>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c r="AH16" s="2171"/>
      <c r="AI16" s="2171"/>
      <c r="AJ16" s="2171"/>
      <c r="AK16" s="2171"/>
      <c r="AL16" s="1"/>
    </row>
    <row r="17" spans="1:38">
      <c r="A17" s="295"/>
      <c r="B17" s="1"/>
      <c r="C17" s="376"/>
      <c r="D17" s="2171"/>
      <c r="E17" s="2171"/>
      <c r="F17" s="2171"/>
      <c r="G17" s="2171"/>
      <c r="H17" s="2171"/>
      <c r="I17" s="2171"/>
      <c r="J17" s="2171"/>
      <c r="K17" s="2171"/>
      <c r="L17" s="2171"/>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1"/>
    </row>
    <row r="18" spans="1:38" ht="11.1" customHeight="1">
      <c r="A18" s="295"/>
      <c r="B18" s="1"/>
      <c r="C18" s="376"/>
      <c r="D18" s="2171"/>
      <c r="E18" s="2171"/>
      <c r="F18" s="2171"/>
      <c r="G18" s="2171"/>
      <c r="H18" s="2171"/>
      <c r="I18" s="2171"/>
      <c r="J18" s="2171"/>
      <c r="K18" s="2171"/>
      <c r="L18" s="2171"/>
      <c r="M18" s="2171"/>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1"/>
    </row>
    <row r="19" spans="1:38" ht="13.7" customHeight="1">
      <c r="A19" s="295"/>
      <c r="B19" s="1"/>
      <c r="C19" s="376"/>
      <c r="D19" s="2171" t="s">
        <v>2012</v>
      </c>
      <c r="E19" s="2171"/>
      <c r="F19" s="2171"/>
      <c r="G19" s="2171"/>
      <c r="H19" s="2171"/>
      <c r="I19" s="2171"/>
      <c r="J19" s="2171"/>
      <c r="K19" s="2171"/>
      <c r="L19" s="2171"/>
      <c r="M19" s="2171"/>
      <c r="N19" s="2171"/>
      <c r="O19" s="2171"/>
      <c r="P19" s="2171"/>
      <c r="Q19" s="2171"/>
      <c r="R19" s="2171"/>
      <c r="S19" s="2171"/>
      <c r="T19" s="2171"/>
      <c r="U19" s="2171"/>
      <c r="V19" s="2171"/>
      <c r="W19" s="2171"/>
      <c r="X19" s="2171"/>
      <c r="Y19" s="2171"/>
      <c r="Z19" s="2171"/>
      <c r="AA19" s="2171"/>
      <c r="AB19" s="2171"/>
      <c r="AC19" s="2171"/>
      <c r="AD19" s="2171"/>
      <c r="AE19" s="2171"/>
      <c r="AF19" s="2171"/>
      <c r="AG19" s="2171"/>
      <c r="AH19" s="2171"/>
      <c r="AI19" s="2171"/>
      <c r="AJ19" s="2171"/>
      <c r="AK19" s="2171"/>
      <c r="AL19" s="1"/>
    </row>
    <row r="20" spans="1:38">
      <c r="A20" s="295"/>
      <c r="B20" s="1"/>
      <c r="C20" s="376"/>
      <c r="D20" s="2171"/>
      <c r="E20" s="2171"/>
      <c r="F20" s="2171"/>
      <c r="G20" s="2171"/>
      <c r="H20" s="2171"/>
      <c r="I20" s="2171"/>
      <c r="J20" s="2171"/>
      <c r="K20" s="2171"/>
      <c r="L20" s="2171"/>
      <c r="M20" s="2171"/>
      <c r="N20" s="2171"/>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c r="AL20" s="1"/>
    </row>
    <row r="21" spans="1:38">
      <c r="A21" s="295"/>
      <c r="B21" s="1"/>
      <c r="C21" s="376"/>
      <c r="D21" s="2171"/>
      <c r="E21" s="2171"/>
      <c r="F21" s="2171"/>
      <c r="G21" s="2171"/>
      <c r="H21" s="2171"/>
      <c r="I21" s="2171"/>
      <c r="J21" s="2171"/>
      <c r="K21" s="2171"/>
      <c r="L21" s="2171"/>
      <c r="M21" s="2171"/>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1"/>
    </row>
    <row r="22" spans="1:38">
      <c r="A22" s="295"/>
      <c r="B22" s="1"/>
      <c r="C22" s="376"/>
      <c r="D22" s="2171"/>
      <c r="E22" s="2171"/>
      <c r="F22" s="2171"/>
      <c r="G22" s="2171"/>
      <c r="H22" s="2171"/>
      <c r="I22" s="2171"/>
      <c r="J22" s="2171"/>
      <c r="K22" s="2171"/>
      <c r="L22" s="2171"/>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1"/>
    </row>
    <row r="23" spans="1:38">
      <c r="A23" s="295"/>
      <c r="B23" s="1"/>
      <c r="C23" s="376"/>
      <c r="D23" s="2171"/>
      <c r="E23" s="2171"/>
      <c r="F23" s="2171"/>
      <c r="G23" s="2171"/>
      <c r="H23" s="2171"/>
      <c r="I23" s="2171"/>
      <c r="J23" s="2171"/>
      <c r="K23" s="2171"/>
      <c r="L23" s="2171"/>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1"/>
    </row>
    <row r="24" spans="1:38">
      <c r="A24" s="295"/>
      <c r="B24" s="1"/>
      <c r="C24" s="376"/>
      <c r="D24" s="2171"/>
      <c r="E24" s="2171"/>
      <c r="F24" s="2171"/>
      <c r="G24" s="2171"/>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1"/>
    </row>
    <row r="25" spans="1:38">
      <c r="A25" s="295"/>
      <c r="B25" s="1"/>
      <c r="C25" s="376"/>
      <c r="D25" s="300"/>
      <c r="E25" s="2182" t="s">
        <v>2179</v>
      </c>
      <c r="F25" s="2182"/>
      <c r="G25" s="2182"/>
      <c r="H25" s="2182"/>
      <c r="I25" s="2182"/>
      <c r="J25" s="2182"/>
      <c r="K25" s="2182"/>
      <c r="L25" s="2182"/>
      <c r="M25" s="2182"/>
      <c r="N25" s="2182"/>
      <c r="O25" s="2182"/>
      <c r="P25" s="2182"/>
      <c r="Q25" s="2182"/>
      <c r="R25" s="2182"/>
      <c r="S25" s="2182"/>
      <c r="T25" s="2182"/>
      <c r="U25" s="2182"/>
      <c r="V25" s="2182"/>
      <c r="W25" s="2182"/>
      <c r="X25" s="2182"/>
      <c r="Y25" s="2182"/>
      <c r="Z25" s="2182"/>
      <c r="AA25" s="2182"/>
      <c r="AB25" s="2182"/>
      <c r="AC25" s="2182"/>
      <c r="AD25" s="2182"/>
      <c r="AE25" s="2182"/>
      <c r="AF25" s="2182"/>
      <c r="AG25" s="2182"/>
      <c r="AH25" s="2182"/>
      <c r="AI25" s="2182"/>
      <c r="AJ25" s="2182"/>
      <c r="AK25" s="2182"/>
      <c r="AL25" s="1"/>
    </row>
    <row r="26" spans="1:38">
      <c r="A26" s="295"/>
      <c r="B26" s="1"/>
      <c r="C26" s="376"/>
      <c r="D26" s="284"/>
      <c r="E26" s="2182" t="s">
        <v>2106</v>
      </c>
      <c r="F26" s="2182"/>
      <c r="G26" s="2182"/>
      <c r="H26" s="2182"/>
      <c r="I26" s="2182"/>
      <c r="J26" s="2182"/>
      <c r="K26" s="2182"/>
      <c r="L26" s="2182"/>
      <c r="M26" s="2182"/>
      <c r="N26" s="2182"/>
      <c r="O26" s="2182"/>
      <c r="P26" s="2182"/>
      <c r="Q26" s="2182"/>
      <c r="R26" s="2182"/>
      <c r="S26" s="2182"/>
      <c r="T26" s="2182"/>
      <c r="U26" s="2182"/>
      <c r="V26" s="2182"/>
      <c r="W26" s="2182"/>
      <c r="X26" s="2182"/>
      <c r="Y26" s="2182"/>
      <c r="Z26" s="2182"/>
      <c r="AA26" s="2182"/>
      <c r="AB26" s="2182"/>
      <c r="AC26" s="2182"/>
      <c r="AD26" s="2182"/>
      <c r="AE26" s="2182"/>
      <c r="AF26" s="2182"/>
      <c r="AG26" s="2182"/>
      <c r="AH26" s="2182"/>
      <c r="AI26" s="2182"/>
      <c r="AJ26" s="2182"/>
      <c r="AK26" s="218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2181" t="s">
        <v>1992</v>
      </c>
      <c r="E28" s="2181"/>
      <c r="F28" s="2181"/>
      <c r="G28" s="2181"/>
      <c r="H28" s="2181"/>
      <c r="I28" s="2181"/>
      <c r="J28" s="2181"/>
      <c r="K28" s="2181"/>
      <c r="L28" s="2181"/>
      <c r="M28" s="2181"/>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1"/>
      <c r="AJ28" s="2181"/>
      <c r="AK28" s="2181"/>
      <c r="AL28" s="1"/>
    </row>
    <row r="29" spans="1:38">
      <c r="A29" s="295"/>
      <c r="B29" s="1"/>
      <c r="C29" s="1"/>
      <c r="D29" s="2181"/>
      <c r="E29" s="2181"/>
      <c r="F29" s="2181"/>
      <c r="G29" s="2181"/>
      <c r="H29" s="2181"/>
      <c r="I29" s="2181"/>
      <c r="J29" s="2181"/>
      <c r="K29" s="2181"/>
      <c r="L29" s="2181"/>
      <c r="M29" s="2181"/>
      <c r="N29" s="2181"/>
      <c r="O29" s="2181"/>
      <c r="P29" s="2181"/>
      <c r="Q29" s="2181"/>
      <c r="R29" s="2181"/>
      <c r="S29" s="2181"/>
      <c r="T29" s="2181"/>
      <c r="U29" s="2181"/>
      <c r="V29" s="2181"/>
      <c r="W29" s="2181"/>
      <c r="X29" s="2181"/>
      <c r="Y29" s="2181"/>
      <c r="Z29" s="2181"/>
      <c r="AA29" s="2181"/>
      <c r="AB29" s="2181"/>
      <c r="AC29" s="2181"/>
      <c r="AD29" s="2181"/>
      <c r="AE29" s="2181"/>
      <c r="AF29" s="2181"/>
      <c r="AG29" s="2181"/>
      <c r="AH29" s="2181"/>
      <c r="AI29" s="2181"/>
      <c r="AJ29" s="2181"/>
      <c r="AK29" s="2181"/>
      <c r="AL29" s="1"/>
    </row>
    <row r="30" spans="1:38">
      <c r="A30" s="295"/>
      <c r="B30" s="1"/>
      <c r="C30" s="1"/>
      <c r="D30" s="1120"/>
      <c r="E30" s="2183" t="s">
        <v>1450</v>
      </c>
      <c r="F30" s="2183"/>
      <c r="G30" s="2183"/>
      <c r="H30" s="2183"/>
      <c r="I30" s="2183"/>
      <c r="J30" s="2183"/>
      <c r="K30" s="2183"/>
      <c r="L30" s="2183"/>
      <c r="M30" s="2183"/>
      <c r="N30" s="2183"/>
      <c r="O30" s="2183"/>
      <c r="P30" s="2183"/>
      <c r="Q30" s="2183"/>
      <c r="R30" s="2183"/>
      <c r="S30" s="2183"/>
      <c r="T30" s="2183"/>
      <c r="U30" s="2183"/>
      <c r="V30" s="2183"/>
      <c r="W30" s="2183"/>
      <c r="X30" s="2183"/>
      <c r="Y30" s="2183"/>
      <c r="Z30" s="2183"/>
      <c r="AA30" s="2183"/>
      <c r="AB30" s="2183"/>
      <c r="AC30" s="2183"/>
      <c r="AD30" s="2183"/>
      <c r="AE30" s="2183"/>
      <c r="AF30" s="2183"/>
      <c r="AG30" s="2183"/>
      <c r="AH30" s="2183"/>
      <c r="AI30" s="2183"/>
      <c r="AJ30" s="2183"/>
      <c r="AK30" s="2183"/>
      <c r="AL30" s="1"/>
    </row>
    <row r="31" spans="1:38">
      <c r="A31" s="295"/>
      <c r="B31" s="1"/>
      <c r="C31" s="1"/>
      <c r="D31" s="1120"/>
      <c r="E31" s="2183" t="s">
        <v>1292</v>
      </c>
      <c r="F31" s="2183"/>
      <c r="G31" s="2183"/>
      <c r="H31" s="2183"/>
      <c r="I31" s="2183"/>
      <c r="J31" s="2183"/>
      <c r="K31" s="2183"/>
      <c r="L31" s="2183"/>
      <c r="M31" s="2183"/>
      <c r="N31" s="2183"/>
      <c r="O31" s="2183"/>
      <c r="P31" s="2183"/>
      <c r="Q31" s="2183"/>
      <c r="R31" s="2183"/>
      <c r="S31" s="2183"/>
      <c r="T31" s="2183"/>
      <c r="U31" s="2183"/>
      <c r="V31" s="2183"/>
      <c r="W31" s="2183"/>
      <c r="X31" s="2183"/>
      <c r="Y31" s="2183"/>
      <c r="Z31" s="2183"/>
      <c r="AA31" s="2183"/>
      <c r="AB31" s="2183"/>
      <c r="AC31" s="2183"/>
      <c r="AD31" s="2183"/>
      <c r="AE31" s="2183"/>
      <c r="AF31" s="2183"/>
      <c r="AG31" s="2183"/>
      <c r="AH31" s="2183"/>
      <c r="AI31" s="2183"/>
      <c r="AJ31" s="2183"/>
      <c r="AK31" s="218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2171" t="s">
        <v>1951</v>
      </c>
      <c r="G35" s="2171"/>
      <c r="H35" s="2171"/>
      <c r="I35" s="2171"/>
      <c r="J35" s="2171"/>
      <c r="K35" s="2171"/>
      <c r="L35" s="2171"/>
      <c r="M35" s="2171"/>
      <c r="N35" s="2171"/>
      <c r="O35" s="2171"/>
      <c r="P35" s="2171"/>
      <c r="Q35" s="2171"/>
      <c r="R35" s="2171"/>
      <c r="S35" s="2171"/>
      <c r="T35" s="2171"/>
      <c r="U35" s="2171"/>
      <c r="V35" s="2171"/>
      <c r="W35" s="2171"/>
      <c r="X35" s="2171"/>
      <c r="Y35" s="2171"/>
      <c r="Z35" s="2171"/>
      <c r="AA35" s="2171"/>
      <c r="AB35" s="2171"/>
      <c r="AC35" s="2171"/>
      <c r="AD35" s="2171"/>
      <c r="AE35" s="2171"/>
      <c r="AF35" s="2171"/>
      <c r="AG35" s="2171"/>
      <c r="AH35" s="2171"/>
      <c r="AI35" s="2171"/>
      <c r="AJ35" s="2171"/>
      <c r="AK35" s="2171"/>
      <c r="AL35" s="1"/>
    </row>
    <row r="36" spans="1:38">
      <c r="A36" s="295"/>
      <c r="B36" s="1"/>
      <c r="C36" s="376"/>
      <c r="D36" s="295"/>
      <c r="E36" s="295"/>
      <c r="F36" s="2171"/>
      <c r="G36" s="2171"/>
      <c r="H36" s="2171"/>
      <c r="I36" s="2171"/>
      <c r="J36" s="2171"/>
      <c r="K36" s="2171"/>
      <c r="L36" s="2171"/>
      <c r="M36" s="2171"/>
      <c r="N36" s="2171"/>
      <c r="O36" s="2171"/>
      <c r="P36" s="2171"/>
      <c r="Q36" s="2171"/>
      <c r="R36" s="2171"/>
      <c r="S36" s="2171"/>
      <c r="T36" s="2171"/>
      <c r="U36" s="2171"/>
      <c r="V36" s="2171"/>
      <c r="W36" s="2171"/>
      <c r="X36" s="2171"/>
      <c r="Y36" s="2171"/>
      <c r="Z36" s="2171"/>
      <c r="AA36" s="2171"/>
      <c r="AB36" s="2171"/>
      <c r="AC36" s="2171"/>
      <c r="AD36" s="2171"/>
      <c r="AE36" s="2171"/>
      <c r="AF36" s="2171"/>
      <c r="AG36" s="2171"/>
      <c r="AH36" s="2171"/>
      <c r="AI36" s="2171"/>
      <c r="AJ36" s="2171"/>
      <c r="AK36" s="2171"/>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2171" t="s">
        <v>2196</v>
      </c>
      <c r="G41" s="2171"/>
      <c r="H41" s="2171"/>
      <c r="I41" s="2171"/>
      <c r="J41" s="2171"/>
      <c r="K41" s="2171"/>
      <c r="L41" s="2171"/>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1"/>
    </row>
    <row r="42" spans="1:38">
      <c r="A42" s="295"/>
      <c r="B42" s="1"/>
      <c r="C42" s="376"/>
      <c r="D42" s="295"/>
      <c r="E42" s="295"/>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2171"/>
      <c r="AJ42" s="2171"/>
      <c r="AK42" s="2171"/>
      <c r="AL42" s="1"/>
    </row>
    <row r="43" spans="1:38">
      <c r="A43" s="295"/>
      <c r="B43" s="1"/>
      <c r="C43" s="376"/>
      <c r="D43" s="295"/>
      <c r="E43" s="295"/>
      <c r="F43" s="2171"/>
      <c r="G43" s="2171"/>
      <c r="H43" s="2171"/>
      <c r="I43" s="2171"/>
      <c r="J43" s="2171"/>
      <c r="K43" s="2171"/>
      <c r="L43" s="2171"/>
      <c r="M43" s="2171"/>
      <c r="N43" s="2171"/>
      <c r="O43" s="2171"/>
      <c r="P43" s="2171"/>
      <c r="Q43" s="2171"/>
      <c r="R43" s="2171"/>
      <c r="S43" s="2171"/>
      <c r="T43" s="2171"/>
      <c r="U43" s="2171"/>
      <c r="V43" s="2171"/>
      <c r="W43" s="2171"/>
      <c r="X43" s="2171"/>
      <c r="Y43" s="2171"/>
      <c r="Z43" s="2171"/>
      <c r="AA43" s="2171"/>
      <c r="AB43" s="2171"/>
      <c r="AC43" s="2171"/>
      <c r="AD43" s="2171"/>
      <c r="AE43" s="2171"/>
      <c r="AF43" s="2171"/>
      <c r="AG43" s="2171"/>
      <c r="AH43" s="2171"/>
      <c r="AI43" s="2171"/>
      <c r="AJ43" s="2171"/>
      <c r="AK43" s="2171"/>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2173" t="s">
        <v>2199</v>
      </c>
      <c r="H47" s="2173"/>
      <c r="I47" s="2173"/>
      <c r="J47" s="2173"/>
      <c r="K47" s="2173"/>
      <c r="L47" s="2173"/>
      <c r="M47" s="2173"/>
      <c r="N47" s="2173"/>
      <c r="O47" s="2173"/>
      <c r="P47" s="2173"/>
      <c r="Q47" s="2173"/>
      <c r="R47" s="2173"/>
      <c r="S47" s="2173"/>
      <c r="T47" s="2173"/>
      <c r="U47" s="2173"/>
      <c r="V47" s="2173"/>
      <c r="W47" s="2173"/>
      <c r="X47" s="2173"/>
      <c r="Y47" s="2173"/>
      <c r="Z47" s="2173"/>
      <c r="AA47" s="2173"/>
      <c r="AB47" s="2173"/>
      <c r="AC47" s="2173"/>
      <c r="AD47" s="2173"/>
      <c r="AE47" s="2173"/>
      <c r="AF47" s="2173"/>
      <c r="AG47" s="2173"/>
      <c r="AH47" s="2173"/>
      <c r="AI47" s="2173"/>
      <c r="AJ47" s="2173"/>
      <c r="AK47" s="2173"/>
      <c r="AL47" s="1"/>
    </row>
    <row r="48" spans="1:38">
      <c r="A48" s="295"/>
      <c r="B48" s="1"/>
      <c r="C48" s="376"/>
      <c r="D48" s="376"/>
      <c r="E48" s="295"/>
      <c r="F48" s="538"/>
      <c r="G48" s="2173"/>
      <c r="H48" s="2173"/>
      <c r="I48" s="2173"/>
      <c r="J48" s="2173"/>
      <c r="K48" s="2173"/>
      <c r="L48" s="2173"/>
      <c r="M48" s="2173"/>
      <c r="N48" s="2173"/>
      <c r="O48" s="2173"/>
      <c r="P48" s="2173"/>
      <c r="Q48" s="2173"/>
      <c r="R48" s="2173"/>
      <c r="S48" s="2173"/>
      <c r="T48" s="2173"/>
      <c r="U48" s="2173"/>
      <c r="V48" s="2173"/>
      <c r="W48" s="2173"/>
      <c r="X48" s="2173"/>
      <c r="Y48" s="2173"/>
      <c r="Z48" s="2173"/>
      <c r="AA48" s="2173"/>
      <c r="AB48" s="2173"/>
      <c r="AC48" s="2173"/>
      <c r="AD48" s="2173"/>
      <c r="AE48" s="2173"/>
      <c r="AF48" s="2173"/>
      <c r="AG48" s="2173"/>
      <c r="AH48" s="2173"/>
      <c r="AI48" s="2173"/>
      <c r="AJ48" s="2173"/>
      <c r="AK48" s="2173"/>
      <c r="AL48" s="1"/>
    </row>
    <row r="49" spans="1:38">
      <c r="A49" s="295"/>
      <c r="B49" s="1"/>
      <c r="C49" s="376"/>
      <c r="D49" s="376"/>
      <c r="E49" s="295"/>
      <c r="F49" s="538"/>
      <c r="G49" s="2173"/>
      <c r="H49" s="2173"/>
      <c r="I49" s="2173"/>
      <c r="J49" s="2173"/>
      <c r="K49" s="2173"/>
      <c r="L49" s="2173"/>
      <c r="M49" s="2173"/>
      <c r="N49" s="2173"/>
      <c r="O49" s="2173"/>
      <c r="P49" s="2173"/>
      <c r="Q49" s="2173"/>
      <c r="R49" s="2173"/>
      <c r="S49" s="2173"/>
      <c r="T49" s="2173"/>
      <c r="U49" s="2173"/>
      <c r="V49" s="2173"/>
      <c r="W49" s="2173"/>
      <c r="X49" s="2173"/>
      <c r="Y49" s="2173"/>
      <c r="Z49" s="2173"/>
      <c r="AA49" s="2173"/>
      <c r="AB49" s="2173"/>
      <c r="AC49" s="2173"/>
      <c r="AD49" s="2173"/>
      <c r="AE49" s="2173"/>
      <c r="AF49" s="2173"/>
      <c r="AG49" s="2173"/>
      <c r="AH49" s="2173"/>
      <c r="AI49" s="2173"/>
      <c r="AJ49" s="2173"/>
      <c r="AK49" s="2173"/>
      <c r="AL49" s="1"/>
    </row>
    <row r="50" spans="1:38">
      <c r="A50" s="295"/>
      <c r="B50" s="376"/>
      <c r="C50" s="376"/>
      <c r="D50" s="376"/>
      <c r="E50" s="295"/>
      <c r="F50" s="538" t="s">
        <v>214</v>
      </c>
      <c r="G50" s="2174" t="s">
        <v>1952</v>
      </c>
      <c r="H50" s="2174"/>
      <c r="I50" s="2174"/>
      <c r="J50" s="2174"/>
      <c r="K50" s="2174"/>
      <c r="L50" s="2174"/>
      <c r="M50" s="2174"/>
      <c r="N50" s="2174"/>
      <c r="O50" s="2174"/>
      <c r="P50" s="2174"/>
      <c r="Q50" s="2174"/>
      <c r="R50" s="2174"/>
      <c r="S50" s="2174"/>
      <c r="T50" s="2174"/>
      <c r="U50" s="2174"/>
      <c r="V50" s="2174"/>
      <c r="W50" s="2174"/>
      <c r="X50" s="2174"/>
      <c r="Y50" s="2174"/>
      <c r="Z50" s="2174"/>
      <c r="AA50" s="2174"/>
      <c r="AB50" s="2174"/>
      <c r="AC50" s="2174"/>
      <c r="AD50" s="2174"/>
      <c r="AE50" s="2174"/>
      <c r="AF50" s="2174"/>
      <c r="AG50" s="2174"/>
      <c r="AH50" s="2174"/>
      <c r="AI50" s="2174"/>
      <c r="AJ50" s="2174"/>
      <c r="AK50" s="2174"/>
      <c r="AL50" s="1"/>
    </row>
    <row r="51" spans="1:38" s="300" customFormat="1">
      <c r="A51" s="295"/>
      <c r="B51" s="1"/>
      <c r="C51" s="376"/>
      <c r="D51" s="376"/>
      <c r="E51" s="295"/>
      <c r="F51" s="538"/>
      <c r="G51" s="2174"/>
      <c r="H51" s="2174"/>
      <c r="I51" s="2174"/>
      <c r="J51" s="2174"/>
      <c r="K51" s="2174"/>
      <c r="L51" s="2174"/>
      <c r="M51" s="2174"/>
      <c r="N51" s="2174"/>
      <c r="O51" s="2174"/>
      <c r="P51" s="2174"/>
      <c r="Q51" s="2174"/>
      <c r="R51" s="2174"/>
      <c r="S51" s="2174"/>
      <c r="T51" s="2174"/>
      <c r="U51" s="2174"/>
      <c r="V51" s="2174"/>
      <c r="W51" s="2174"/>
      <c r="X51" s="2174"/>
      <c r="Y51" s="2174"/>
      <c r="Z51" s="2174"/>
      <c r="AA51" s="2174"/>
      <c r="AB51" s="2174"/>
      <c r="AC51" s="2174"/>
      <c r="AD51" s="2174"/>
      <c r="AE51" s="2174"/>
      <c r="AF51" s="2174"/>
      <c r="AG51" s="2174"/>
      <c r="AH51" s="2174"/>
      <c r="AI51" s="2174"/>
      <c r="AJ51" s="2174"/>
      <c r="AK51" s="2174"/>
      <c r="AL51" s="1"/>
    </row>
    <row r="52" spans="1:38">
      <c r="A52" s="300"/>
      <c r="B52" s="284"/>
      <c r="C52" s="377"/>
      <c r="D52" s="377"/>
      <c r="E52" s="300"/>
      <c r="F52" s="1122"/>
      <c r="G52" s="2174"/>
      <c r="H52" s="2174"/>
      <c r="I52" s="2174"/>
      <c r="J52" s="2174"/>
      <c r="K52" s="2174"/>
      <c r="L52" s="2174"/>
      <c r="M52" s="2174"/>
      <c r="N52" s="2174"/>
      <c r="O52" s="2174"/>
      <c r="P52" s="2174"/>
      <c r="Q52" s="2174"/>
      <c r="R52" s="2174"/>
      <c r="S52" s="2174"/>
      <c r="T52" s="2174"/>
      <c r="U52" s="2174"/>
      <c r="V52" s="2174"/>
      <c r="W52" s="2174"/>
      <c r="X52" s="2174"/>
      <c r="Y52" s="2174"/>
      <c r="Z52" s="2174"/>
      <c r="AA52" s="2174"/>
      <c r="AB52" s="2174"/>
      <c r="AC52" s="2174"/>
      <c r="AD52" s="2174"/>
      <c r="AE52" s="2174"/>
      <c r="AF52" s="2174"/>
      <c r="AG52" s="2174"/>
      <c r="AH52" s="2174"/>
      <c r="AI52" s="2174"/>
      <c r="AJ52" s="2174"/>
      <c r="AK52" s="2174"/>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2171" t="s">
        <v>1955</v>
      </c>
      <c r="H57" s="2171"/>
      <c r="I57" s="2171"/>
      <c r="J57" s="2171"/>
      <c r="K57" s="2171"/>
      <c r="L57" s="2171"/>
      <c r="M57" s="2171"/>
      <c r="N57" s="2171"/>
      <c r="O57" s="2171"/>
      <c r="P57" s="2171"/>
      <c r="Q57" s="2171"/>
      <c r="R57" s="2171"/>
      <c r="S57" s="2171"/>
      <c r="T57" s="2171"/>
      <c r="U57" s="2171"/>
      <c r="V57" s="2171"/>
      <c r="W57" s="2171"/>
      <c r="X57" s="2171"/>
      <c r="Y57" s="2171"/>
      <c r="Z57" s="2171"/>
      <c r="AA57" s="2171"/>
      <c r="AB57" s="2171"/>
      <c r="AC57" s="2171"/>
      <c r="AD57" s="2171"/>
      <c r="AE57" s="2171"/>
      <c r="AF57" s="2171"/>
      <c r="AG57" s="2171"/>
      <c r="AH57" s="2171"/>
      <c r="AI57" s="2171"/>
      <c r="AJ57" s="2171"/>
      <c r="AK57" s="2171"/>
      <c r="AL57" s="1"/>
    </row>
    <row r="58" spans="1:38">
      <c r="A58" s="295"/>
      <c r="B58" s="1"/>
      <c r="C58" s="376"/>
      <c r="D58" s="295"/>
      <c r="E58" s="295"/>
      <c r="F58" s="444"/>
      <c r="G58" s="2171"/>
      <c r="H58" s="2171"/>
      <c r="I58" s="2171"/>
      <c r="J58" s="2171"/>
      <c r="K58" s="2171"/>
      <c r="L58" s="2171"/>
      <c r="M58" s="2171"/>
      <c r="N58" s="2171"/>
      <c r="O58" s="2171"/>
      <c r="P58" s="2171"/>
      <c r="Q58" s="2171"/>
      <c r="R58" s="2171"/>
      <c r="S58" s="2171"/>
      <c r="T58" s="2171"/>
      <c r="U58" s="2171"/>
      <c r="V58" s="2171"/>
      <c r="W58" s="2171"/>
      <c r="X58" s="2171"/>
      <c r="Y58" s="2171"/>
      <c r="Z58" s="2171"/>
      <c r="AA58" s="2171"/>
      <c r="AB58" s="2171"/>
      <c r="AC58" s="2171"/>
      <c r="AD58" s="2171"/>
      <c r="AE58" s="2171"/>
      <c r="AF58" s="2171"/>
      <c r="AG58" s="2171"/>
      <c r="AH58" s="2171"/>
      <c r="AI58" s="2171"/>
      <c r="AJ58" s="2171"/>
      <c r="AK58" s="2171"/>
      <c r="AL58" s="1"/>
    </row>
    <row r="59" spans="1:38">
      <c r="A59" s="295"/>
      <c r="B59" s="1"/>
      <c r="C59" s="376"/>
      <c r="D59" s="295"/>
      <c r="E59" s="295"/>
      <c r="F59" s="444"/>
      <c r="G59" s="2171"/>
      <c r="H59" s="2171"/>
      <c r="I59" s="2171"/>
      <c r="J59" s="2171"/>
      <c r="K59" s="2171"/>
      <c r="L59" s="2171"/>
      <c r="M59" s="2171"/>
      <c r="N59" s="2171"/>
      <c r="O59" s="2171"/>
      <c r="P59" s="2171"/>
      <c r="Q59" s="2171"/>
      <c r="R59" s="2171"/>
      <c r="S59" s="2171"/>
      <c r="T59" s="2171"/>
      <c r="U59" s="2171"/>
      <c r="V59" s="2171"/>
      <c r="W59" s="2171"/>
      <c r="X59" s="2171"/>
      <c r="Y59" s="2171"/>
      <c r="Z59" s="2171"/>
      <c r="AA59" s="2171"/>
      <c r="AB59" s="2171"/>
      <c r="AC59" s="2171"/>
      <c r="AD59" s="2171"/>
      <c r="AE59" s="2171"/>
      <c r="AF59" s="2171"/>
      <c r="AG59" s="2171"/>
      <c r="AH59" s="2171"/>
      <c r="AI59" s="2171"/>
      <c r="AJ59" s="2171"/>
      <c r="AK59" s="2171"/>
      <c r="AL59" s="1"/>
    </row>
    <row r="60" spans="1:38">
      <c r="A60" s="295"/>
      <c r="B60" s="1"/>
      <c r="C60" s="376"/>
      <c r="D60" s="295"/>
      <c r="E60" s="295"/>
      <c r="F60" s="444" t="s">
        <v>214</v>
      </c>
      <c r="G60" s="2171" t="s">
        <v>1954</v>
      </c>
      <c r="H60" s="2171"/>
      <c r="I60" s="2171"/>
      <c r="J60" s="2171"/>
      <c r="K60" s="2171"/>
      <c r="L60" s="2171"/>
      <c r="M60" s="2171"/>
      <c r="N60" s="2171"/>
      <c r="O60" s="2171"/>
      <c r="P60" s="2171"/>
      <c r="Q60" s="2171"/>
      <c r="R60" s="2171"/>
      <c r="S60" s="2171"/>
      <c r="T60" s="2171"/>
      <c r="U60" s="2171"/>
      <c r="V60" s="2171"/>
      <c r="W60" s="2171"/>
      <c r="X60" s="2171"/>
      <c r="Y60" s="2171"/>
      <c r="Z60" s="2171"/>
      <c r="AA60" s="2171"/>
      <c r="AB60" s="2171"/>
      <c r="AC60" s="2171"/>
      <c r="AD60" s="2171"/>
      <c r="AE60" s="2171"/>
      <c r="AF60" s="2171"/>
      <c r="AG60" s="2171"/>
      <c r="AH60" s="2171"/>
      <c r="AI60" s="2171"/>
      <c r="AJ60" s="2171"/>
      <c r="AK60" s="2171"/>
      <c r="AL60" s="1"/>
    </row>
    <row r="61" spans="1:38">
      <c r="A61" s="295"/>
      <c r="B61" s="1"/>
      <c r="C61" s="376"/>
      <c r="D61" s="295"/>
      <c r="E61" s="295"/>
      <c r="F61" s="444"/>
      <c r="G61" s="2171"/>
      <c r="H61" s="2171"/>
      <c r="I61" s="2171"/>
      <c r="J61" s="2171"/>
      <c r="K61" s="2171"/>
      <c r="L61" s="2171"/>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1"/>
    </row>
    <row r="62" spans="1:38">
      <c r="A62" s="295"/>
      <c r="B62" s="1"/>
      <c r="C62" s="376"/>
      <c r="D62" s="295"/>
      <c r="E62" s="295"/>
      <c r="F62" s="1123"/>
      <c r="G62" s="2171"/>
      <c r="H62" s="2171"/>
      <c r="I62" s="2171"/>
      <c r="J62" s="2171"/>
      <c r="K62" s="2171"/>
      <c r="L62" s="2171"/>
      <c r="M62" s="2171"/>
      <c r="N62" s="2171"/>
      <c r="O62" s="2171"/>
      <c r="P62" s="2171"/>
      <c r="Q62" s="2171"/>
      <c r="R62" s="2171"/>
      <c r="S62" s="2171"/>
      <c r="T62" s="2171"/>
      <c r="U62" s="2171"/>
      <c r="V62" s="2171"/>
      <c r="W62" s="2171"/>
      <c r="X62" s="2171"/>
      <c r="Y62" s="2171"/>
      <c r="Z62" s="2171"/>
      <c r="AA62" s="2171"/>
      <c r="AB62" s="2171"/>
      <c r="AC62" s="2171"/>
      <c r="AD62" s="2171"/>
      <c r="AE62" s="2171"/>
      <c r="AF62" s="2171"/>
      <c r="AG62" s="2171"/>
      <c r="AH62" s="2171"/>
      <c r="AI62" s="2171"/>
      <c r="AJ62" s="2171"/>
      <c r="AK62" s="2171"/>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2171" t="s">
        <v>1956</v>
      </c>
      <c r="H64" s="2171"/>
      <c r="I64" s="2171"/>
      <c r="J64" s="2171"/>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1"/>
    </row>
    <row r="65" spans="1:38">
      <c r="A65" s="295"/>
      <c r="B65" s="1"/>
      <c r="C65" s="376"/>
      <c r="D65" s="295"/>
      <c r="E65" s="295"/>
      <c r="F65" s="538"/>
      <c r="G65" s="2171"/>
      <c r="H65" s="2171"/>
      <c r="I65" s="2171"/>
      <c r="J65" s="2171"/>
      <c r="K65" s="2171"/>
      <c r="L65" s="2171"/>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c r="AI65" s="2171"/>
      <c r="AJ65" s="2171"/>
      <c r="AK65" s="2171"/>
      <c r="AL65" s="1"/>
    </row>
    <row r="66" spans="1:38">
      <c r="A66" s="295"/>
      <c r="B66" s="1"/>
      <c r="C66" s="376"/>
      <c r="D66" s="295"/>
      <c r="E66" s="295"/>
      <c r="F66" s="538" t="s">
        <v>214</v>
      </c>
      <c r="G66" s="2171" t="s">
        <v>1957</v>
      </c>
      <c r="H66" s="2171"/>
      <c r="I66" s="2171"/>
      <c r="J66" s="2171"/>
      <c r="K66" s="2171"/>
      <c r="L66" s="2171"/>
      <c r="M66" s="2171"/>
      <c r="N66" s="2171"/>
      <c r="O66" s="2171"/>
      <c r="P66" s="2171"/>
      <c r="Q66" s="2171"/>
      <c r="R66" s="2171"/>
      <c r="S66" s="2171"/>
      <c r="T66" s="2171"/>
      <c r="U66" s="2171"/>
      <c r="V66" s="2171"/>
      <c r="W66" s="2171"/>
      <c r="X66" s="2171"/>
      <c r="Y66" s="2171"/>
      <c r="Z66" s="2171"/>
      <c r="AA66" s="2171"/>
      <c r="AB66" s="2171"/>
      <c r="AC66" s="2171"/>
      <c r="AD66" s="2171"/>
      <c r="AE66" s="2171"/>
      <c r="AF66" s="2171"/>
      <c r="AG66" s="2171"/>
      <c r="AH66" s="2171"/>
      <c r="AI66" s="2171"/>
      <c r="AJ66" s="2171"/>
      <c r="AK66" s="2171"/>
      <c r="AL66" s="1"/>
    </row>
    <row r="67" spans="1:38">
      <c r="A67" s="295"/>
      <c r="B67" s="1"/>
      <c r="C67" s="376"/>
      <c r="D67" s="295"/>
      <c r="E67" s="295"/>
      <c r="F67" s="538"/>
      <c r="G67" s="2171"/>
      <c r="H67" s="2171"/>
      <c r="I67" s="2171"/>
      <c r="J67" s="2171"/>
      <c r="K67" s="2171"/>
      <c r="L67" s="2171"/>
      <c r="M67" s="2171"/>
      <c r="N67" s="2171"/>
      <c r="O67" s="2171"/>
      <c r="P67" s="2171"/>
      <c r="Q67" s="2171"/>
      <c r="R67" s="2171"/>
      <c r="S67" s="2171"/>
      <c r="T67" s="2171"/>
      <c r="U67" s="2171"/>
      <c r="V67" s="2171"/>
      <c r="W67" s="2171"/>
      <c r="X67" s="2171"/>
      <c r="Y67" s="2171"/>
      <c r="Z67" s="2171"/>
      <c r="AA67" s="2171"/>
      <c r="AB67" s="2171"/>
      <c r="AC67" s="2171"/>
      <c r="AD67" s="2171"/>
      <c r="AE67" s="2171"/>
      <c r="AF67" s="2171"/>
      <c r="AG67" s="2171"/>
      <c r="AH67" s="2171"/>
      <c r="AI67" s="2171"/>
      <c r="AJ67" s="2171"/>
      <c r="AK67" s="2171"/>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2171" t="s">
        <v>1972</v>
      </c>
      <c r="H74" s="2171"/>
      <c r="I74" s="2171"/>
      <c r="J74" s="2171"/>
      <c r="K74" s="2171"/>
      <c r="L74" s="2171"/>
      <c r="M74" s="2171"/>
      <c r="N74" s="2171"/>
      <c r="O74" s="2171"/>
      <c r="P74" s="2171"/>
      <c r="Q74" s="2171"/>
      <c r="R74" s="2171"/>
      <c r="S74" s="2171"/>
      <c r="T74" s="2171"/>
      <c r="U74" s="2171"/>
      <c r="V74" s="2171"/>
      <c r="W74" s="2171"/>
      <c r="X74" s="2171"/>
      <c r="Y74" s="2171"/>
      <c r="Z74" s="2171"/>
      <c r="AA74" s="2171"/>
      <c r="AB74" s="2171"/>
      <c r="AC74" s="2171"/>
      <c r="AD74" s="2171"/>
      <c r="AE74" s="2171"/>
      <c r="AF74" s="2171"/>
      <c r="AG74" s="2171"/>
      <c r="AH74" s="2171"/>
      <c r="AI74" s="2171"/>
      <c r="AJ74" s="2171"/>
      <c r="AK74" s="2171"/>
      <c r="AL74" s="1"/>
    </row>
    <row r="75" spans="1:38">
      <c r="A75" s="295"/>
      <c r="B75" s="1"/>
      <c r="C75" s="376"/>
      <c r="D75" s="295"/>
      <c r="E75" s="295"/>
      <c r="F75" s="295"/>
      <c r="G75" s="2171"/>
      <c r="H75" s="2171"/>
      <c r="I75" s="2171"/>
      <c r="J75" s="2171"/>
      <c r="K75" s="2171"/>
      <c r="L75" s="2171"/>
      <c r="M75" s="2171"/>
      <c r="N75" s="2171"/>
      <c r="O75" s="2171"/>
      <c r="P75" s="2171"/>
      <c r="Q75" s="2171"/>
      <c r="R75" s="2171"/>
      <c r="S75" s="2171"/>
      <c r="T75" s="2171"/>
      <c r="U75" s="2171"/>
      <c r="V75" s="2171"/>
      <c r="W75" s="2171"/>
      <c r="X75" s="2171"/>
      <c r="Y75" s="2171"/>
      <c r="Z75" s="2171"/>
      <c r="AA75" s="2171"/>
      <c r="AB75" s="2171"/>
      <c r="AC75" s="2171"/>
      <c r="AD75" s="2171"/>
      <c r="AE75" s="2171"/>
      <c r="AF75" s="2171"/>
      <c r="AG75" s="2171"/>
      <c r="AH75" s="2171"/>
      <c r="AI75" s="2171"/>
      <c r="AJ75" s="2171"/>
      <c r="AK75" s="2171"/>
      <c r="AL75" s="1"/>
    </row>
    <row r="76" spans="1:38">
      <c r="A76" s="295"/>
      <c r="B76" s="1"/>
      <c r="C76" s="376"/>
      <c r="D76" s="295"/>
      <c r="E76" s="295"/>
      <c r="F76" s="295"/>
      <c r="G76" s="2171"/>
      <c r="H76" s="2171"/>
      <c r="I76" s="2171"/>
      <c r="J76" s="2171"/>
      <c r="K76" s="2171"/>
      <c r="L76" s="2171"/>
      <c r="M76" s="2171"/>
      <c r="N76" s="2171"/>
      <c r="O76" s="2171"/>
      <c r="P76" s="2171"/>
      <c r="Q76" s="2171"/>
      <c r="R76" s="2171"/>
      <c r="S76" s="2171"/>
      <c r="T76" s="2171"/>
      <c r="U76" s="2171"/>
      <c r="V76" s="2171"/>
      <c r="W76" s="2171"/>
      <c r="X76" s="2171"/>
      <c r="Y76" s="2171"/>
      <c r="Z76" s="2171"/>
      <c r="AA76" s="2171"/>
      <c r="AB76" s="2171"/>
      <c r="AC76" s="2171"/>
      <c r="AD76" s="2171"/>
      <c r="AE76" s="2171"/>
      <c r="AF76" s="2171"/>
      <c r="AG76" s="2171"/>
      <c r="AH76" s="2171"/>
      <c r="AI76" s="2171"/>
      <c r="AJ76" s="2171"/>
      <c r="AK76" s="2171"/>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2171" t="s">
        <v>1973</v>
      </c>
      <c r="H78" s="2171"/>
      <c r="I78" s="2171"/>
      <c r="J78" s="2171"/>
      <c r="K78" s="2171"/>
      <c r="L78" s="2171"/>
      <c r="M78" s="2171"/>
      <c r="N78" s="2171"/>
      <c r="O78" s="2171"/>
      <c r="P78" s="2171"/>
      <c r="Q78" s="2171"/>
      <c r="R78" s="2171"/>
      <c r="S78" s="2171"/>
      <c r="T78" s="2171"/>
      <c r="U78" s="2171"/>
      <c r="V78" s="2171"/>
      <c r="W78" s="2171"/>
      <c r="X78" s="2171"/>
      <c r="Y78" s="2171"/>
      <c r="Z78" s="2171"/>
      <c r="AA78" s="2171"/>
      <c r="AB78" s="2171"/>
      <c r="AC78" s="2171"/>
      <c r="AD78" s="2171"/>
      <c r="AE78" s="2171"/>
      <c r="AF78" s="2171"/>
      <c r="AG78" s="2171"/>
      <c r="AH78" s="2171"/>
      <c r="AI78" s="2171"/>
      <c r="AJ78" s="2171"/>
      <c r="AK78" s="2171"/>
      <c r="AL78" s="1"/>
    </row>
    <row r="79" spans="1:38">
      <c r="A79" s="295"/>
      <c r="B79" s="1"/>
      <c r="C79" s="376"/>
      <c r="D79" s="295"/>
      <c r="E79" s="295"/>
      <c r="F79" s="295"/>
      <c r="G79" s="2171"/>
      <c r="H79" s="2171"/>
      <c r="I79" s="2171"/>
      <c r="J79" s="2171"/>
      <c r="K79" s="2171"/>
      <c r="L79" s="2171"/>
      <c r="M79" s="2171"/>
      <c r="N79" s="2171"/>
      <c r="O79" s="2171"/>
      <c r="P79" s="2171"/>
      <c r="Q79" s="2171"/>
      <c r="R79" s="2171"/>
      <c r="S79" s="2171"/>
      <c r="T79" s="2171"/>
      <c r="U79" s="2171"/>
      <c r="V79" s="2171"/>
      <c r="W79" s="2171"/>
      <c r="X79" s="2171"/>
      <c r="Y79" s="2171"/>
      <c r="Z79" s="2171"/>
      <c r="AA79" s="2171"/>
      <c r="AB79" s="2171"/>
      <c r="AC79" s="2171"/>
      <c r="AD79" s="2171"/>
      <c r="AE79" s="2171"/>
      <c r="AF79" s="2171"/>
      <c r="AG79" s="2171"/>
      <c r="AH79" s="2171"/>
      <c r="AI79" s="2171"/>
      <c r="AJ79" s="2171"/>
      <c r="AK79" s="2171"/>
      <c r="AL79" s="1"/>
    </row>
    <row r="80" spans="1:38">
      <c r="A80" s="295"/>
      <c r="B80" s="1"/>
      <c r="C80" s="376"/>
      <c r="D80" s="295"/>
      <c r="E80" s="295"/>
      <c r="F80" s="1"/>
      <c r="G80" s="2171"/>
      <c r="H80" s="2171"/>
      <c r="I80" s="2171"/>
      <c r="J80" s="2171"/>
      <c r="K80" s="2171"/>
      <c r="L80" s="2171"/>
      <c r="M80" s="2171"/>
      <c r="N80" s="2171"/>
      <c r="O80" s="2171"/>
      <c r="P80" s="2171"/>
      <c r="Q80" s="2171"/>
      <c r="R80" s="2171"/>
      <c r="S80" s="2171"/>
      <c r="T80" s="2171"/>
      <c r="U80" s="2171"/>
      <c r="V80" s="2171"/>
      <c r="W80" s="2171"/>
      <c r="X80" s="2171"/>
      <c r="Y80" s="2171"/>
      <c r="Z80" s="2171"/>
      <c r="AA80" s="2171"/>
      <c r="AB80" s="2171"/>
      <c r="AC80" s="2171"/>
      <c r="AD80" s="2171"/>
      <c r="AE80" s="2171"/>
      <c r="AF80" s="2171"/>
      <c r="AG80" s="2171"/>
      <c r="AH80" s="2171"/>
      <c r="AI80" s="2171"/>
      <c r="AJ80" s="2171"/>
      <c r="AK80" s="2171"/>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2171" t="s">
        <v>1958</v>
      </c>
      <c r="H82" s="2171"/>
      <c r="I82" s="2171"/>
      <c r="J82" s="2171"/>
      <c r="K82" s="2171"/>
      <c r="L82" s="2171"/>
      <c r="M82" s="2171"/>
      <c r="N82" s="2171"/>
      <c r="O82" s="2171"/>
      <c r="P82" s="2171"/>
      <c r="Q82" s="2171"/>
      <c r="R82" s="2171"/>
      <c r="S82" s="2171"/>
      <c r="T82" s="2171"/>
      <c r="U82" s="2171"/>
      <c r="V82" s="2171"/>
      <c r="W82" s="2171"/>
      <c r="X82" s="2171"/>
      <c r="Y82" s="2171"/>
      <c r="Z82" s="2171"/>
      <c r="AA82" s="2171"/>
      <c r="AB82" s="2171"/>
      <c r="AC82" s="2171"/>
      <c r="AD82" s="2171"/>
      <c r="AE82" s="2171"/>
      <c r="AF82" s="2171"/>
      <c r="AG82" s="2171"/>
      <c r="AH82" s="2171"/>
      <c r="AI82" s="2171"/>
      <c r="AJ82" s="2171"/>
      <c r="AK82" s="2171"/>
      <c r="AL82" s="1"/>
    </row>
    <row r="83" spans="1:38">
      <c r="A83" s="295"/>
      <c r="B83" s="1"/>
      <c r="C83" s="376"/>
      <c r="D83" s="295"/>
      <c r="E83" s="295"/>
      <c r="F83" s="1"/>
      <c r="G83" s="2171"/>
      <c r="H83" s="2171"/>
      <c r="I83" s="2171"/>
      <c r="J83" s="2171"/>
      <c r="K83" s="2171"/>
      <c r="L83" s="2171"/>
      <c r="M83" s="2171"/>
      <c r="N83" s="2171"/>
      <c r="O83" s="2171"/>
      <c r="P83" s="2171"/>
      <c r="Q83" s="2171"/>
      <c r="R83" s="2171"/>
      <c r="S83" s="2171"/>
      <c r="T83" s="2171"/>
      <c r="U83" s="2171"/>
      <c r="V83" s="2171"/>
      <c r="W83" s="2171"/>
      <c r="X83" s="2171"/>
      <c r="Y83" s="2171"/>
      <c r="Z83" s="2171"/>
      <c r="AA83" s="2171"/>
      <c r="AB83" s="2171"/>
      <c r="AC83" s="2171"/>
      <c r="AD83" s="2171"/>
      <c r="AE83" s="2171"/>
      <c r="AF83" s="2171"/>
      <c r="AG83" s="2171"/>
      <c r="AH83" s="2171"/>
      <c r="AI83" s="2171"/>
      <c r="AJ83" s="2171"/>
      <c r="AK83" s="2171"/>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2171" t="s">
        <v>1959</v>
      </c>
      <c r="H85" s="2171"/>
      <c r="I85" s="2171"/>
      <c r="J85" s="2171"/>
      <c r="K85" s="2171"/>
      <c r="L85" s="2171"/>
      <c r="M85" s="2171"/>
      <c r="N85" s="2171"/>
      <c r="O85" s="2171"/>
      <c r="P85" s="2171"/>
      <c r="Q85" s="2171"/>
      <c r="R85" s="2171"/>
      <c r="S85" s="2171"/>
      <c r="T85" s="2171"/>
      <c r="U85" s="2171"/>
      <c r="V85" s="2171"/>
      <c r="W85" s="2171"/>
      <c r="X85" s="2171"/>
      <c r="Y85" s="2171"/>
      <c r="Z85" s="2171"/>
      <c r="AA85" s="2171"/>
      <c r="AB85" s="2171"/>
      <c r="AC85" s="2171"/>
      <c r="AD85" s="2171"/>
      <c r="AE85" s="2171"/>
      <c r="AF85" s="2171"/>
      <c r="AG85" s="2171"/>
      <c r="AH85" s="2171"/>
      <c r="AI85" s="2171"/>
      <c r="AJ85" s="2171"/>
      <c r="AK85" s="2171"/>
      <c r="AL85" s="1"/>
    </row>
    <row r="86" spans="1:38">
      <c r="A86" s="295"/>
      <c r="B86" s="1"/>
      <c r="C86" s="376"/>
      <c r="D86" s="295"/>
      <c r="E86" s="295"/>
      <c r="F86" s="1"/>
      <c r="G86" s="2171"/>
      <c r="H86" s="2171"/>
      <c r="I86" s="2171"/>
      <c r="J86" s="2171"/>
      <c r="K86" s="2171"/>
      <c r="L86" s="2171"/>
      <c r="M86" s="2171"/>
      <c r="N86" s="2171"/>
      <c r="O86" s="2171"/>
      <c r="P86" s="2171"/>
      <c r="Q86" s="2171"/>
      <c r="R86" s="2171"/>
      <c r="S86" s="2171"/>
      <c r="T86" s="2171"/>
      <c r="U86" s="2171"/>
      <c r="V86" s="2171"/>
      <c r="W86" s="2171"/>
      <c r="X86" s="2171"/>
      <c r="Y86" s="2171"/>
      <c r="Z86" s="2171"/>
      <c r="AA86" s="2171"/>
      <c r="AB86" s="2171"/>
      <c r="AC86" s="2171"/>
      <c r="AD86" s="2171"/>
      <c r="AE86" s="2171"/>
      <c r="AF86" s="2171"/>
      <c r="AG86" s="2171"/>
      <c r="AH86" s="2171"/>
      <c r="AI86" s="2171"/>
      <c r="AJ86" s="2171"/>
      <c r="AK86" s="2171"/>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2171" t="s">
        <v>1965</v>
      </c>
      <c r="H88" s="2171"/>
      <c r="I88" s="2171"/>
      <c r="J88" s="2171"/>
      <c r="K88" s="2171"/>
      <c r="L88" s="2171"/>
      <c r="M88" s="2171"/>
      <c r="N88" s="2171"/>
      <c r="O88" s="2171"/>
      <c r="P88" s="2171"/>
      <c r="Q88" s="2171"/>
      <c r="R88" s="2171"/>
      <c r="S88" s="2171"/>
      <c r="T88" s="2171"/>
      <c r="U88" s="2171"/>
      <c r="V88" s="2171"/>
      <c r="W88" s="2171"/>
      <c r="X88" s="2171"/>
      <c r="Y88" s="2171"/>
      <c r="Z88" s="2171"/>
      <c r="AA88" s="2171"/>
      <c r="AB88" s="2171"/>
      <c r="AC88" s="2171"/>
      <c r="AD88" s="2171"/>
      <c r="AE88" s="2171"/>
      <c r="AF88" s="2171"/>
      <c r="AG88" s="2171"/>
      <c r="AH88" s="2171"/>
      <c r="AI88" s="2171"/>
      <c r="AJ88" s="2171"/>
      <c r="AK88" s="2171"/>
      <c r="AL88" s="1"/>
    </row>
    <row r="89" spans="1:38">
      <c r="A89" s="295"/>
      <c r="B89" s="1"/>
      <c r="C89" s="376"/>
      <c r="D89" s="295"/>
      <c r="E89" s="295"/>
      <c r="F89" s="295"/>
      <c r="G89" s="2171"/>
      <c r="H89" s="2171"/>
      <c r="I89" s="2171"/>
      <c r="J89" s="2171"/>
      <c r="K89" s="2171"/>
      <c r="L89" s="2171"/>
      <c r="M89" s="2171"/>
      <c r="N89" s="2171"/>
      <c r="O89" s="2171"/>
      <c r="P89" s="2171"/>
      <c r="Q89" s="2171"/>
      <c r="R89" s="2171"/>
      <c r="S89" s="2171"/>
      <c r="T89" s="2171"/>
      <c r="U89" s="2171"/>
      <c r="V89" s="2171"/>
      <c r="W89" s="2171"/>
      <c r="X89" s="2171"/>
      <c r="Y89" s="2171"/>
      <c r="Z89" s="2171"/>
      <c r="AA89" s="2171"/>
      <c r="AB89" s="2171"/>
      <c r="AC89" s="2171"/>
      <c r="AD89" s="2171"/>
      <c r="AE89" s="2171"/>
      <c r="AF89" s="2171"/>
      <c r="AG89" s="2171"/>
      <c r="AH89" s="2171"/>
      <c r="AI89" s="2171"/>
      <c r="AJ89" s="2171"/>
      <c r="AK89" s="2171"/>
      <c r="AL89" s="1"/>
    </row>
    <row r="90" spans="1:38">
      <c r="A90" s="295"/>
      <c r="B90" s="1"/>
      <c r="C90" s="376"/>
      <c r="D90" s="295"/>
      <c r="E90" s="295"/>
      <c r="F90" s="295"/>
      <c r="G90" s="2171"/>
      <c r="H90" s="2171"/>
      <c r="I90" s="2171"/>
      <c r="J90" s="2171"/>
      <c r="K90" s="2171"/>
      <c r="L90" s="2171"/>
      <c r="M90" s="2171"/>
      <c r="N90" s="2171"/>
      <c r="O90" s="2171"/>
      <c r="P90" s="2171"/>
      <c r="Q90" s="2171"/>
      <c r="R90" s="2171"/>
      <c r="S90" s="2171"/>
      <c r="T90" s="2171"/>
      <c r="U90" s="2171"/>
      <c r="V90" s="2171"/>
      <c r="W90" s="2171"/>
      <c r="X90" s="2171"/>
      <c r="Y90" s="2171"/>
      <c r="Z90" s="2171"/>
      <c r="AA90" s="2171"/>
      <c r="AB90" s="2171"/>
      <c r="AC90" s="2171"/>
      <c r="AD90" s="2171"/>
      <c r="AE90" s="2171"/>
      <c r="AF90" s="2171"/>
      <c r="AG90" s="2171"/>
      <c r="AH90" s="2171"/>
      <c r="AI90" s="2171"/>
      <c r="AJ90" s="2171"/>
      <c r="AK90" s="2171"/>
      <c r="AL90" s="1"/>
    </row>
    <row r="91" spans="1:38">
      <c r="A91" s="295"/>
      <c r="B91" s="1"/>
      <c r="C91" s="376"/>
      <c r="D91" s="295"/>
      <c r="E91" s="295"/>
      <c r="F91" s="295"/>
      <c r="G91" s="2171"/>
      <c r="H91" s="2171"/>
      <c r="I91" s="2171"/>
      <c r="J91" s="2171"/>
      <c r="K91" s="2171"/>
      <c r="L91" s="2171"/>
      <c r="M91" s="2171"/>
      <c r="N91" s="2171"/>
      <c r="O91" s="2171"/>
      <c r="P91" s="2171"/>
      <c r="Q91" s="2171"/>
      <c r="R91" s="2171"/>
      <c r="S91" s="2171"/>
      <c r="T91" s="2171"/>
      <c r="U91" s="2171"/>
      <c r="V91" s="2171"/>
      <c r="W91" s="2171"/>
      <c r="X91" s="2171"/>
      <c r="Y91" s="2171"/>
      <c r="Z91" s="2171"/>
      <c r="AA91" s="2171"/>
      <c r="AB91" s="2171"/>
      <c r="AC91" s="2171"/>
      <c r="AD91" s="2171"/>
      <c r="AE91" s="2171"/>
      <c r="AF91" s="2171"/>
      <c r="AG91" s="2171"/>
      <c r="AH91" s="2171"/>
      <c r="AI91" s="2171"/>
      <c r="AJ91" s="2171"/>
      <c r="AK91" s="2171"/>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2172" t="s">
        <v>1966</v>
      </c>
      <c r="H93" s="2172"/>
      <c r="I93" s="2172"/>
      <c r="J93" s="2172"/>
      <c r="K93" s="2172"/>
      <c r="L93" s="2172"/>
      <c r="M93" s="2172"/>
      <c r="N93" s="2172"/>
      <c r="O93" s="2172"/>
      <c r="P93" s="2172"/>
      <c r="Q93" s="2172"/>
      <c r="R93" s="2172"/>
      <c r="S93" s="2172"/>
      <c r="T93" s="2172"/>
      <c r="U93" s="2172"/>
      <c r="V93" s="2172"/>
      <c r="W93" s="2172"/>
      <c r="X93" s="2172"/>
      <c r="Y93" s="2172"/>
      <c r="Z93" s="2172"/>
      <c r="AA93" s="2172"/>
      <c r="AB93" s="2172"/>
      <c r="AC93" s="2172"/>
      <c r="AD93" s="2172"/>
      <c r="AE93" s="2172"/>
      <c r="AF93" s="2172"/>
      <c r="AG93" s="2172"/>
      <c r="AH93" s="2172"/>
      <c r="AI93" s="2172"/>
      <c r="AJ93" s="2172"/>
      <c r="AK93" s="2172"/>
      <c r="AL93" s="1125"/>
    </row>
    <row r="94" spans="1:38">
      <c r="A94" s="1124"/>
      <c r="B94" s="1125"/>
      <c r="C94" s="1126"/>
      <c r="D94" s="1124"/>
      <c r="E94" s="1124"/>
      <c r="F94" s="1125"/>
      <c r="G94" s="2172"/>
      <c r="H94" s="2172"/>
      <c r="I94" s="2172"/>
      <c r="J94" s="2172"/>
      <c r="K94" s="2172"/>
      <c r="L94" s="2172"/>
      <c r="M94" s="2172"/>
      <c r="N94" s="2172"/>
      <c r="O94" s="2172"/>
      <c r="P94" s="2172"/>
      <c r="Q94" s="2172"/>
      <c r="R94" s="2172"/>
      <c r="S94" s="2172"/>
      <c r="T94" s="2172"/>
      <c r="U94" s="2172"/>
      <c r="V94" s="2172"/>
      <c r="W94" s="2172"/>
      <c r="X94" s="2172"/>
      <c r="Y94" s="2172"/>
      <c r="Z94" s="2172"/>
      <c r="AA94" s="2172"/>
      <c r="AB94" s="2172"/>
      <c r="AC94" s="2172"/>
      <c r="AD94" s="2172"/>
      <c r="AE94" s="2172"/>
      <c r="AF94" s="2172"/>
      <c r="AG94" s="2172"/>
      <c r="AH94" s="2172"/>
      <c r="AI94" s="2172"/>
      <c r="AJ94" s="2172"/>
      <c r="AK94" s="2172"/>
      <c r="AL94" s="1125"/>
    </row>
    <row r="95" spans="1:38">
      <c r="A95" s="1124"/>
      <c r="B95" s="1125"/>
      <c r="C95" s="1126"/>
      <c r="D95" s="1124"/>
      <c r="E95" s="1124"/>
      <c r="F95" s="1125"/>
      <c r="G95" s="2172"/>
      <c r="H95" s="2172"/>
      <c r="I95" s="2172"/>
      <c r="J95" s="2172"/>
      <c r="K95" s="2172"/>
      <c r="L95" s="2172"/>
      <c r="M95" s="2172"/>
      <c r="N95" s="2172"/>
      <c r="O95" s="2172"/>
      <c r="P95" s="2172"/>
      <c r="Q95" s="2172"/>
      <c r="R95" s="2172"/>
      <c r="S95" s="2172"/>
      <c r="T95" s="2172"/>
      <c r="U95" s="2172"/>
      <c r="V95" s="2172"/>
      <c r="W95" s="2172"/>
      <c r="X95" s="2172"/>
      <c r="Y95" s="2172"/>
      <c r="Z95" s="2172"/>
      <c r="AA95" s="2172"/>
      <c r="AB95" s="2172"/>
      <c r="AC95" s="2172"/>
      <c r="AD95" s="2172"/>
      <c r="AE95" s="2172"/>
      <c r="AF95" s="2172"/>
      <c r="AG95" s="2172"/>
      <c r="AH95" s="2172"/>
      <c r="AI95" s="2172"/>
      <c r="AJ95" s="2172"/>
      <c r="AK95" s="2172"/>
      <c r="AL95" s="1125"/>
    </row>
    <row r="96" spans="1:38">
      <c r="A96" s="1124"/>
      <c r="B96" s="1125"/>
      <c r="C96" s="1126"/>
      <c r="D96" s="1124"/>
      <c r="E96" s="1124"/>
      <c r="F96" s="1125"/>
      <c r="G96" s="2172"/>
      <c r="H96" s="2172"/>
      <c r="I96" s="2172"/>
      <c r="J96" s="2172"/>
      <c r="K96" s="2172"/>
      <c r="L96" s="2172"/>
      <c r="M96" s="2172"/>
      <c r="N96" s="2172"/>
      <c r="O96" s="2172"/>
      <c r="P96" s="2172"/>
      <c r="Q96" s="2172"/>
      <c r="R96" s="2172"/>
      <c r="S96" s="2172"/>
      <c r="T96" s="2172"/>
      <c r="U96" s="2172"/>
      <c r="V96" s="2172"/>
      <c r="W96" s="2172"/>
      <c r="X96" s="2172"/>
      <c r="Y96" s="2172"/>
      <c r="Z96" s="2172"/>
      <c r="AA96" s="2172"/>
      <c r="AB96" s="2172"/>
      <c r="AC96" s="2172"/>
      <c r="AD96" s="2172"/>
      <c r="AE96" s="2172"/>
      <c r="AF96" s="2172"/>
      <c r="AG96" s="2172"/>
      <c r="AH96" s="2172"/>
      <c r="AI96" s="2172"/>
      <c r="AJ96" s="2172"/>
      <c r="AK96" s="2172"/>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2171" t="s">
        <v>1967</v>
      </c>
      <c r="H98" s="2171"/>
      <c r="I98" s="2171"/>
      <c r="J98" s="2171"/>
      <c r="K98" s="2171"/>
      <c r="L98" s="2171"/>
      <c r="M98" s="2171"/>
      <c r="N98" s="2171"/>
      <c r="O98" s="2171"/>
      <c r="P98" s="2171"/>
      <c r="Q98" s="2171"/>
      <c r="R98" s="2171"/>
      <c r="S98" s="2171"/>
      <c r="T98" s="2171"/>
      <c r="U98" s="2171"/>
      <c r="V98" s="2171"/>
      <c r="W98" s="2171"/>
      <c r="X98" s="2171"/>
      <c r="Y98" s="2171"/>
      <c r="Z98" s="2171"/>
      <c r="AA98" s="2171"/>
      <c r="AB98" s="2171"/>
      <c r="AC98" s="2171"/>
      <c r="AD98" s="2171"/>
      <c r="AE98" s="2171"/>
      <c r="AF98" s="2171"/>
      <c r="AG98" s="2171"/>
      <c r="AH98" s="2171"/>
      <c r="AI98" s="2171"/>
      <c r="AJ98" s="2171"/>
      <c r="AK98" s="2171"/>
      <c r="AL98" s="1"/>
    </row>
    <row r="99" spans="1:38">
      <c r="A99" s="295"/>
      <c r="B99" s="1"/>
      <c r="C99" s="376"/>
      <c r="D99" s="295"/>
      <c r="E99" s="295"/>
      <c r="F99" s="1"/>
      <c r="G99" s="2171"/>
      <c r="H99" s="2171"/>
      <c r="I99" s="2171"/>
      <c r="J99" s="2171"/>
      <c r="K99" s="2171"/>
      <c r="L99" s="2171"/>
      <c r="M99" s="2171"/>
      <c r="N99" s="2171"/>
      <c r="O99" s="2171"/>
      <c r="P99" s="2171"/>
      <c r="Q99" s="2171"/>
      <c r="R99" s="2171"/>
      <c r="S99" s="2171"/>
      <c r="T99" s="2171"/>
      <c r="U99" s="2171"/>
      <c r="V99" s="2171"/>
      <c r="W99" s="2171"/>
      <c r="X99" s="2171"/>
      <c r="Y99" s="2171"/>
      <c r="Z99" s="2171"/>
      <c r="AA99" s="2171"/>
      <c r="AB99" s="2171"/>
      <c r="AC99" s="2171"/>
      <c r="AD99" s="2171"/>
      <c r="AE99" s="2171"/>
      <c r="AF99" s="2171"/>
      <c r="AG99" s="2171"/>
      <c r="AH99" s="2171"/>
      <c r="AI99" s="2171"/>
      <c r="AJ99" s="2171"/>
      <c r="AK99" s="2171"/>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2171" t="s">
        <v>1968</v>
      </c>
      <c r="H101" s="2171"/>
      <c r="I101" s="2171"/>
      <c r="J101" s="2171"/>
      <c r="K101" s="2171"/>
      <c r="L101" s="2171"/>
      <c r="M101" s="2171"/>
      <c r="N101" s="2171"/>
      <c r="O101" s="2171"/>
      <c r="P101" s="2171"/>
      <c r="Q101" s="2171"/>
      <c r="R101" s="2171"/>
      <c r="S101" s="2171"/>
      <c r="T101" s="2171"/>
      <c r="U101" s="2171"/>
      <c r="V101" s="2171"/>
      <c r="W101" s="2171"/>
      <c r="X101" s="2171"/>
      <c r="Y101" s="2171"/>
      <c r="Z101" s="2171"/>
      <c r="AA101" s="2171"/>
      <c r="AB101" s="2171"/>
      <c r="AC101" s="2171"/>
      <c r="AD101" s="2171"/>
      <c r="AE101" s="2171"/>
      <c r="AF101" s="2171"/>
      <c r="AG101" s="2171"/>
      <c r="AH101" s="2171"/>
      <c r="AI101" s="2171"/>
      <c r="AJ101" s="2171"/>
      <c r="AK101" s="2171"/>
      <c r="AL101" s="1"/>
    </row>
    <row r="102" spans="1:38">
      <c r="A102" s="295"/>
      <c r="B102" s="1"/>
      <c r="C102" s="376"/>
      <c r="D102" s="295"/>
      <c r="E102" s="295"/>
      <c r="F102" s="1"/>
      <c r="G102" s="2171"/>
      <c r="H102" s="2171"/>
      <c r="I102" s="2171"/>
      <c r="J102" s="2171"/>
      <c r="K102" s="2171"/>
      <c r="L102" s="2171"/>
      <c r="M102" s="2171"/>
      <c r="N102" s="2171"/>
      <c r="O102" s="2171"/>
      <c r="P102" s="2171"/>
      <c r="Q102" s="2171"/>
      <c r="R102" s="2171"/>
      <c r="S102" s="2171"/>
      <c r="T102" s="2171"/>
      <c r="U102" s="2171"/>
      <c r="V102" s="2171"/>
      <c r="W102" s="2171"/>
      <c r="X102" s="2171"/>
      <c r="Y102" s="2171"/>
      <c r="Z102" s="2171"/>
      <c r="AA102" s="2171"/>
      <c r="AB102" s="2171"/>
      <c r="AC102" s="2171"/>
      <c r="AD102" s="2171"/>
      <c r="AE102" s="2171"/>
      <c r="AF102" s="2171"/>
      <c r="AG102" s="2171"/>
      <c r="AH102" s="2171"/>
      <c r="AI102" s="2171"/>
      <c r="AJ102" s="2171"/>
      <c r="AK102" s="2171"/>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2171" t="s">
        <v>1969</v>
      </c>
      <c r="H104" s="2171"/>
      <c r="I104" s="2171"/>
      <c r="J104" s="2171"/>
      <c r="K104" s="2171"/>
      <c r="L104" s="2171"/>
      <c r="M104" s="2171"/>
      <c r="N104" s="2171"/>
      <c r="O104" s="2171"/>
      <c r="P104" s="2171"/>
      <c r="Q104" s="2171"/>
      <c r="R104" s="2171"/>
      <c r="S104" s="2171"/>
      <c r="T104" s="2171"/>
      <c r="U104" s="2171"/>
      <c r="V104" s="2171"/>
      <c r="W104" s="2171"/>
      <c r="X104" s="2171"/>
      <c r="Y104" s="2171"/>
      <c r="Z104" s="2171"/>
      <c r="AA104" s="2171"/>
      <c r="AB104" s="2171"/>
      <c r="AC104" s="2171"/>
      <c r="AD104" s="2171"/>
      <c r="AE104" s="2171"/>
      <c r="AF104" s="2171"/>
      <c r="AG104" s="2171"/>
      <c r="AH104" s="2171"/>
      <c r="AI104" s="2171"/>
      <c r="AJ104" s="2171"/>
      <c r="AK104" s="2171"/>
      <c r="AL104" s="1"/>
    </row>
    <row r="105" spans="1:38">
      <c r="A105" s="300"/>
      <c r="B105" s="284"/>
      <c r="C105" s="377"/>
      <c r="D105" s="300"/>
      <c r="E105" s="300"/>
      <c r="F105" s="300"/>
      <c r="G105" s="2171"/>
      <c r="H105" s="2171"/>
      <c r="I105" s="2171"/>
      <c r="J105" s="2171"/>
      <c r="K105" s="2171"/>
      <c r="L105" s="2171"/>
      <c r="M105" s="2171"/>
      <c r="N105" s="2171"/>
      <c r="O105" s="2171"/>
      <c r="P105" s="2171"/>
      <c r="Q105" s="2171"/>
      <c r="R105" s="2171"/>
      <c r="S105" s="2171"/>
      <c r="T105" s="2171"/>
      <c r="U105" s="2171"/>
      <c r="V105" s="2171"/>
      <c r="W105" s="2171"/>
      <c r="X105" s="2171"/>
      <c r="Y105" s="2171"/>
      <c r="Z105" s="2171"/>
      <c r="AA105" s="2171"/>
      <c r="AB105" s="2171"/>
      <c r="AC105" s="2171"/>
      <c r="AD105" s="2171"/>
      <c r="AE105" s="2171"/>
      <c r="AF105" s="2171"/>
      <c r="AG105" s="2171"/>
      <c r="AH105" s="2171"/>
      <c r="AI105" s="2171"/>
      <c r="AJ105" s="2171"/>
      <c r="AK105" s="2171"/>
      <c r="AL105" s="284"/>
    </row>
    <row r="106" spans="1:38">
      <c r="A106" s="300"/>
      <c r="B106" s="284"/>
      <c r="C106" s="377"/>
      <c r="D106" s="377"/>
      <c r="E106" s="300"/>
      <c r="F106" s="300"/>
      <c r="G106" s="2171"/>
      <c r="H106" s="2171"/>
      <c r="I106" s="2171"/>
      <c r="J106" s="2171"/>
      <c r="K106" s="2171"/>
      <c r="L106" s="2171"/>
      <c r="M106" s="2171"/>
      <c r="N106" s="2171"/>
      <c r="O106" s="2171"/>
      <c r="P106" s="2171"/>
      <c r="Q106" s="2171"/>
      <c r="R106" s="2171"/>
      <c r="S106" s="2171"/>
      <c r="T106" s="2171"/>
      <c r="U106" s="2171"/>
      <c r="V106" s="2171"/>
      <c r="W106" s="2171"/>
      <c r="X106" s="2171"/>
      <c r="Y106" s="2171"/>
      <c r="Z106" s="2171"/>
      <c r="AA106" s="2171"/>
      <c r="AB106" s="2171"/>
      <c r="AC106" s="2171"/>
      <c r="AD106" s="2171"/>
      <c r="AE106" s="2171"/>
      <c r="AF106" s="2171"/>
      <c r="AG106" s="2171"/>
      <c r="AH106" s="2171"/>
      <c r="AI106" s="2171"/>
      <c r="AJ106" s="2171"/>
      <c r="AK106" s="2171"/>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2171" t="s">
        <v>1970</v>
      </c>
      <c r="H108" s="2171"/>
      <c r="I108" s="2171"/>
      <c r="J108" s="2171"/>
      <c r="K108" s="2171"/>
      <c r="L108" s="2171"/>
      <c r="M108" s="2171"/>
      <c r="N108" s="2171"/>
      <c r="O108" s="2171"/>
      <c r="P108" s="2171"/>
      <c r="Q108" s="2171"/>
      <c r="R108" s="2171"/>
      <c r="S108" s="2171"/>
      <c r="T108" s="2171"/>
      <c r="U108" s="2171"/>
      <c r="V108" s="2171"/>
      <c r="W108" s="2171"/>
      <c r="X108" s="2171"/>
      <c r="Y108" s="2171"/>
      <c r="Z108" s="2171"/>
      <c r="AA108" s="2171"/>
      <c r="AB108" s="2171"/>
      <c r="AC108" s="2171"/>
      <c r="AD108" s="2171"/>
      <c r="AE108" s="2171"/>
      <c r="AF108" s="2171"/>
      <c r="AG108" s="2171"/>
      <c r="AH108" s="2171"/>
      <c r="AI108" s="2171"/>
      <c r="AJ108" s="2171"/>
      <c r="AK108" s="2171"/>
      <c r="AL108" s="1"/>
    </row>
    <row r="109" spans="1:38">
      <c r="A109" s="295"/>
      <c r="B109" s="1"/>
      <c r="C109" s="376"/>
      <c r="D109" s="376"/>
      <c r="E109" s="295"/>
      <c r="F109" s="295"/>
      <c r="G109" s="2171"/>
      <c r="H109" s="2171"/>
      <c r="I109" s="2171"/>
      <c r="J109" s="2171"/>
      <c r="K109" s="2171"/>
      <c r="L109" s="2171"/>
      <c r="M109" s="2171"/>
      <c r="N109" s="2171"/>
      <c r="O109" s="2171"/>
      <c r="P109" s="2171"/>
      <c r="Q109" s="2171"/>
      <c r="R109" s="2171"/>
      <c r="S109" s="2171"/>
      <c r="T109" s="2171"/>
      <c r="U109" s="2171"/>
      <c r="V109" s="2171"/>
      <c r="W109" s="2171"/>
      <c r="X109" s="2171"/>
      <c r="Y109" s="2171"/>
      <c r="Z109" s="2171"/>
      <c r="AA109" s="2171"/>
      <c r="AB109" s="2171"/>
      <c r="AC109" s="2171"/>
      <c r="AD109" s="2171"/>
      <c r="AE109" s="2171"/>
      <c r="AF109" s="2171"/>
      <c r="AG109" s="2171"/>
      <c r="AH109" s="2171"/>
      <c r="AI109" s="2171"/>
      <c r="AJ109" s="2171"/>
      <c r="AK109" s="2171"/>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2179" t="s">
        <v>1971</v>
      </c>
      <c r="F111" s="2179"/>
      <c r="G111" s="2179"/>
      <c r="H111" s="2179"/>
      <c r="I111" s="2179"/>
      <c r="J111" s="2179"/>
      <c r="K111" s="2179"/>
      <c r="L111" s="2179"/>
      <c r="M111" s="2179"/>
      <c r="N111" s="2179"/>
      <c r="O111" s="2179"/>
      <c r="P111" s="2179"/>
      <c r="Q111" s="2179"/>
      <c r="R111" s="2179"/>
      <c r="S111" s="2179"/>
      <c r="T111" s="2179"/>
      <c r="U111" s="2179"/>
      <c r="V111" s="2179"/>
      <c r="W111" s="2179"/>
      <c r="X111" s="2179"/>
      <c r="Y111" s="2179"/>
      <c r="Z111" s="2179"/>
      <c r="AA111" s="2179"/>
      <c r="AB111" s="2179"/>
      <c r="AC111" s="2179"/>
      <c r="AD111" s="2179"/>
      <c r="AE111" s="2179"/>
      <c r="AF111" s="2179"/>
      <c r="AG111" s="2179"/>
      <c r="AH111" s="2179"/>
      <c r="AI111" s="2179"/>
      <c r="AJ111" s="2179"/>
      <c r="AK111" s="2179"/>
      <c r="AL111" s="1"/>
    </row>
    <row r="112" spans="1:38">
      <c r="A112" s="295"/>
      <c r="B112" s="1"/>
      <c r="C112" s="1"/>
      <c r="D112" s="1127"/>
      <c r="E112" s="2179"/>
      <c r="F112" s="2179"/>
      <c r="G112" s="2179"/>
      <c r="H112" s="2179"/>
      <c r="I112" s="2179"/>
      <c r="J112" s="2179"/>
      <c r="K112" s="2179"/>
      <c r="L112" s="2179"/>
      <c r="M112" s="2179"/>
      <c r="N112" s="2179"/>
      <c r="O112" s="2179"/>
      <c r="P112" s="2179"/>
      <c r="Q112" s="2179"/>
      <c r="R112" s="2179"/>
      <c r="S112" s="2179"/>
      <c r="T112" s="2179"/>
      <c r="U112" s="2179"/>
      <c r="V112" s="2179"/>
      <c r="W112" s="2179"/>
      <c r="X112" s="2179"/>
      <c r="Y112" s="2179"/>
      <c r="Z112" s="2179"/>
      <c r="AA112" s="2179"/>
      <c r="AB112" s="2179"/>
      <c r="AC112" s="2179"/>
      <c r="AD112" s="2179"/>
      <c r="AE112" s="2179"/>
      <c r="AF112" s="2179"/>
      <c r="AG112" s="2179"/>
      <c r="AH112" s="2179"/>
      <c r="AI112" s="2179"/>
      <c r="AJ112" s="2179"/>
      <c r="AK112" s="2179"/>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2171" t="s">
        <v>1974</v>
      </c>
      <c r="F144" s="2171"/>
      <c r="G144" s="2171"/>
      <c r="H144" s="2171"/>
      <c r="I144" s="2171"/>
      <c r="J144" s="2171"/>
      <c r="K144" s="2171"/>
      <c r="L144" s="2171"/>
      <c r="M144" s="2171"/>
      <c r="N144" s="2171"/>
      <c r="O144" s="2171"/>
      <c r="P144" s="2171"/>
      <c r="Q144" s="2171"/>
      <c r="R144" s="2171"/>
      <c r="S144" s="2171"/>
      <c r="T144" s="2171"/>
      <c r="U144" s="2171"/>
      <c r="V144" s="2171"/>
      <c r="W144" s="2171"/>
      <c r="X144" s="2171"/>
      <c r="Y144" s="2171"/>
      <c r="Z144" s="2171"/>
      <c r="AA144" s="2171"/>
      <c r="AB144" s="2171"/>
      <c r="AC144" s="2171"/>
      <c r="AD144" s="2171"/>
      <c r="AE144" s="2171"/>
      <c r="AF144" s="2171"/>
      <c r="AG144" s="2171"/>
      <c r="AH144" s="2171"/>
      <c r="AI144" s="2171"/>
      <c r="AJ144" s="2171"/>
      <c r="AK144" s="2171"/>
      <c r="AL144" s="1"/>
    </row>
    <row r="145" spans="1:38">
      <c r="A145" s="1"/>
      <c r="B145" s="1"/>
      <c r="C145" s="1"/>
      <c r="D145" s="1"/>
      <c r="E145" s="2171"/>
      <c r="F145" s="2171"/>
      <c r="G145" s="2171"/>
      <c r="H145" s="2171"/>
      <c r="I145" s="2171"/>
      <c r="J145" s="2171"/>
      <c r="K145" s="2171"/>
      <c r="L145" s="2171"/>
      <c r="M145" s="2171"/>
      <c r="N145" s="2171"/>
      <c r="O145" s="2171"/>
      <c r="P145" s="2171"/>
      <c r="Q145" s="2171"/>
      <c r="R145" s="2171"/>
      <c r="S145" s="2171"/>
      <c r="T145" s="2171"/>
      <c r="U145" s="2171"/>
      <c r="V145" s="2171"/>
      <c r="W145" s="2171"/>
      <c r="X145" s="2171"/>
      <c r="Y145" s="2171"/>
      <c r="Z145" s="2171"/>
      <c r="AA145" s="2171"/>
      <c r="AB145" s="2171"/>
      <c r="AC145" s="2171"/>
      <c r="AD145" s="2171"/>
      <c r="AE145" s="2171"/>
      <c r="AF145" s="2171"/>
      <c r="AG145" s="2171"/>
      <c r="AH145" s="2171"/>
      <c r="AI145" s="2171"/>
      <c r="AJ145" s="2171"/>
      <c r="AK145" s="2171"/>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2171" t="s">
        <v>1975</v>
      </c>
      <c r="H157" s="2171"/>
      <c r="I157" s="2171"/>
      <c r="J157" s="2171"/>
      <c r="K157" s="2171"/>
      <c r="L157" s="2171"/>
      <c r="M157" s="2171"/>
      <c r="N157" s="2171"/>
      <c r="O157" s="2171"/>
      <c r="P157" s="2171"/>
      <c r="Q157" s="2171"/>
      <c r="R157" s="2171"/>
      <c r="S157" s="2171"/>
      <c r="T157" s="2171"/>
      <c r="U157" s="2171"/>
      <c r="V157" s="2171"/>
      <c r="W157" s="2171"/>
      <c r="X157" s="2171"/>
      <c r="Y157" s="2171"/>
      <c r="Z157" s="2171"/>
      <c r="AA157" s="2171"/>
      <c r="AB157" s="2171"/>
      <c r="AC157" s="2171"/>
      <c r="AD157" s="2171"/>
      <c r="AE157" s="2171"/>
      <c r="AF157" s="2171"/>
      <c r="AG157" s="2171"/>
      <c r="AH157" s="2171"/>
      <c r="AI157" s="2171"/>
      <c r="AJ157" s="2171"/>
      <c r="AK157" s="2171"/>
      <c r="AL157" s="1"/>
    </row>
    <row r="158" spans="1:38">
      <c r="A158" s="1"/>
      <c r="B158" s="1"/>
      <c r="C158" s="1"/>
      <c r="D158" s="1"/>
      <c r="E158" s="1"/>
      <c r="F158" s="1"/>
      <c r="G158" s="2171"/>
      <c r="H158" s="2171"/>
      <c r="I158" s="2171"/>
      <c r="J158" s="2171"/>
      <c r="K158" s="2171"/>
      <c r="L158" s="2171"/>
      <c r="M158" s="2171"/>
      <c r="N158" s="2171"/>
      <c r="O158" s="2171"/>
      <c r="P158" s="2171"/>
      <c r="Q158" s="2171"/>
      <c r="R158" s="2171"/>
      <c r="S158" s="2171"/>
      <c r="T158" s="2171"/>
      <c r="U158" s="2171"/>
      <c r="V158" s="2171"/>
      <c r="W158" s="2171"/>
      <c r="X158" s="2171"/>
      <c r="Y158" s="2171"/>
      <c r="Z158" s="2171"/>
      <c r="AA158" s="2171"/>
      <c r="AB158" s="2171"/>
      <c r="AC158" s="2171"/>
      <c r="AD158" s="2171"/>
      <c r="AE158" s="2171"/>
      <c r="AF158" s="2171"/>
      <c r="AG158" s="2171"/>
      <c r="AH158" s="2171"/>
      <c r="AI158" s="2171"/>
      <c r="AJ158" s="2171"/>
      <c r="AK158" s="2171"/>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2171" t="s">
        <v>1976</v>
      </c>
      <c r="H221" s="2171"/>
      <c r="I221" s="2171"/>
      <c r="J221" s="2171"/>
      <c r="K221" s="2171"/>
      <c r="L221" s="2171"/>
      <c r="M221" s="2171"/>
      <c r="N221" s="2171"/>
      <c r="O221" s="2171"/>
      <c r="P221" s="2171"/>
      <c r="Q221" s="2171"/>
      <c r="R221" s="2171"/>
      <c r="S221" s="2171"/>
      <c r="T221" s="2171"/>
      <c r="U221" s="2171"/>
      <c r="V221" s="2171"/>
      <c r="W221" s="2171"/>
      <c r="X221" s="2171"/>
      <c r="Y221" s="2171"/>
      <c r="Z221" s="2171"/>
      <c r="AA221" s="2171"/>
      <c r="AB221" s="2171"/>
      <c r="AC221" s="2171"/>
      <c r="AD221" s="2171"/>
      <c r="AE221" s="2171"/>
      <c r="AF221" s="2171"/>
      <c r="AG221" s="2171"/>
      <c r="AH221" s="2171"/>
      <c r="AI221" s="2171"/>
      <c r="AJ221" s="2171"/>
      <c r="AK221" s="2171"/>
      <c r="AL221" s="1"/>
    </row>
    <row r="222" spans="1:38">
      <c r="A222" s="1"/>
      <c r="B222" s="295"/>
      <c r="C222" s="295"/>
      <c r="D222" s="376"/>
      <c r="E222" s="1"/>
      <c r="F222" s="1"/>
      <c r="G222" s="2171"/>
      <c r="H222" s="2171"/>
      <c r="I222" s="2171"/>
      <c r="J222" s="2171"/>
      <c r="K222" s="2171"/>
      <c r="L222" s="2171"/>
      <c r="M222" s="2171"/>
      <c r="N222" s="2171"/>
      <c r="O222" s="2171"/>
      <c r="P222" s="2171"/>
      <c r="Q222" s="2171"/>
      <c r="R222" s="2171"/>
      <c r="S222" s="2171"/>
      <c r="T222" s="2171"/>
      <c r="U222" s="2171"/>
      <c r="V222" s="2171"/>
      <c r="W222" s="2171"/>
      <c r="X222" s="2171"/>
      <c r="Y222" s="2171"/>
      <c r="Z222" s="2171"/>
      <c r="AA222" s="2171"/>
      <c r="AB222" s="2171"/>
      <c r="AC222" s="2171"/>
      <c r="AD222" s="2171"/>
      <c r="AE222" s="2171"/>
      <c r="AF222" s="2171"/>
      <c r="AG222" s="2171"/>
      <c r="AH222" s="2171"/>
      <c r="AI222" s="2171"/>
      <c r="AJ222" s="2171"/>
      <c r="AK222" s="2171"/>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2171" t="s">
        <v>1977</v>
      </c>
      <c r="H232" s="2171"/>
      <c r="I232" s="2171"/>
      <c r="J232" s="2171"/>
      <c r="K232" s="2171"/>
      <c r="L232" s="2171"/>
      <c r="M232" s="2171"/>
      <c r="N232" s="2171"/>
      <c r="O232" s="2171"/>
      <c r="P232" s="2171"/>
      <c r="Q232" s="2171"/>
      <c r="R232" s="2171"/>
      <c r="S232" s="2171"/>
      <c r="T232" s="2171"/>
      <c r="U232" s="2171"/>
      <c r="V232" s="2171"/>
      <c r="W232" s="2171"/>
      <c r="X232" s="2171"/>
      <c r="Y232" s="2171"/>
      <c r="Z232" s="2171"/>
      <c r="AA232" s="2171"/>
      <c r="AB232" s="2171"/>
      <c r="AC232" s="2171"/>
      <c r="AD232" s="2171"/>
      <c r="AE232" s="2171"/>
      <c r="AF232" s="2171"/>
      <c r="AG232" s="2171"/>
      <c r="AH232" s="2171"/>
      <c r="AI232" s="2171"/>
      <c r="AJ232" s="2171"/>
      <c r="AK232" s="2171"/>
      <c r="AL232" s="1"/>
    </row>
    <row r="233" spans="1:38">
      <c r="A233" s="1"/>
      <c r="B233" s="295"/>
      <c r="C233" s="295"/>
      <c r="D233" s="1"/>
      <c r="E233" s="1"/>
      <c r="F233" s="295"/>
      <c r="G233" s="2171"/>
      <c r="H233" s="2171"/>
      <c r="I233" s="2171"/>
      <c r="J233" s="2171"/>
      <c r="K233" s="2171"/>
      <c r="L233" s="2171"/>
      <c r="M233" s="2171"/>
      <c r="N233" s="2171"/>
      <c r="O233" s="2171"/>
      <c r="P233" s="2171"/>
      <c r="Q233" s="2171"/>
      <c r="R233" s="2171"/>
      <c r="S233" s="2171"/>
      <c r="T233" s="2171"/>
      <c r="U233" s="2171"/>
      <c r="V233" s="2171"/>
      <c r="W233" s="2171"/>
      <c r="X233" s="2171"/>
      <c r="Y233" s="2171"/>
      <c r="Z233" s="2171"/>
      <c r="AA233" s="2171"/>
      <c r="AB233" s="2171"/>
      <c r="AC233" s="2171"/>
      <c r="AD233" s="2171"/>
      <c r="AE233" s="2171"/>
      <c r="AF233" s="2171"/>
      <c r="AG233" s="2171"/>
      <c r="AH233" s="2171"/>
      <c r="AI233" s="2171"/>
      <c r="AJ233" s="2171"/>
      <c r="AK233" s="2171"/>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2171" t="s">
        <v>1978</v>
      </c>
      <c r="H235" s="2171"/>
      <c r="I235" s="2171"/>
      <c r="J235" s="2171"/>
      <c r="K235" s="2171"/>
      <c r="L235" s="2171"/>
      <c r="M235" s="2171"/>
      <c r="N235" s="2171"/>
      <c r="O235" s="2171"/>
      <c r="P235" s="2171"/>
      <c r="Q235" s="2171"/>
      <c r="R235" s="2171"/>
      <c r="S235" s="2171"/>
      <c r="T235" s="2171"/>
      <c r="U235" s="2171"/>
      <c r="V235" s="2171"/>
      <c r="W235" s="2171"/>
      <c r="X235" s="2171"/>
      <c r="Y235" s="2171"/>
      <c r="Z235" s="2171"/>
      <c r="AA235" s="2171"/>
      <c r="AB235" s="2171"/>
      <c r="AC235" s="2171"/>
      <c r="AD235" s="2171"/>
      <c r="AE235" s="2171"/>
      <c r="AF235" s="2171"/>
      <c r="AG235" s="2171"/>
      <c r="AH235" s="2171"/>
      <c r="AI235" s="2171"/>
      <c r="AJ235" s="2171"/>
      <c r="AK235" s="2171"/>
      <c r="AL235" s="1"/>
    </row>
    <row r="236" spans="1:38">
      <c r="A236" s="1"/>
      <c r="B236" s="295"/>
      <c r="C236" s="295"/>
      <c r="D236" s="1"/>
      <c r="E236" s="1"/>
      <c r="F236" s="295"/>
      <c r="G236" s="2171"/>
      <c r="H236" s="2171"/>
      <c r="I236" s="2171"/>
      <c r="J236" s="2171"/>
      <c r="K236" s="2171"/>
      <c r="L236" s="2171"/>
      <c r="M236" s="2171"/>
      <c r="N236" s="2171"/>
      <c r="O236" s="2171"/>
      <c r="P236" s="2171"/>
      <c r="Q236" s="2171"/>
      <c r="R236" s="2171"/>
      <c r="S236" s="2171"/>
      <c r="T236" s="2171"/>
      <c r="U236" s="2171"/>
      <c r="V236" s="2171"/>
      <c r="W236" s="2171"/>
      <c r="X236" s="2171"/>
      <c r="Y236" s="2171"/>
      <c r="Z236" s="2171"/>
      <c r="AA236" s="2171"/>
      <c r="AB236" s="2171"/>
      <c r="AC236" s="2171"/>
      <c r="AD236" s="2171"/>
      <c r="AE236" s="2171"/>
      <c r="AF236" s="2171"/>
      <c r="AG236" s="2171"/>
      <c r="AH236" s="2171"/>
      <c r="AI236" s="2171"/>
      <c r="AJ236" s="2171"/>
      <c r="AK236" s="2171"/>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2180" t="s">
        <v>2120</v>
      </c>
      <c r="F342" s="2180"/>
      <c r="G342" s="2180"/>
      <c r="H342" s="2180"/>
      <c r="I342" s="2180"/>
      <c r="J342" s="2180"/>
      <c r="K342" s="2180"/>
      <c r="L342" s="2180"/>
      <c r="M342" s="2180"/>
      <c r="N342" s="2180"/>
      <c r="O342" s="2180"/>
      <c r="P342" s="2180"/>
      <c r="Q342" s="2180"/>
      <c r="R342" s="2180"/>
      <c r="S342" s="2180"/>
      <c r="T342" s="2180"/>
      <c r="U342" s="2180"/>
      <c r="V342" s="2180"/>
      <c r="W342" s="2180"/>
      <c r="X342" s="2180"/>
      <c r="Y342" s="2180"/>
      <c r="Z342" s="2180"/>
      <c r="AA342" s="2180"/>
      <c r="AB342" s="2180"/>
      <c r="AC342" s="2180"/>
      <c r="AD342" s="2180"/>
      <c r="AE342" s="2180"/>
      <c r="AF342" s="2180"/>
      <c r="AG342" s="2180"/>
      <c r="AH342" s="2180"/>
      <c r="AI342" s="2180"/>
      <c r="AJ342" s="2180"/>
      <c r="AK342" s="2180"/>
      <c r="AL342" s="1"/>
    </row>
    <row r="343" spans="1:38">
      <c r="A343" s="1"/>
      <c r="B343" s="376"/>
      <c r="C343" s="1"/>
      <c r="D343" s="1"/>
      <c r="E343" s="2180"/>
      <c r="F343" s="2180"/>
      <c r="G343" s="2180"/>
      <c r="H343" s="2180"/>
      <c r="I343" s="2180"/>
      <c r="J343" s="2180"/>
      <c r="K343" s="2180"/>
      <c r="L343" s="2180"/>
      <c r="M343" s="2180"/>
      <c r="N343" s="2180"/>
      <c r="O343" s="2180"/>
      <c r="P343" s="2180"/>
      <c r="Q343" s="2180"/>
      <c r="R343" s="2180"/>
      <c r="S343" s="2180"/>
      <c r="T343" s="2180"/>
      <c r="U343" s="2180"/>
      <c r="V343" s="2180"/>
      <c r="W343" s="2180"/>
      <c r="X343" s="2180"/>
      <c r="Y343" s="2180"/>
      <c r="Z343" s="2180"/>
      <c r="AA343" s="2180"/>
      <c r="AB343" s="2180"/>
      <c r="AC343" s="2180"/>
      <c r="AD343" s="2180"/>
      <c r="AE343" s="2180"/>
      <c r="AF343" s="2180"/>
      <c r="AG343" s="2180"/>
      <c r="AH343" s="2180"/>
      <c r="AI343" s="2180"/>
      <c r="AJ343" s="2180"/>
      <c r="AK343" s="2180"/>
      <c r="AL343" s="1"/>
    </row>
    <row r="344" spans="1:38">
      <c r="A344" s="1"/>
      <c r="B344" s="376"/>
      <c r="C344" s="1"/>
      <c r="D344" s="1"/>
      <c r="E344" s="2180"/>
      <c r="F344" s="2180"/>
      <c r="G344" s="2180"/>
      <c r="H344" s="2180"/>
      <c r="I344" s="2180"/>
      <c r="J344" s="2180"/>
      <c r="K344" s="2180"/>
      <c r="L344" s="2180"/>
      <c r="M344" s="2180"/>
      <c r="N344" s="2180"/>
      <c r="O344" s="2180"/>
      <c r="P344" s="2180"/>
      <c r="Q344" s="2180"/>
      <c r="R344" s="2180"/>
      <c r="S344" s="2180"/>
      <c r="T344" s="2180"/>
      <c r="U344" s="2180"/>
      <c r="V344" s="2180"/>
      <c r="W344" s="2180"/>
      <c r="X344" s="2180"/>
      <c r="Y344" s="2180"/>
      <c r="Z344" s="2180"/>
      <c r="AA344" s="2180"/>
      <c r="AB344" s="2180"/>
      <c r="AC344" s="2180"/>
      <c r="AD344" s="2180"/>
      <c r="AE344" s="2180"/>
      <c r="AF344" s="2180"/>
      <c r="AG344" s="2180"/>
      <c r="AH344" s="2180"/>
      <c r="AI344" s="2180"/>
      <c r="AJ344" s="2180"/>
      <c r="AK344" s="2180"/>
      <c r="AL344" s="1"/>
    </row>
    <row r="345" spans="1:38">
      <c r="A345" s="1"/>
      <c r="B345" s="376"/>
      <c r="C345" s="1"/>
      <c r="D345" s="1"/>
      <c r="E345" s="2180"/>
      <c r="F345" s="2180"/>
      <c r="G345" s="2180"/>
      <c r="H345" s="2180"/>
      <c r="I345" s="2180"/>
      <c r="J345" s="2180"/>
      <c r="K345" s="2180"/>
      <c r="L345" s="2180"/>
      <c r="M345" s="2180"/>
      <c r="N345" s="2180"/>
      <c r="O345" s="2180"/>
      <c r="P345" s="2180"/>
      <c r="Q345" s="2180"/>
      <c r="R345" s="2180"/>
      <c r="S345" s="2180"/>
      <c r="T345" s="2180"/>
      <c r="U345" s="2180"/>
      <c r="V345" s="2180"/>
      <c r="W345" s="2180"/>
      <c r="X345" s="2180"/>
      <c r="Y345" s="2180"/>
      <c r="Z345" s="2180"/>
      <c r="AA345" s="2180"/>
      <c r="AB345" s="2180"/>
      <c r="AC345" s="2180"/>
      <c r="AD345" s="2180"/>
      <c r="AE345" s="2180"/>
      <c r="AF345" s="2180"/>
      <c r="AG345" s="2180"/>
      <c r="AH345" s="2180"/>
      <c r="AI345" s="2180"/>
      <c r="AJ345" s="2180"/>
      <c r="AK345" s="2180"/>
      <c r="AL345" s="1"/>
    </row>
    <row r="346" spans="1:38">
      <c r="A346" s="1"/>
      <c r="B346" s="376"/>
      <c r="C346" s="1"/>
      <c r="D346" s="1"/>
      <c r="E346" s="2180"/>
      <c r="F346" s="2180"/>
      <c r="G346" s="2180"/>
      <c r="H346" s="2180"/>
      <c r="I346" s="2180"/>
      <c r="J346" s="2180"/>
      <c r="K346" s="2180"/>
      <c r="L346" s="2180"/>
      <c r="M346" s="2180"/>
      <c r="N346" s="2180"/>
      <c r="O346" s="2180"/>
      <c r="P346" s="2180"/>
      <c r="Q346" s="2180"/>
      <c r="R346" s="2180"/>
      <c r="S346" s="2180"/>
      <c r="T346" s="2180"/>
      <c r="U346" s="2180"/>
      <c r="V346" s="2180"/>
      <c r="W346" s="2180"/>
      <c r="X346" s="2180"/>
      <c r="Y346" s="2180"/>
      <c r="Z346" s="2180"/>
      <c r="AA346" s="2180"/>
      <c r="AB346" s="2180"/>
      <c r="AC346" s="2180"/>
      <c r="AD346" s="2180"/>
      <c r="AE346" s="2180"/>
      <c r="AF346" s="2180"/>
      <c r="AG346" s="2180"/>
      <c r="AH346" s="2180"/>
      <c r="AI346" s="2180"/>
      <c r="AJ346" s="2180"/>
      <c r="AK346" s="2180"/>
      <c r="AL346" s="1"/>
    </row>
    <row r="347" spans="1:38">
      <c r="A347" s="1"/>
      <c r="B347" s="376"/>
      <c r="C347" s="1"/>
      <c r="D347" s="1"/>
      <c r="E347" s="295" t="s">
        <v>1015</v>
      </c>
      <c r="F347" s="2171" t="s">
        <v>2121</v>
      </c>
      <c r="G347" s="2178"/>
      <c r="H347" s="2178"/>
      <c r="I347" s="2178"/>
      <c r="J347" s="2178"/>
      <c r="K347" s="2178"/>
      <c r="L347" s="2178"/>
      <c r="M347" s="2178"/>
      <c r="N347" s="2178"/>
      <c r="O347" s="2178"/>
      <c r="P347" s="2178"/>
      <c r="Q347" s="2178"/>
      <c r="R347" s="2178"/>
      <c r="S347" s="2178"/>
      <c r="T347" s="2178"/>
      <c r="U347" s="2178"/>
      <c r="V347" s="2178"/>
      <c r="W347" s="2178"/>
      <c r="X347" s="2178"/>
      <c r="Y347" s="2178"/>
      <c r="Z347" s="2178"/>
      <c r="AA347" s="2178"/>
      <c r="AB347" s="2178"/>
      <c r="AC347" s="2178"/>
      <c r="AD347" s="2178"/>
      <c r="AE347" s="2178"/>
      <c r="AF347" s="2178"/>
      <c r="AG347" s="2178"/>
      <c r="AH347" s="2178"/>
      <c r="AI347" s="2178"/>
      <c r="AJ347" s="2178"/>
      <c r="AK347" s="2178"/>
      <c r="AL347" s="1"/>
    </row>
    <row r="348" spans="1:38">
      <c r="A348" s="1"/>
      <c r="B348" s="376"/>
      <c r="C348" s="1"/>
      <c r="D348" s="1"/>
      <c r="E348" s="295"/>
      <c r="F348" s="2171"/>
      <c r="G348" s="2178"/>
      <c r="H348" s="2178"/>
      <c r="I348" s="2178"/>
      <c r="J348" s="2178"/>
      <c r="K348" s="2178"/>
      <c r="L348" s="2178"/>
      <c r="M348" s="2178"/>
      <c r="N348" s="2178"/>
      <c r="O348" s="2178"/>
      <c r="P348" s="2178"/>
      <c r="Q348" s="2178"/>
      <c r="R348" s="2178"/>
      <c r="S348" s="2178"/>
      <c r="T348" s="2178"/>
      <c r="U348" s="2178"/>
      <c r="V348" s="2178"/>
      <c r="W348" s="2178"/>
      <c r="X348" s="2178"/>
      <c r="Y348" s="2178"/>
      <c r="Z348" s="2178"/>
      <c r="AA348" s="2178"/>
      <c r="AB348" s="2178"/>
      <c r="AC348" s="2178"/>
      <c r="AD348" s="2178"/>
      <c r="AE348" s="2178"/>
      <c r="AF348" s="2178"/>
      <c r="AG348" s="2178"/>
      <c r="AH348" s="2178"/>
      <c r="AI348" s="2178"/>
      <c r="AJ348" s="2178"/>
      <c r="AK348" s="2178"/>
      <c r="AL348" s="1"/>
    </row>
    <row r="349" spans="1:38">
      <c r="A349" s="1"/>
      <c r="B349" s="376"/>
      <c r="C349" s="1"/>
      <c r="D349" s="1"/>
      <c r="E349" s="295"/>
      <c r="F349" s="2178"/>
      <c r="G349" s="2178"/>
      <c r="H349" s="2178"/>
      <c r="I349" s="2178"/>
      <c r="J349" s="2178"/>
      <c r="K349" s="2178"/>
      <c r="L349" s="2178"/>
      <c r="M349" s="2178"/>
      <c r="N349" s="2178"/>
      <c r="O349" s="2178"/>
      <c r="P349" s="2178"/>
      <c r="Q349" s="2178"/>
      <c r="R349" s="2178"/>
      <c r="S349" s="2178"/>
      <c r="T349" s="2178"/>
      <c r="U349" s="2178"/>
      <c r="V349" s="2178"/>
      <c r="W349" s="2178"/>
      <c r="X349" s="2178"/>
      <c r="Y349" s="2178"/>
      <c r="Z349" s="2178"/>
      <c r="AA349" s="2178"/>
      <c r="AB349" s="2178"/>
      <c r="AC349" s="2178"/>
      <c r="AD349" s="2178"/>
      <c r="AE349" s="2178"/>
      <c r="AF349" s="2178"/>
      <c r="AG349" s="2178"/>
      <c r="AH349" s="2178"/>
      <c r="AI349" s="2178"/>
      <c r="AJ349" s="2178"/>
      <c r="AK349" s="2178"/>
      <c r="AL349" s="1"/>
    </row>
    <row r="350" spans="1:38">
      <c r="A350" s="1"/>
      <c r="B350" s="376"/>
      <c r="C350" s="1"/>
      <c r="D350" s="1"/>
      <c r="E350" s="295"/>
      <c r="F350" s="2178"/>
      <c r="G350" s="2178"/>
      <c r="H350" s="2178"/>
      <c r="I350" s="2178"/>
      <c r="J350" s="2178"/>
      <c r="K350" s="2178"/>
      <c r="L350" s="2178"/>
      <c r="M350" s="2178"/>
      <c r="N350" s="2178"/>
      <c r="O350" s="2178"/>
      <c r="P350" s="2178"/>
      <c r="Q350" s="2178"/>
      <c r="R350" s="2178"/>
      <c r="S350" s="2178"/>
      <c r="T350" s="2178"/>
      <c r="U350" s="2178"/>
      <c r="V350" s="2178"/>
      <c r="W350" s="2178"/>
      <c r="X350" s="2178"/>
      <c r="Y350" s="2178"/>
      <c r="Z350" s="2178"/>
      <c r="AA350" s="2178"/>
      <c r="AB350" s="2178"/>
      <c r="AC350" s="2178"/>
      <c r="AD350" s="2178"/>
      <c r="AE350" s="2178"/>
      <c r="AF350" s="2178"/>
      <c r="AG350" s="2178"/>
      <c r="AH350" s="2178"/>
      <c r="AI350" s="2178"/>
      <c r="AJ350" s="2178"/>
      <c r="AK350" s="2178"/>
      <c r="AL350" s="1"/>
    </row>
    <row r="351" spans="1:38">
      <c r="A351" s="1"/>
      <c r="B351" s="376"/>
      <c r="C351" s="1"/>
      <c r="D351" s="1"/>
      <c r="E351" s="295" t="s">
        <v>1016</v>
      </c>
      <c r="F351" s="2171" t="s">
        <v>2122</v>
      </c>
      <c r="G351" s="2178"/>
      <c r="H351" s="2178"/>
      <c r="I351" s="2178"/>
      <c r="J351" s="2178"/>
      <c r="K351" s="2178"/>
      <c r="L351" s="2178"/>
      <c r="M351" s="2178"/>
      <c r="N351" s="2178"/>
      <c r="O351" s="2178"/>
      <c r="P351" s="2178"/>
      <c r="Q351" s="2178"/>
      <c r="R351" s="2178"/>
      <c r="S351" s="2178"/>
      <c r="T351" s="2178"/>
      <c r="U351" s="2178"/>
      <c r="V351" s="2178"/>
      <c r="W351" s="2178"/>
      <c r="X351" s="2178"/>
      <c r="Y351" s="2178"/>
      <c r="Z351" s="2178"/>
      <c r="AA351" s="2178"/>
      <c r="AB351" s="2178"/>
      <c r="AC351" s="2178"/>
      <c r="AD351" s="2178"/>
      <c r="AE351" s="2178"/>
      <c r="AF351" s="2178"/>
      <c r="AG351" s="2178"/>
      <c r="AH351" s="2178"/>
      <c r="AI351" s="2178"/>
      <c r="AJ351" s="2178"/>
      <c r="AK351" s="2178"/>
      <c r="AL351" s="1"/>
    </row>
    <row r="352" spans="1:38">
      <c r="A352" s="1"/>
      <c r="B352" s="376"/>
      <c r="C352" s="1"/>
      <c r="D352" s="1"/>
      <c r="E352" s="1"/>
      <c r="F352" s="2178"/>
      <c r="G352" s="2178"/>
      <c r="H352" s="2178"/>
      <c r="I352" s="2178"/>
      <c r="J352" s="2178"/>
      <c r="K352" s="2178"/>
      <c r="L352" s="2178"/>
      <c r="M352" s="2178"/>
      <c r="N352" s="2178"/>
      <c r="O352" s="2178"/>
      <c r="P352" s="2178"/>
      <c r="Q352" s="2178"/>
      <c r="R352" s="2178"/>
      <c r="S352" s="2178"/>
      <c r="T352" s="2178"/>
      <c r="U352" s="2178"/>
      <c r="V352" s="2178"/>
      <c r="W352" s="2178"/>
      <c r="X352" s="2178"/>
      <c r="Y352" s="2178"/>
      <c r="Z352" s="2178"/>
      <c r="AA352" s="2178"/>
      <c r="AB352" s="2178"/>
      <c r="AC352" s="2178"/>
      <c r="AD352" s="2178"/>
      <c r="AE352" s="2178"/>
      <c r="AF352" s="2178"/>
      <c r="AG352" s="2178"/>
      <c r="AH352" s="2178"/>
      <c r="AI352" s="2178"/>
      <c r="AJ352" s="2178"/>
      <c r="AK352" s="2178"/>
      <c r="AL352" s="1"/>
    </row>
    <row r="353" spans="1:38">
      <c r="A353" s="1"/>
      <c r="B353" s="376"/>
      <c r="C353" s="1"/>
      <c r="D353" s="1"/>
      <c r="E353" s="1"/>
      <c r="F353" s="2178"/>
      <c r="G353" s="2178"/>
      <c r="H353" s="2178"/>
      <c r="I353" s="2178"/>
      <c r="J353" s="2178"/>
      <c r="K353" s="2178"/>
      <c r="L353" s="2178"/>
      <c r="M353" s="2178"/>
      <c r="N353" s="2178"/>
      <c r="O353" s="2178"/>
      <c r="P353" s="2178"/>
      <c r="Q353" s="2178"/>
      <c r="R353" s="2178"/>
      <c r="S353" s="2178"/>
      <c r="T353" s="2178"/>
      <c r="U353" s="2178"/>
      <c r="V353" s="2178"/>
      <c r="W353" s="2178"/>
      <c r="X353" s="2178"/>
      <c r="Y353" s="2178"/>
      <c r="Z353" s="2178"/>
      <c r="AA353" s="2178"/>
      <c r="AB353" s="2178"/>
      <c r="AC353" s="2178"/>
      <c r="AD353" s="2178"/>
      <c r="AE353" s="2178"/>
      <c r="AF353" s="2178"/>
      <c r="AG353" s="2178"/>
      <c r="AH353" s="2178"/>
      <c r="AI353" s="2178"/>
      <c r="AJ353" s="2178"/>
      <c r="AK353" s="2178"/>
      <c r="AL353" s="1"/>
    </row>
    <row r="354" spans="1:38">
      <c r="A354" s="1"/>
      <c r="B354" s="376"/>
      <c r="C354" s="1"/>
      <c r="D354" s="1"/>
      <c r="E354" s="1"/>
      <c r="F354" s="2178"/>
      <c r="G354" s="2178"/>
      <c r="H354" s="2178"/>
      <c r="I354" s="2178"/>
      <c r="J354" s="2178"/>
      <c r="K354" s="2178"/>
      <c r="L354" s="2178"/>
      <c r="M354" s="2178"/>
      <c r="N354" s="2178"/>
      <c r="O354" s="2178"/>
      <c r="P354" s="2178"/>
      <c r="Q354" s="2178"/>
      <c r="R354" s="2178"/>
      <c r="S354" s="2178"/>
      <c r="T354" s="2178"/>
      <c r="U354" s="2178"/>
      <c r="V354" s="2178"/>
      <c r="W354" s="2178"/>
      <c r="X354" s="2178"/>
      <c r="Y354" s="2178"/>
      <c r="Z354" s="2178"/>
      <c r="AA354" s="2178"/>
      <c r="AB354" s="2178"/>
      <c r="AC354" s="2178"/>
      <c r="AD354" s="2178"/>
      <c r="AE354" s="2178"/>
      <c r="AF354" s="2178"/>
      <c r="AG354" s="2178"/>
      <c r="AH354" s="2178"/>
      <c r="AI354" s="2178"/>
      <c r="AJ354" s="2178"/>
      <c r="AK354" s="2178"/>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2177" customFormat="1">
      <c r="A364" s="1"/>
      <c r="B364" s="376"/>
      <c r="C364" s="1"/>
      <c r="D364" s="1"/>
      <c r="E364" s="2177" t="s">
        <v>2117</v>
      </c>
    </row>
    <row r="365" spans="1:38" s="2177" customFormat="1">
      <c r="A365" s="1"/>
      <c r="B365" s="376"/>
      <c r="C365" s="1"/>
      <c r="D365" s="1"/>
    </row>
    <row r="366" spans="1:38">
      <c r="A366" s="1"/>
      <c r="B366" s="376"/>
      <c r="C366" s="1"/>
      <c r="D366" s="1"/>
      <c r="E366" s="1"/>
      <c r="F366" s="2175" t="s">
        <v>2118</v>
      </c>
      <c r="G366" s="2176"/>
      <c r="H366" s="2176"/>
      <c r="I366" s="2176"/>
      <c r="J366" s="2176"/>
      <c r="K366" s="2176"/>
      <c r="L366" s="2176"/>
      <c r="M366" s="2176"/>
      <c r="N366" s="2176"/>
      <c r="O366" s="2176"/>
      <c r="P366" s="2176"/>
      <c r="Q366" s="2176"/>
      <c r="R366" s="2176"/>
      <c r="S366" s="2176"/>
      <c r="T366" s="2176"/>
      <c r="U366" s="2176"/>
      <c r="V366" s="2176"/>
      <c r="W366" s="2176"/>
      <c r="X366" s="2176"/>
      <c r="Y366" s="2176"/>
      <c r="Z366" s="2176"/>
      <c r="AA366" s="2176"/>
      <c r="AB366" s="2176"/>
      <c r="AC366" s="2176"/>
      <c r="AD366" s="2176"/>
      <c r="AE366" s="2176"/>
      <c r="AF366" s="2176"/>
      <c r="AG366" s="2176"/>
      <c r="AH366" s="2176"/>
      <c r="AI366" s="2176"/>
      <c r="AJ366" s="2176"/>
      <c r="AK366" s="2176"/>
      <c r="AL366" s="2176"/>
    </row>
    <row r="367" spans="1:38">
      <c r="A367" s="1"/>
      <c r="B367" s="376"/>
      <c r="C367" s="1"/>
      <c r="D367" s="1"/>
      <c r="E367" s="1"/>
      <c r="F367" s="2176"/>
      <c r="G367" s="2176"/>
      <c r="H367" s="2176"/>
      <c r="I367" s="2176"/>
      <c r="J367" s="2176"/>
      <c r="K367" s="2176"/>
      <c r="L367" s="2176"/>
      <c r="M367" s="2176"/>
      <c r="N367" s="2176"/>
      <c r="O367" s="2176"/>
      <c r="P367" s="2176"/>
      <c r="Q367" s="2176"/>
      <c r="R367" s="2176"/>
      <c r="S367" s="2176"/>
      <c r="T367" s="2176"/>
      <c r="U367" s="2176"/>
      <c r="V367" s="2176"/>
      <c r="W367" s="2176"/>
      <c r="X367" s="2176"/>
      <c r="Y367" s="2176"/>
      <c r="Z367" s="2176"/>
      <c r="AA367" s="2176"/>
      <c r="AB367" s="2176"/>
      <c r="AC367" s="2176"/>
      <c r="AD367" s="2176"/>
      <c r="AE367" s="2176"/>
      <c r="AF367" s="2176"/>
      <c r="AG367" s="2176"/>
      <c r="AH367" s="2176"/>
      <c r="AI367" s="2176"/>
      <c r="AJ367" s="2176"/>
      <c r="AK367" s="2176"/>
      <c r="AL367" s="2176"/>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topLeftCell="A49" workbookViewId="0">
      <selection sqref="A1:S2"/>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3231" t="s">
        <v>2187</v>
      </c>
      <c r="B1" s="3231"/>
      <c r="C1" s="3231"/>
      <c r="D1" s="3231"/>
      <c r="E1" s="3231"/>
      <c r="F1" s="3231"/>
      <c r="G1" s="3231"/>
      <c r="H1" s="3231"/>
      <c r="I1" s="3231"/>
      <c r="J1" s="3231"/>
      <c r="K1" s="3231"/>
      <c r="L1" s="3231"/>
      <c r="M1" s="3231"/>
      <c r="N1" s="3231"/>
      <c r="O1" s="3231"/>
      <c r="P1" s="3231"/>
      <c r="Q1" s="3231"/>
      <c r="R1" s="3231"/>
      <c r="S1" s="3231"/>
    </row>
    <row r="2" spans="1:19" ht="15" customHeight="1">
      <c r="A2" s="3231"/>
      <c r="B2" s="3231"/>
      <c r="C2" s="3231"/>
      <c r="D2" s="3231"/>
      <c r="E2" s="3231"/>
      <c r="F2" s="3231"/>
      <c r="G2" s="3231"/>
      <c r="H2" s="3231"/>
      <c r="I2" s="3231"/>
      <c r="J2" s="3231"/>
      <c r="K2" s="3231"/>
      <c r="L2" s="3231"/>
      <c r="M2" s="3231"/>
      <c r="N2" s="3231"/>
      <c r="O2" s="3231"/>
      <c r="P2" s="3231"/>
      <c r="Q2" s="3231"/>
      <c r="R2" s="3231"/>
      <c r="S2" s="323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3232" t="s">
        <v>1876</v>
      </c>
      <c r="C4" s="3232"/>
      <c r="D4" s="3232"/>
      <c r="E4" s="3232"/>
      <c r="F4" s="3232"/>
      <c r="G4" s="3232"/>
      <c r="H4" s="3232"/>
      <c r="I4" s="3232"/>
      <c r="J4" s="3232"/>
      <c r="K4" s="3232"/>
      <c r="L4" s="3232"/>
      <c r="M4" s="3232"/>
      <c r="N4" s="3232"/>
      <c r="O4" s="3232"/>
      <c r="P4" s="3232"/>
      <c r="Q4" s="3232"/>
      <c r="R4" s="3232"/>
      <c r="S4" s="863"/>
    </row>
    <row r="5" spans="1:19" ht="15" customHeight="1">
      <c r="A5" s="862"/>
      <c r="B5" s="3232"/>
      <c r="C5" s="3232"/>
      <c r="D5" s="3232"/>
      <c r="E5" s="3232"/>
      <c r="F5" s="3232"/>
      <c r="G5" s="3232"/>
      <c r="H5" s="3232"/>
      <c r="I5" s="3232"/>
      <c r="J5" s="3232"/>
      <c r="K5" s="3232"/>
      <c r="L5" s="3232"/>
      <c r="M5" s="3232"/>
      <c r="N5" s="3232"/>
      <c r="O5" s="3232"/>
      <c r="P5" s="3232"/>
      <c r="Q5" s="3232"/>
      <c r="R5" s="3232"/>
      <c r="S5" s="863"/>
    </row>
    <row r="6" spans="1:19" ht="15" customHeight="1">
      <c r="A6" s="862"/>
      <c r="B6" s="3232"/>
      <c r="C6" s="3232"/>
      <c r="D6" s="3232"/>
      <c r="E6" s="3232"/>
      <c r="F6" s="3232"/>
      <c r="G6" s="3232"/>
      <c r="H6" s="3232"/>
      <c r="I6" s="3232"/>
      <c r="J6" s="3232"/>
      <c r="K6" s="3232"/>
      <c r="L6" s="3232"/>
      <c r="M6" s="3232"/>
      <c r="N6" s="3232"/>
      <c r="O6" s="3232"/>
      <c r="P6" s="3232"/>
      <c r="Q6" s="3232"/>
      <c r="R6" s="323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3232" t="s">
        <v>1961</v>
      </c>
      <c r="C8" s="3232"/>
      <c r="D8" s="3232"/>
      <c r="E8" s="3232"/>
      <c r="F8" s="3232"/>
      <c r="G8" s="3232"/>
      <c r="H8" s="3232"/>
      <c r="I8" s="3232"/>
      <c r="J8" s="3232"/>
      <c r="K8" s="3232"/>
      <c r="L8" s="3232"/>
      <c r="M8" s="3232"/>
      <c r="N8" s="3232"/>
      <c r="O8" s="3232"/>
      <c r="P8" s="3232"/>
      <c r="Q8" s="3232"/>
      <c r="R8" s="323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3233" t="s">
        <v>1962</v>
      </c>
      <c r="C10" s="3233"/>
      <c r="D10" s="3233"/>
      <c r="E10" s="3233"/>
      <c r="F10" s="3233"/>
      <c r="G10" s="3233"/>
      <c r="H10" s="3233"/>
      <c r="I10" s="3233"/>
      <c r="J10" s="3233"/>
      <c r="K10" s="3233"/>
      <c r="L10" s="3233"/>
      <c r="M10" s="3233"/>
      <c r="N10" s="3233"/>
      <c r="O10" s="3233"/>
      <c r="P10" s="3233"/>
      <c r="Q10" s="3233"/>
      <c r="R10" s="3233"/>
      <c r="S10" s="863"/>
    </row>
    <row r="11" spans="1:19" ht="15" customHeight="1">
      <c r="A11" s="862"/>
      <c r="B11" s="3233"/>
      <c r="C11" s="3233"/>
      <c r="D11" s="3233"/>
      <c r="E11" s="3233"/>
      <c r="F11" s="3233"/>
      <c r="G11" s="3233"/>
      <c r="H11" s="3233"/>
      <c r="I11" s="3233"/>
      <c r="J11" s="3233"/>
      <c r="K11" s="3233"/>
      <c r="L11" s="3233"/>
      <c r="M11" s="3233"/>
      <c r="N11" s="3233"/>
      <c r="O11" s="3233"/>
      <c r="P11" s="3233"/>
      <c r="Q11" s="3233"/>
      <c r="R11" s="323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3233" t="s">
        <v>2098</v>
      </c>
      <c r="C13" s="3233"/>
      <c r="D13" s="3233"/>
      <c r="E13" s="3233"/>
      <c r="F13" s="3233"/>
      <c r="G13" s="3233"/>
      <c r="H13" s="3233"/>
      <c r="I13" s="3233"/>
      <c r="J13" s="3233"/>
      <c r="K13" s="3233"/>
      <c r="L13" s="3233"/>
      <c r="M13" s="3233"/>
      <c r="N13" s="3233"/>
      <c r="O13" s="3233"/>
      <c r="P13" s="3233"/>
      <c r="Q13" s="3233"/>
      <c r="R13" s="3233"/>
      <c r="S13" s="863"/>
    </row>
    <row r="14" spans="1:19" ht="15" customHeight="1">
      <c r="A14" s="862"/>
      <c r="B14" s="3233"/>
      <c r="C14" s="3233"/>
      <c r="D14" s="3233"/>
      <c r="E14" s="3233"/>
      <c r="F14" s="3233"/>
      <c r="G14" s="3233"/>
      <c r="H14" s="3233"/>
      <c r="I14" s="3233"/>
      <c r="J14" s="3233"/>
      <c r="K14" s="3233"/>
      <c r="L14" s="3233"/>
      <c r="M14" s="3233"/>
      <c r="N14" s="3233"/>
      <c r="O14" s="3233"/>
      <c r="P14" s="3233"/>
      <c r="Q14" s="3233"/>
      <c r="R14" s="3233"/>
      <c r="S14" s="863"/>
    </row>
    <row r="15" spans="1:19" ht="15" customHeight="1">
      <c r="A15" s="862"/>
      <c r="B15" s="3233"/>
      <c r="C15" s="3233"/>
      <c r="D15" s="3233"/>
      <c r="E15" s="3233"/>
      <c r="F15" s="3233"/>
      <c r="G15" s="3233"/>
      <c r="H15" s="3233"/>
      <c r="I15" s="3233"/>
      <c r="J15" s="3233"/>
      <c r="K15" s="3233"/>
      <c r="L15" s="3233"/>
      <c r="M15" s="3233"/>
      <c r="N15" s="3233"/>
      <c r="O15" s="3233"/>
      <c r="P15" s="3233"/>
      <c r="Q15" s="3233"/>
      <c r="R15" s="3233"/>
      <c r="S15" s="863"/>
    </row>
    <row r="16" spans="1:19" ht="15" customHeight="1">
      <c r="A16" s="862"/>
      <c r="B16" s="3233"/>
      <c r="C16" s="3233"/>
      <c r="D16" s="3233"/>
      <c r="E16" s="3233"/>
      <c r="F16" s="3233"/>
      <c r="G16" s="3233"/>
      <c r="H16" s="3233"/>
      <c r="I16" s="3233"/>
      <c r="J16" s="3233"/>
      <c r="K16" s="3233"/>
      <c r="L16" s="3233"/>
      <c r="M16" s="3233"/>
      <c r="N16" s="3233"/>
      <c r="O16" s="3233"/>
      <c r="P16" s="3233"/>
      <c r="Q16" s="3233"/>
      <c r="R16" s="323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3234" t="s">
        <v>2096</v>
      </c>
      <c r="C18" s="3234"/>
      <c r="D18" s="3234"/>
      <c r="E18" s="3234"/>
      <c r="F18" s="3234"/>
      <c r="G18" s="3234"/>
      <c r="H18" s="3234"/>
      <c r="I18" s="3234"/>
      <c r="J18" s="3234"/>
      <c r="K18" s="3234"/>
      <c r="L18" s="3234"/>
      <c r="M18" s="3234"/>
      <c r="N18" s="3234"/>
      <c r="O18" s="3234"/>
      <c r="P18" s="3234"/>
      <c r="Q18" s="3234"/>
      <c r="R18" s="3234"/>
      <c r="S18" s="863"/>
    </row>
    <row r="19" spans="1:19" ht="15" customHeight="1">
      <c r="A19" s="862"/>
      <c r="B19" s="3234"/>
      <c r="C19" s="3234"/>
      <c r="D19" s="3234"/>
      <c r="E19" s="3234"/>
      <c r="F19" s="3234"/>
      <c r="G19" s="3234"/>
      <c r="H19" s="3234"/>
      <c r="I19" s="3234"/>
      <c r="J19" s="3234"/>
      <c r="K19" s="3234"/>
      <c r="L19" s="3234"/>
      <c r="M19" s="3234"/>
      <c r="N19" s="3234"/>
      <c r="O19" s="3234"/>
      <c r="P19" s="3234"/>
      <c r="Q19" s="3234"/>
      <c r="R19" s="3234"/>
      <c r="S19" s="863"/>
    </row>
    <row r="20" spans="1:19" ht="15" customHeight="1">
      <c r="A20" s="862"/>
      <c r="B20" s="3234"/>
      <c r="C20" s="3234"/>
      <c r="D20" s="3234"/>
      <c r="E20" s="3234"/>
      <c r="F20" s="3234"/>
      <c r="G20" s="3234"/>
      <c r="H20" s="3234"/>
      <c r="I20" s="3234"/>
      <c r="J20" s="3234"/>
      <c r="K20" s="3234"/>
      <c r="L20" s="3234"/>
      <c r="M20" s="3234"/>
      <c r="N20" s="3234"/>
      <c r="O20" s="3234"/>
      <c r="P20" s="3234"/>
      <c r="Q20" s="3234"/>
      <c r="R20" s="323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3234" t="s">
        <v>2097</v>
      </c>
      <c r="C22" s="3234"/>
      <c r="D22" s="3234"/>
      <c r="E22" s="3234"/>
      <c r="F22" s="3234"/>
      <c r="G22" s="3234"/>
      <c r="H22" s="3234"/>
      <c r="I22" s="3234"/>
      <c r="J22" s="3234"/>
      <c r="K22" s="3234"/>
      <c r="L22" s="3234"/>
      <c r="M22" s="3234"/>
      <c r="N22" s="3234"/>
      <c r="O22" s="3234"/>
      <c r="P22" s="3234"/>
      <c r="Q22" s="3234"/>
      <c r="R22" s="3234"/>
      <c r="S22" s="863"/>
    </row>
    <row r="23" spans="1:19" ht="15" customHeight="1">
      <c r="A23" s="864"/>
      <c r="B23" s="3234"/>
      <c r="C23" s="3234"/>
      <c r="D23" s="3234"/>
      <c r="E23" s="3234"/>
      <c r="F23" s="3234"/>
      <c r="G23" s="3234"/>
      <c r="H23" s="3234"/>
      <c r="I23" s="3234"/>
      <c r="J23" s="3234"/>
      <c r="K23" s="3234"/>
      <c r="L23" s="3234"/>
      <c r="M23" s="3234"/>
      <c r="N23" s="3234"/>
      <c r="O23" s="3234"/>
      <c r="P23" s="3234"/>
      <c r="Q23" s="3234"/>
      <c r="R23" s="323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3232" t="s">
        <v>1960</v>
      </c>
      <c r="C25" s="3232"/>
      <c r="D25" s="3232"/>
      <c r="E25" s="3232"/>
      <c r="F25" s="3232"/>
      <c r="G25" s="3232"/>
      <c r="H25" s="3232"/>
      <c r="I25" s="3232"/>
      <c r="J25" s="3232"/>
      <c r="K25" s="3232"/>
      <c r="L25" s="3232"/>
      <c r="M25" s="3232"/>
      <c r="N25" s="3232"/>
      <c r="O25" s="3232"/>
      <c r="P25" s="3232"/>
      <c r="Q25" s="3232"/>
      <c r="R25" s="323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3237" t="s">
        <v>2095</v>
      </c>
      <c r="P28" s="864"/>
      <c r="Q28" s="864"/>
      <c r="R28" s="864"/>
      <c r="S28" s="864"/>
    </row>
    <row r="29" spans="1:19" ht="15" customHeight="1">
      <c r="A29" s="864"/>
      <c r="B29" s="3239" t="s">
        <v>1855</v>
      </c>
      <c r="C29" s="3239"/>
      <c r="D29" s="3239"/>
      <c r="E29" s="3239"/>
      <c r="F29" s="3239"/>
      <c r="G29" s="3239"/>
      <c r="H29" s="866"/>
      <c r="I29" s="866"/>
      <c r="J29" s="866"/>
      <c r="K29" s="866"/>
      <c r="L29" s="866"/>
      <c r="M29" s="866"/>
      <c r="N29" s="866"/>
      <c r="O29" s="3237"/>
      <c r="P29" s="864"/>
      <c r="Q29" s="864"/>
      <c r="R29" s="864"/>
      <c r="S29" s="864"/>
    </row>
    <row r="30" spans="1:19" ht="15" customHeight="1">
      <c r="A30" s="864"/>
      <c r="B30" s="3239"/>
      <c r="C30" s="3239"/>
      <c r="D30" s="3239"/>
      <c r="E30" s="3239"/>
      <c r="F30" s="3239"/>
      <c r="G30" s="3239"/>
      <c r="H30" s="866"/>
      <c r="I30" s="866"/>
      <c r="J30" s="866"/>
      <c r="K30" s="866"/>
      <c r="L30" s="866"/>
      <c r="M30" s="866"/>
      <c r="N30" s="866"/>
      <c r="O30" s="3237"/>
      <c r="P30" s="864"/>
      <c r="Q30" s="864"/>
      <c r="R30" s="864"/>
      <c r="S30" s="864"/>
    </row>
    <row r="31" spans="1:19" ht="15" customHeight="1">
      <c r="A31" s="864"/>
      <c r="B31" s="3239"/>
      <c r="C31" s="3239"/>
      <c r="D31" s="3239"/>
      <c r="E31" s="3239"/>
      <c r="F31" s="3239"/>
      <c r="G31" s="3239"/>
      <c r="H31" s="866"/>
      <c r="I31" s="866"/>
      <c r="J31" s="866"/>
      <c r="K31" s="866"/>
      <c r="L31" s="866"/>
      <c r="M31" s="866"/>
      <c r="N31" s="866"/>
      <c r="O31" s="3237"/>
      <c r="P31" s="864"/>
      <c r="Q31" s="864"/>
      <c r="R31" s="864"/>
      <c r="S31" s="864"/>
    </row>
    <row r="32" spans="1:19" ht="15" customHeight="1">
      <c r="A32" s="864"/>
      <c r="B32" s="3240"/>
      <c r="C32" s="3240"/>
      <c r="D32" s="3240"/>
      <c r="E32" s="3240"/>
      <c r="F32" s="3240"/>
      <c r="G32" s="3240"/>
      <c r="H32" s="864"/>
      <c r="I32" s="3209" t="s">
        <v>154</v>
      </c>
      <c r="J32" s="3201" t="s">
        <v>1116</v>
      </c>
      <c r="K32" s="3241">
        <v>1</v>
      </c>
      <c r="L32" s="864"/>
      <c r="M32" s="867"/>
      <c r="N32" s="864"/>
      <c r="O32" s="3238"/>
      <c r="P32" s="3201" t="s">
        <v>1115</v>
      </c>
      <c r="Q32" s="864"/>
      <c r="R32" s="864"/>
      <c r="S32" s="864"/>
    </row>
    <row r="33" spans="1:19" ht="15" customHeight="1">
      <c r="A33" s="864"/>
      <c r="B33" s="3199" t="s">
        <v>1859</v>
      </c>
      <c r="C33" s="3199"/>
      <c r="D33" s="3199"/>
      <c r="E33" s="3199"/>
      <c r="F33" s="3199"/>
      <c r="G33" s="3199"/>
      <c r="H33" s="864"/>
      <c r="I33" s="3209"/>
      <c r="J33" s="3201"/>
      <c r="K33" s="3241"/>
      <c r="L33" s="864"/>
      <c r="M33" s="868"/>
      <c r="N33" s="864"/>
      <c r="O33" s="3199" t="s">
        <v>1859</v>
      </c>
      <c r="P33" s="3201"/>
      <c r="Q33" s="864"/>
      <c r="R33" s="864"/>
      <c r="S33" s="864"/>
    </row>
    <row r="34" spans="1:19" ht="15" customHeight="1">
      <c r="A34" s="864"/>
      <c r="B34" s="3200"/>
      <c r="C34" s="3200"/>
      <c r="D34" s="3200"/>
      <c r="E34" s="3200"/>
      <c r="F34" s="3200"/>
      <c r="G34" s="3200"/>
      <c r="H34" s="864"/>
      <c r="I34" s="1101"/>
      <c r="J34" s="1100"/>
      <c r="K34" s="1102"/>
      <c r="L34" s="864"/>
      <c r="M34" s="868"/>
      <c r="N34" s="864"/>
      <c r="O34" s="320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3220" t="s">
        <v>1847</v>
      </c>
      <c r="C37" s="3220"/>
      <c r="D37" s="3220"/>
      <c r="E37" s="3220"/>
      <c r="F37" s="875"/>
      <c r="G37" s="875"/>
      <c r="H37" s="876"/>
      <c r="I37" s="877"/>
      <c r="J37" s="877"/>
      <c r="P37" s="864"/>
      <c r="Q37" s="878"/>
      <c r="R37" s="878"/>
      <c r="S37" s="864"/>
    </row>
    <row r="38" spans="1:19" ht="15" customHeight="1">
      <c r="A38" s="864"/>
      <c r="B38" s="3225" t="s">
        <v>1865</v>
      </c>
      <c r="C38" s="3225"/>
      <c r="D38" s="3225"/>
      <c r="E38" s="3225"/>
      <c r="F38" s="1096"/>
      <c r="G38" s="879">
        <f>D110</f>
        <v>0</v>
      </c>
      <c r="H38" s="880"/>
      <c r="I38" s="881"/>
      <c r="J38" s="880"/>
      <c r="L38" s="1384"/>
      <c r="M38" s="1384"/>
      <c r="N38" s="1384"/>
      <c r="O38" s="1384"/>
      <c r="P38" s="827"/>
      <c r="Q38" s="3198"/>
      <c r="R38" s="3198"/>
      <c r="S38" s="827"/>
    </row>
    <row r="39" spans="1:19" ht="15" customHeight="1">
      <c r="A39" s="625"/>
      <c r="B39" s="3226" t="s">
        <v>1446</v>
      </c>
      <c r="C39" s="3226"/>
      <c r="D39" s="3226"/>
      <c r="E39" s="3226"/>
      <c r="F39" s="1096"/>
      <c r="G39" s="1053"/>
      <c r="H39" s="880"/>
      <c r="I39" s="881"/>
      <c r="J39" s="880"/>
      <c r="L39" s="880"/>
      <c r="M39" s="878"/>
      <c r="N39" s="878"/>
      <c r="O39" s="878"/>
      <c r="P39" s="827"/>
      <c r="Q39" s="1236"/>
      <c r="R39" s="1236"/>
      <c r="S39" s="827"/>
    </row>
    <row r="40" spans="1:19" ht="15" customHeight="1">
      <c r="A40" s="625"/>
      <c r="B40" s="3226" t="s">
        <v>1447</v>
      </c>
      <c r="C40" s="3226"/>
      <c r="D40" s="3226"/>
      <c r="E40" s="3226"/>
      <c r="F40" s="1096"/>
      <c r="G40" s="1053"/>
      <c r="H40" s="880"/>
      <c r="I40" s="881"/>
      <c r="J40" s="880"/>
      <c r="K40" s="3230"/>
      <c r="L40" s="3230"/>
      <c r="M40" s="3230"/>
      <c r="N40" s="3230"/>
      <c r="O40" s="3230"/>
      <c r="P40" s="1125"/>
      <c r="Q40" s="3198"/>
      <c r="R40" s="3198"/>
      <c r="S40" s="864"/>
    </row>
    <row r="41" spans="1:19" ht="15" customHeight="1">
      <c r="A41" s="625"/>
      <c r="B41" s="3227" t="s">
        <v>1860</v>
      </c>
      <c r="C41" s="3227"/>
      <c r="D41" s="3227"/>
      <c r="E41" s="3227"/>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3230"/>
      <c r="L42" s="3230"/>
      <c r="M42" s="3230"/>
      <c r="N42" s="3230"/>
      <c r="O42" s="3230"/>
      <c r="P42" s="1125"/>
      <c r="Q42" s="3198"/>
      <c r="R42" s="3198"/>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3198"/>
      <c r="R44" s="3198"/>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3204" t="s">
        <v>2163</v>
      </c>
      <c r="L46" s="3204"/>
      <c r="M46" s="3204"/>
      <c r="N46" s="3204"/>
      <c r="O46" s="3204"/>
      <c r="P46" s="864"/>
      <c r="Q46" s="3202"/>
      <c r="R46" s="3202"/>
      <c r="S46" s="864"/>
    </row>
    <row r="47" spans="1:19" ht="15" customHeight="1">
      <c r="A47" s="625"/>
      <c r="B47" s="1055"/>
      <c r="C47" s="1055"/>
      <c r="D47" s="859"/>
      <c r="E47" s="1099"/>
      <c r="F47" s="1096"/>
      <c r="G47" s="880"/>
      <c r="H47" s="880"/>
      <c r="I47" s="881"/>
      <c r="J47" s="880"/>
      <c r="K47" s="3203" t="s">
        <v>2164</v>
      </c>
      <c r="L47" s="3203"/>
      <c r="M47" s="3203"/>
      <c r="N47" s="3203"/>
      <c r="O47" s="3203"/>
      <c r="P47" s="864"/>
      <c r="Q47" s="3236"/>
      <c r="R47" s="3236"/>
      <c r="S47" s="864"/>
    </row>
    <row r="48" spans="1:19" ht="15" customHeight="1">
      <c r="A48" s="625"/>
      <c r="B48" s="1055"/>
      <c r="C48" s="1055"/>
      <c r="D48" s="859"/>
      <c r="E48" s="1099"/>
      <c r="F48" s="1096"/>
      <c r="G48" s="880"/>
      <c r="H48" s="880"/>
      <c r="I48" s="881"/>
      <c r="J48" s="880"/>
      <c r="K48" s="3235" t="s">
        <v>2165</v>
      </c>
      <c r="L48" s="3235"/>
      <c r="M48" s="3235"/>
      <c r="N48" s="3235"/>
      <c r="O48" s="3235"/>
      <c r="P48" s="864"/>
      <c r="Q48" s="3204">
        <f>Q46+Q47</f>
        <v>0</v>
      </c>
      <c r="R48" s="320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3225" t="s">
        <v>1856</v>
      </c>
      <c r="C52" s="3225"/>
      <c r="D52" s="3225"/>
      <c r="E52" s="3225"/>
      <c r="F52" s="1096"/>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3228" t="s">
        <v>1425</v>
      </c>
      <c r="C56" s="3228"/>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3229" t="s">
        <v>1850</v>
      </c>
      <c r="C57" s="3229"/>
      <c r="D57" s="3229"/>
      <c r="E57" s="3229"/>
      <c r="F57" s="3229"/>
      <c r="G57" s="3229"/>
      <c r="H57" s="3229"/>
      <c r="I57" s="3229"/>
      <c r="J57" s="3229"/>
      <c r="K57" s="3229"/>
      <c r="L57" s="3229"/>
      <c r="M57" s="3229"/>
      <c r="N57" s="3229"/>
      <c r="O57" s="3229"/>
      <c r="P57" s="1096"/>
      <c r="Q57" s="864"/>
      <c r="R57" s="864"/>
      <c r="S57" s="864"/>
      <c r="U57" s="1316" t="s">
        <v>2089</v>
      </c>
      <c r="AC57" s="1371">
        <v>0.1</v>
      </c>
    </row>
    <row r="58" spans="1:29" ht="15" customHeight="1">
      <c r="A58" s="864"/>
      <c r="B58" s="3220" t="s">
        <v>1849</v>
      </c>
      <c r="C58" s="3221"/>
      <c r="D58" s="3221"/>
      <c r="E58" s="3221"/>
      <c r="F58" s="890"/>
      <c r="G58" s="890"/>
      <c r="H58" s="891"/>
      <c r="I58" s="891"/>
      <c r="J58" s="3222">
        <f>('Sources and Uses Budget'!D104+Q47)/('Sources and Uses Budget'!B104+Q48)</f>
        <v>0</v>
      </c>
      <c r="K58" s="3223"/>
      <c r="L58" s="3223"/>
      <c r="M58" s="3223"/>
      <c r="N58" s="3224"/>
      <c r="O58" s="891"/>
      <c r="P58" s="891"/>
      <c r="Q58" s="864"/>
      <c r="R58" s="864"/>
      <c r="S58" s="864"/>
      <c r="U58" s="1316" t="s">
        <v>2090</v>
      </c>
      <c r="AC58" s="1371">
        <v>0.1</v>
      </c>
    </row>
    <row r="59" spans="1:29" ht="15" customHeight="1">
      <c r="A59" s="864"/>
      <c r="B59" s="3213" t="s">
        <v>2094</v>
      </c>
      <c r="C59" s="3213"/>
      <c r="D59" s="3213"/>
      <c r="E59" s="3213"/>
      <c r="F59" s="3213"/>
      <c r="G59" s="3213"/>
      <c r="H59" s="3213"/>
      <c r="I59" s="3213"/>
      <c r="J59" s="3213"/>
      <c r="K59" s="3213"/>
      <c r="L59" s="3213"/>
      <c r="M59" s="3213"/>
      <c r="N59" s="3213"/>
      <c r="O59" s="3213"/>
      <c r="P59" s="891"/>
      <c r="Q59" s="864"/>
      <c r="R59" s="864"/>
      <c r="S59" s="864"/>
      <c r="U59" s="1316" t="s">
        <v>2091</v>
      </c>
      <c r="AC59" s="1371">
        <v>0.05</v>
      </c>
    </row>
    <row r="60" spans="1:29" ht="15" customHeight="1" thickBot="1">
      <c r="A60" s="864"/>
      <c r="B60" s="3213"/>
      <c r="C60" s="3213"/>
      <c r="D60" s="3213"/>
      <c r="E60" s="3213"/>
      <c r="F60" s="3213"/>
      <c r="G60" s="3213"/>
      <c r="H60" s="3213"/>
      <c r="I60" s="3213"/>
      <c r="J60" s="3213"/>
      <c r="K60" s="3213"/>
      <c r="L60" s="3213"/>
      <c r="M60" s="3213"/>
      <c r="N60" s="3213"/>
      <c r="O60" s="3213"/>
      <c r="P60" s="891"/>
      <c r="Q60" s="864"/>
      <c r="R60" s="864"/>
      <c r="S60" s="864"/>
      <c r="U60" s="1317"/>
      <c r="AC60" s="1318"/>
    </row>
    <row r="61" spans="1:29" ht="15" customHeight="1">
      <c r="A61" s="864"/>
      <c r="B61" s="3214" t="s">
        <v>1851</v>
      </c>
      <c r="C61" s="3214"/>
      <c r="D61" s="3214"/>
      <c r="E61" s="3214"/>
      <c r="F61" s="3214"/>
      <c r="G61" s="3214"/>
      <c r="H61" s="3214"/>
      <c r="I61" s="3214"/>
      <c r="J61" s="3214"/>
      <c r="K61" s="3214"/>
      <c r="L61" s="3214"/>
      <c r="M61" s="3214"/>
      <c r="N61" s="3214"/>
      <c r="O61" s="3214"/>
      <c r="P61" s="891"/>
      <c r="Q61" s="864"/>
      <c r="R61" s="864"/>
      <c r="S61" s="864"/>
      <c r="U61" s="324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3243"/>
    </row>
    <row r="63" spans="1:29" ht="15" customHeight="1">
      <c r="A63" s="864"/>
      <c r="B63" s="878"/>
      <c r="C63" s="878"/>
      <c r="D63" s="878"/>
      <c r="E63" s="1391"/>
      <c r="F63" s="878"/>
      <c r="G63" s="878"/>
      <c r="H63" s="878"/>
      <c r="I63" s="1327"/>
      <c r="K63" s="1326"/>
      <c r="L63" s="1326"/>
      <c r="M63" s="1326"/>
      <c r="N63" s="1326"/>
      <c r="O63" s="1326"/>
      <c r="P63" s="1326"/>
      <c r="Q63" s="1326"/>
      <c r="R63" s="1326"/>
      <c r="S63" s="864"/>
      <c r="U63" s="3242">
        <f>IF(J67="Non-rural project, Census Tract is High Resource (10 percentage points)",AC57,0)</f>
        <v>0</v>
      </c>
    </row>
    <row r="64" spans="1:29" ht="15" customHeight="1" thickBot="1">
      <c r="A64" s="864"/>
      <c r="B64" s="3215" t="s">
        <v>1861</v>
      </c>
      <c r="C64" s="3215"/>
      <c r="D64" s="878"/>
      <c r="F64" s="878"/>
      <c r="G64" s="1393" t="s">
        <v>2166</v>
      </c>
      <c r="H64" s="878"/>
      <c r="I64" s="1328"/>
      <c r="J64" s="3219" t="s">
        <v>2093</v>
      </c>
      <c r="K64" s="3219"/>
      <c r="L64" s="3219"/>
      <c r="M64" s="3219"/>
      <c r="N64" s="3219"/>
      <c r="O64" s="3219"/>
      <c r="P64" s="3219"/>
      <c r="Q64" s="3219"/>
      <c r="R64" s="3219"/>
      <c r="S64" s="864"/>
      <c r="U64" s="3243"/>
    </row>
    <row r="65" spans="1:22" ht="15" customHeight="1">
      <c r="A65" s="864"/>
      <c r="B65" s="893" t="s">
        <v>1854</v>
      </c>
      <c r="C65" s="1061" t="str">
        <f>IF(Application!M354="Yes","Yes","No")</f>
        <v>Yes</v>
      </c>
      <c r="E65" s="1394"/>
      <c r="F65" s="1394"/>
      <c r="G65" s="1395" t="s">
        <v>2168</v>
      </c>
      <c r="H65" s="878"/>
      <c r="I65" s="1328"/>
      <c r="J65" s="3219"/>
      <c r="K65" s="3219"/>
      <c r="L65" s="3219"/>
      <c r="M65" s="3219"/>
      <c r="N65" s="3219"/>
      <c r="O65" s="3219"/>
      <c r="P65" s="3219"/>
      <c r="Q65" s="3219"/>
      <c r="R65" s="3219"/>
      <c r="S65" s="864"/>
      <c r="U65" s="3242">
        <f>IF(J67="Rural project, Census Tract is Highest Resource (10 percentage points)",AC58,0)</f>
        <v>0</v>
      </c>
    </row>
    <row r="66" spans="1:22" ht="15" customHeight="1" thickBot="1">
      <c r="A66" s="864"/>
      <c r="B66" s="894" t="s">
        <v>1947</v>
      </c>
      <c r="C66" s="1062">
        <f>Application!AG423-Application!AG424</f>
        <v>104</v>
      </c>
      <c r="D66" s="1394"/>
      <c r="E66" s="894" t="s">
        <v>2169</v>
      </c>
      <c r="F66" s="1394"/>
      <c r="G66" s="1109"/>
      <c r="H66" s="895"/>
      <c r="I66" s="1329"/>
      <c r="J66" s="3219"/>
      <c r="K66" s="3219"/>
      <c r="L66" s="3219"/>
      <c r="M66" s="3219"/>
      <c r="N66" s="3219"/>
      <c r="O66" s="3219"/>
      <c r="P66" s="3219"/>
      <c r="Q66" s="3219"/>
      <c r="R66" s="3219"/>
      <c r="S66" s="864"/>
      <c r="U66" s="3243"/>
    </row>
    <row r="67" spans="1:22" ht="15" customHeight="1">
      <c r="A67" s="864"/>
      <c r="B67" s="894" t="s">
        <v>1848</v>
      </c>
      <c r="C67" s="1063">
        <f>MIN(IF(AND(C65="Yes",G67&gt;=50),(0.75+(G67/200)),1),1.5)</f>
        <v>1.27</v>
      </c>
      <c r="D67" s="895"/>
      <c r="E67" s="894" t="s">
        <v>1948</v>
      </c>
      <c r="G67" s="1062">
        <f>C66+G66</f>
        <v>104</v>
      </c>
      <c r="H67" s="895"/>
      <c r="I67" s="1329"/>
      <c r="J67" s="3218" t="s">
        <v>135</v>
      </c>
      <c r="K67" s="3218"/>
      <c r="L67" s="3218"/>
      <c r="M67" s="3218"/>
      <c r="N67" s="3218"/>
      <c r="O67" s="3218"/>
      <c r="P67" s="3218"/>
      <c r="Q67" s="3218"/>
      <c r="R67" s="3218"/>
      <c r="S67" s="864"/>
      <c r="U67" s="324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3243"/>
    </row>
    <row r="69" spans="1:22" ht="15" customHeight="1">
      <c r="A69" s="864"/>
      <c r="B69" s="864"/>
      <c r="C69" s="864"/>
      <c r="D69" s="864"/>
      <c r="E69" s="864"/>
      <c r="F69" s="864"/>
      <c r="G69" s="864"/>
      <c r="H69" s="864"/>
      <c r="I69" s="864"/>
      <c r="J69" s="864"/>
      <c r="K69" s="864"/>
      <c r="L69" s="864"/>
      <c r="M69" s="864"/>
      <c r="N69" s="864"/>
      <c r="O69" s="864"/>
      <c r="P69" s="864"/>
      <c r="Q69" s="864"/>
      <c r="R69" s="864"/>
      <c r="S69" s="864"/>
      <c r="U69" s="3246">
        <f>SUM(U61:U68)</f>
        <v>0</v>
      </c>
    </row>
    <row r="70" spans="1:22" ht="15" customHeight="1" thickBot="1">
      <c r="A70" s="864"/>
      <c r="B70" s="3216" t="s">
        <v>1858</v>
      </c>
      <c r="C70" s="3216"/>
      <c r="D70" s="865"/>
      <c r="E70" s="865"/>
      <c r="F70" s="865"/>
      <c r="G70" s="865"/>
      <c r="H70" s="864"/>
      <c r="I70" s="864"/>
      <c r="J70" s="864"/>
      <c r="K70" s="864"/>
      <c r="L70" s="864"/>
      <c r="M70" s="864"/>
      <c r="N70" s="864"/>
      <c r="O70" s="864"/>
      <c r="P70" s="864"/>
      <c r="Q70" s="864"/>
      <c r="R70" s="864"/>
      <c r="S70" s="864"/>
      <c r="U70" s="3247"/>
      <c r="V70" s="666" t="s">
        <v>2092</v>
      </c>
    </row>
    <row r="71" spans="1:22" ht="15" customHeight="1">
      <c r="A71" s="864"/>
      <c r="B71" s="3217" t="s">
        <v>1862</v>
      </c>
      <c r="C71" s="3217"/>
      <c r="D71" s="3217"/>
      <c r="E71" s="865"/>
      <c r="F71" s="865"/>
      <c r="G71" s="879">
        <f>G53*(1-J58)</f>
        <v>0</v>
      </c>
      <c r="H71" s="864"/>
      <c r="I71" s="864"/>
      <c r="J71" s="897"/>
      <c r="K71" s="1221" t="s">
        <v>1864</v>
      </c>
      <c r="L71" s="1221"/>
      <c r="M71" s="1221"/>
      <c r="N71" s="1221"/>
      <c r="O71" s="1221"/>
      <c r="P71" s="864"/>
      <c r="Q71" s="3204">
        <f>'Basis &amp; Credits'!T23+'Basis &amp; Credits'!Y23+'Basis &amp; Credits'!AD23+'Basis &amp; Credits'!AI23</f>
        <v>106019596</v>
      </c>
      <c r="R71" s="3204"/>
      <c r="S71" s="864"/>
    </row>
    <row r="72" spans="1:22" ht="15" customHeight="1">
      <c r="A72" s="864"/>
      <c r="B72" s="3206" t="s">
        <v>1863</v>
      </c>
      <c r="C72" s="3206"/>
      <c r="D72" s="3206"/>
      <c r="E72" s="865"/>
      <c r="F72" s="865"/>
      <c r="G72" s="879">
        <f>G71*C67</f>
        <v>0</v>
      </c>
      <c r="H72" s="864"/>
      <c r="I72" s="864"/>
      <c r="J72" s="897"/>
      <c r="K72" s="1331"/>
      <c r="L72" s="1331"/>
      <c r="M72" s="1331"/>
      <c r="N72" s="1331"/>
      <c r="O72" s="1331"/>
      <c r="P72" s="864"/>
      <c r="Q72" s="3198"/>
      <c r="R72" s="319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3207">
        <f>$G$72</f>
        <v>0</v>
      </c>
      <c r="C75" s="3208"/>
      <c r="D75" s="3208"/>
      <c r="E75" s="3208"/>
      <c r="F75" s="3208"/>
      <c r="G75" s="3208"/>
      <c r="H75" s="898"/>
      <c r="I75" s="3209" t="s">
        <v>154</v>
      </c>
      <c r="J75" s="3201" t="s">
        <v>1116</v>
      </c>
      <c r="K75" s="3209">
        <v>1</v>
      </c>
      <c r="L75" s="864"/>
      <c r="M75" s="870"/>
      <c r="N75" s="896"/>
      <c r="O75" s="1111">
        <f>$Q$71</f>
        <v>106019596</v>
      </c>
      <c r="P75" s="3201" t="s">
        <v>1115</v>
      </c>
      <c r="Q75" s="3210" t="s">
        <v>153</v>
      </c>
      <c r="R75" s="3244">
        <f>((B75/B76)+((1-(O75/O76))/3))+U69</f>
        <v>2.5152430512165053E-2</v>
      </c>
    </row>
    <row r="76" spans="1:22" ht="15" customHeight="1" thickBot="1">
      <c r="A76" s="864"/>
      <c r="B76" s="3211">
        <f>'Sources and Uses Budget'!$C$104+$Q$46-($E$50+$E$51)*(1-$J$58)</f>
        <v>114672470</v>
      </c>
      <c r="C76" s="3212"/>
      <c r="D76" s="3212"/>
      <c r="E76" s="3212"/>
      <c r="F76" s="3212"/>
      <c r="G76" s="3211"/>
      <c r="H76" s="864"/>
      <c r="I76" s="3209"/>
      <c r="J76" s="3201"/>
      <c r="K76" s="3209"/>
      <c r="L76" s="864"/>
      <c r="M76" s="1092"/>
      <c r="N76" s="864"/>
      <c r="O76" s="1110">
        <f>B76</f>
        <v>114672470</v>
      </c>
      <c r="P76" s="3201"/>
      <c r="Q76" s="3210"/>
      <c r="R76" s="324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3202"/>
      <c r="R84" s="3202"/>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1117</v>
      </c>
      <c r="H88" s="864"/>
      <c r="I88" s="881"/>
      <c r="J88" s="864"/>
      <c r="K88" s="1320" t="s">
        <v>1870</v>
      </c>
      <c r="L88" s="1217"/>
      <c r="M88" s="1217"/>
      <c r="N88" s="1217"/>
      <c r="O88" s="1217"/>
      <c r="P88" s="1217"/>
      <c r="Q88" s="864"/>
      <c r="R88" s="625"/>
      <c r="S88" s="864"/>
    </row>
    <row r="89" spans="1:19" ht="15" customHeight="1">
      <c r="A89" s="864"/>
      <c r="B89" s="899" t="s">
        <v>1109</v>
      </c>
      <c r="C89" s="900" t="s">
        <v>1110</v>
      </c>
      <c r="D89" s="1349" t="s">
        <v>2102</v>
      </c>
      <c r="E89" s="1349" t="s">
        <v>2186</v>
      </c>
      <c r="F89" s="901"/>
      <c r="G89" s="901" t="s">
        <v>2103</v>
      </c>
      <c r="H89" s="864"/>
      <c r="I89" s="881"/>
      <c r="J89" s="864"/>
      <c r="K89" s="1320" t="s">
        <v>1872</v>
      </c>
      <c r="L89" s="1218"/>
      <c r="M89" s="1218"/>
      <c r="N89" s="1218"/>
      <c r="O89" s="1218"/>
      <c r="P89" s="1218"/>
      <c r="Q89" s="3202"/>
      <c r="R89" s="3202"/>
      <c r="S89" s="864"/>
    </row>
    <row r="90" spans="1:19" ht="15" customHeight="1">
      <c r="A90" s="625"/>
      <c r="B90" s="842" t="s">
        <v>688</v>
      </c>
      <c r="C90" s="843"/>
      <c r="D90" s="844"/>
      <c r="E90" s="845"/>
      <c r="F90" s="909"/>
      <c r="G90" s="902">
        <f>MAX(($E90-$D90)*$C90*12,0)</f>
        <v>0</v>
      </c>
      <c r="H90" s="864"/>
      <c r="I90" s="881"/>
      <c r="J90" s="864"/>
      <c r="K90" s="1320" t="s">
        <v>1873</v>
      </c>
      <c r="L90" s="1218"/>
      <c r="M90" s="1218"/>
      <c r="N90" s="1218"/>
      <c r="O90" s="1218"/>
      <c r="P90" s="1218"/>
      <c r="Q90" s="3205"/>
      <c r="R90" s="3205"/>
      <c r="S90" s="864"/>
    </row>
    <row r="91" spans="1:19" ht="15" customHeight="1">
      <c r="A91" s="625"/>
      <c r="B91" s="842" t="s">
        <v>688</v>
      </c>
      <c r="C91" s="843"/>
      <c r="D91" s="844"/>
      <c r="E91" s="845"/>
      <c r="F91" s="909"/>
      <c r="G91" s="902">
        <f t="shared" ref="G91:G97" si="0">MAX(($E91-$D91)*$C91*12,0)</f>
        <v>0</v>
      </c>
      <c r="H91" s="864"/>
      <c r="I91" s="881"/>
      <c r="J91" s="864"/>
      <c r="K91" s="1320" t="s">
        <v>1877</v>
      </c>
      <c r="L91" s="1218"/>
      <c r="M91" s="1218"/>
      <c r="N91" s="1218"/>
      <c r="O91" s="1218"/>
      <c r="P91" s="1218"/>
      <c r="Q91" s="3203">
        <f>IFERROR(Q89/Q90,0)</f>
        <v>0</v>
      </c>
      <c r="R91" s="3203"/>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1878</v>
      </c>
      <c r="L93" s="1216"/>
      <c r="M93" s="1216"/>
      <c r="N93" s="1216"/>
      <c r="O93" s="1216"/>
      <c r="P93" s="1216"/>
      <c r="Q93" s="3204">
        <f>MAX(Q84,Q91)</f>
        <v>0</v>
      </c>
      <c r="R93" s="3204"/>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opLeftCell="A25" workbookViewId="0">
      <selection activeCell="E43" sqref="E4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8573340</v>
      </c>
      <c r="F4" s="638"/>
      <c r="G4" s="638">
        <f>E4*$C$4</f>
        <v>8787673.5</v>
      </c>
      <c r="H4" s="638"/>
      <c r="I4" s="638">
        <f>G4*$C$4</f>
        <v>9007365.3374999985</v>
      </c>
      <c r="J4" s="638"/>
      <c r="K4" s="638">
        <f>I4*$C$4</f>
        <v>9232549.4709374979</v>
      </c>
      <c r="L4" s="638"/>
      <c r="M4" s="638">
        <f>K4*$C$4</f>
        <v>9463363.2077109348</v>
      </c>
      <c r="N4" s="638"/>
      <c r="O4" s="638">
        <f>M4*$C$4</f>
        <v>9699947.2879037075</v>
      </c>
      <c r="P4" s="638"/>
      <c r="Q4" s="638">
        <f>O4*$C$4</f>
        <v>9942445.9701012988</v>
      </c>
      <c r="R4" s="638"/>
      <c r="S4" s="638">
        <f>Q4*$C$4</f>
        <v>10191007.119353831</v>
      </c>
      <c r="T4" s="638"/>
      <c r="U4" s="638">
        <f>S4*$C$4</f>
        <v>10445782.297337675</v>
      </c>
      <c r="V4" s="638"/>
      <c r="W4" s="638">
        <f>U4*$C$4</f>
        <v>10706926.854771117</v>
      </c>
      <c r="X4" s="638"/>
      <c r="Y4" s="638">
        <f>W4*$C$4</f>
        <v>10974600.026140394</v>
      </c>
      <c r="Z4" s="638"/>
      <c r="AA4" s="638">
        <f>Y4*$C$4</f>
        <v>11248965.026793903</v>
      </c>
      <c r="AB4" s="638"/>
      <c r="AC4" s="638">
        <f>AA4*$C$4</f>
        <v>11530189.152463749</v>
      </c>
      <c r="AD4" s="638"/>
      <c r="AE4" s="638">
        <f>AC4*$C$4</f>
        <v>11818443.881275341</v>
      </c>
      <c r="AF4" s="638"/>
      <c r="AG4" s="638">
        <f>AE4*$C$4</f>
        <v>12113904.978307223</v>
      </c>
      <c r="AH4" s="638"/>
    </row>
    <row r="5" spans="1:34" ht="14.25">
      <c r="A5" s="628"/>
      <c r="B5" s="628" t="s">
        <v>1111</v>
      </c>
      <c r="C5" s="663">
        <f>IF(Application!$D$221="Special Needs",0.1,0.05)</f>
        <v>0.05</v>
      </c>
      <c r="D5" s="628"/>
      <c r="E5" s="640">
        <f>-E4*$C$5</f>
        <v>-428667</v>
      </c>
      <c r="F5" s="640"/>
      <c r="G5" s="640">
        <f>-G4*$C$5</f>
        <v>-439383.67500000005</v>
      </c>
      <c r="H5" s="640"/>
      <c r="I5" s="640">
        <f>-I4*$C$5</f>
        <v>-450368.26687499997</v>
      </c>
      <c r="J5" s="640"/>
      <c r="K5" s="640">
        <f>-K4*$C$5</f>
        <v>-461627.47354687494</v>
      </c>
      <c r="L5" s="640"/>
      <c r="M5" s="640">
        <f>-M4*$C$5</f>
        <v>-473168.16038554674</v>
      </c>
      <c r="N5" s="640"/>
      <c r="O5" s="640">
        <f>-O4*$C$5</f>
        <v>-484997.36439518537</v>
      </c>
      <c r="P5" s="640"/>
      <c r="Q5" s="640">
        <f>-Q4*$C$5</f>
        <v>-497122.29850506497</v>
      </c>
      <c r="R5" s="640"/>
      <c r="S5" s="640">
        <f>-S4*$C$5</f>
        <v>-509550.35596769158</v>
      </c>
      <c r="T5" s="640"/>
      <c r="U5" s="640">
        <f>-U4*$C$5</f>
        <v>-522289.11486688378</v>
      </c>
      <c r="V5" s="640"/>
      <c r="W5" s="640">
        <f>-W4*$C$5</f>
        <v>-535346.34273855586</v>
      </c>
      <c r="X5" s="640"/>
      <c r="Y5" s="640">
        <f>-Y4*$C$5</f>
        <v>-548730.00130701973</v>
      </c>
      <c r="Z5" s="640"/>
      <c r="AA5" s="640">
        <f>-AA4*$C$5</f>
        <v>-562448.25133969518</v>
      </c>
      <c r="AB5" s="640"/>
      <c r="AC5" s="640">
        <f>-AC4*$C$5</f>
        <v>-576509.45762318745</v>
      </c>
      <c r="AD5" s="640"/>
      <c r="AE5" s="640">
        <f>-AE4*$C$5</f>
        <v>-590922.19406376709</v>
      </c>
      <c r="AF5" s="640"/>
      <c r="AG5" s="640">
        <f>-AG4*$C$5</f>
        <v>-605695.24891536112</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2">
        <v>1.0249999999999999</v>
      </c>
      <c r="D8" s="628"/>
      <c r="E8" s="641">
        <f>Application!Z780</f>
        <v>54000</v>
      </c>
      <c r="F8" s="641"/>
      <c r="G8" s="641">
        <f>E8*$C$8</f>
        <v>55349.999999999993</v>
      </c>
      <c r="H8" s="641"/>
      <c r="I8" s="641">
        <f>G8*$C$8</f>
        <v>56733.749999999985</v>
      </c>
      <c r="J8" s="641"/>
      <c r="K8" s="641">
        <f>I8*$C$8</f>
        <v>58152.093749999978</v>
      </c>
      <c r="L8" s="641"/>
      <c r="M8" s="641">
        <f>K8*$C$8</f>
        <v>59605.896093749972</v>
      </c>
      <c r="N8" s="641"/>
      <c r="O8" s="641">
        <f>M8*$C$8</f>
        <v>61096.043496093713</v>
      </c>
      <c r="P8" s="641"/>
      <c r="Q8" s="641">
        <f>O8*$C$8</f>
        <v>62623.44458349605</v>
      </c>
      <c r="R8" s="641"/>
      <c r="S8" s="641">
        <f>Q8*$C$8</f>
        <v>64189.030698083443</v>
      </c>
      <c r="T8" s="641"/>
      <c r="U8" s="641">
        <f>S8*$C$8</f>
        <v>65793.756465535524</v>
      </c>
      <c r="V8" s="641"/>
      <c r="W8" s="641">
        <f>U8*$C$8</f>
        <v>67438.600377173905</v>
      </c>
      <c r="X8" s="641"/>
      <c r="Y8" s="641">
        <f>W8*$C$8</f>
        <v>69124.565386603252</v>
      </c>
      <c r="Z8" s="641"/>
      <c r="AA8" s="641">
        <f>Y8*$C$8</f>
        <v>70852.679521268321</v>
      </c>
      <c r="AB8" s="641"/>
      <c r="AC8" s="641">
        <f>AA8*$C$8</f>
        <v>72623.996509300021</v>
      </c>
      <c r="AD8" s="641"/>
      <c r="AE8" s="641">
        <f>AC8*$C$8</f>
        <v>74439.596422032511</v>
      </c>
      <c r="AF8" s="641"/>
      <c r="AG8" s="641">
        <f>AE8*$C$8</f>
        <v>76300.58633258332</v>
      </c>
      <c r="AH8" s="628"/>
    </row>
    <row r="9" spans="1:34" ht="14.25">
      <c r="A9" s="628"/>
      <c r="B9" s="628" t="s">
        <v>1111</v>
      </c>
      <c r="C9" s="663">
        <f>IF(Application!$D$221="Special Needs",0.1,0.05)</f>
        <v>0.05</v>
      </c>
      <c r="D9" s="628"/>
      <c r="E9" s="660">
        <f>-E8*$C$9</f>
        <v>-2700</v>
      </c>
      <c r="F9" s="640"/>
      <c r="G9" s="660">
        <f>-G8*$C$9</f>
        <v>-2767.5</v>
      </c>
      <c r="H9" s="640"/>
      <c r="I9" s="660">
        <f>-I8*$C$9</f>
        <v>-2836.6874999999995</v>
      </c>
      <c r="J9" s="640"/>
      <c r="K9" s="660">
        <f>-K8*$C$9</f>
        <v>-2907.6046874999993</v>
      </c>
      <c r="L9" s="640"/>
      <c r="M9" s="660">
        <f>-M8*$C$9</f>
        <v>-2980.294804687499</v>
      </c>
      <c r="N9" s="640"/>
      <c r="O9" s="660">
        <f>-O8*$C$9</f>
        <v>-3054.8021748046858</v>
      </c>
      <c r="P9" s="640"/>
      <c r="Q9" s="660">
        <f>-Q8*$C$9</f>
        <v>-3131.1722291748029</v>
      </c>
      <c r="R9" s="640"/>
      <c r="S9" s="660">
        <f>-S8*$C$9</f>
        <v>-3209.4515349041721</v>
      </c>
      <c r="T9" s="640"/>
      <c r="U9" s="660">
        <f>-U8*$C$9</f>
        <v>-3289.6878232767763</v>
      </c>
      <c r="V9" s="640"/>
      <c r="W9" s="660">
        <f>-W8*$C$9</f>
        <v>-3371.9300188586953</v>
      </c>
      <c r="X9" s="640"/>
      <c r="Y9" s="660">
        <f>-Y8*$C$9</f>
        <v>-3456.2282693301627</v>
      </c>
      <c r="Z9" s="640"/>
      <c r="AA9" s="660">
        <f>-AA8*$C$9</f>
        <v>-3542.6339760634164</v>
      </c>
      <c r="AB9" s="640"/>
      <c r="AC9" s="660">
        <f>-AC8*$C$9</f>
        <v>-3631.1998254650011</v>
      </c>
      <c r="AD9" s="640"/>
      <c r="AE9" s="660">
        <f>-AE8*$C$9</f>
        <v>-3721.9798211016259</v>
      </c>
      <c r="AF9" s="640"/>
      <c r="AG9" s="660">
        <f>-AG8*$C$9</f>
        <v>-3815.0293166291663</v>
      </c>
      <c r="AH9" s="628"/>
    </row>
    <row r="10" spans="1:34" ht="15">
      <c r="A10" s="642" t="s">
        <v>1216</v>
      </c>
      <c r="B10" s="642"/>
      <c r="C10" s="633"/>
      <c r="D10" s="642"/>
      <c r="E10" s="642">
        <f>SUM(E4:E9)</f>
        <v>8195973</v>
      </c>
      <c r="F10" s="642"/>
      <c r="G10" s="642">
        <f>SUM(G4:G9)</f>
        <v>8400872.3249999993</v>
      </c>
      <c r="H10" s="642"/>
      <c r="I10" s="642">
        <f>SUM(I4:I9)</f>
        <v>8610894.1331249978</v>
      </c>
      <c r="J10" s="642"/>
      <c r="K10" s="642">
        <f>SUM(K4:K9)</f>
        <v>8826166.4864531215</v>
      </c>
      <c r="L10" s="642"/>
      <c r="M10" s="642">
        <f>SUM(M4:M9)</f>
        <v>9046820.6486144513</v>
      </c>
      <c r="N10" s="642"/>
      <c r="O10" s="642">
        <f>SUM(O4:O9)</f>
        <v>9272991.1648298111</v>
      </c>
      <c r="P10" s="642"/>
      <c r="Q10" s="642">
        <f>SUM(Q4:Q9)</f>
        <v>9504815.9439505562</v>
      </c>
      <c r="R10" s="642"/>
      <c r="S10" s="642">
        <f>SUM(S4:S9)</f>
        <v>9742436.3425493184</v>
      </c>
      <c r="T10" s="642"/>
      <c r="U10" s="642">
        <f>SUM(U4:U9)</f>
        <v>9985997.2511130497</v>
      </c>
      <c r="V10" s="642"/>
      <c r="W10" s="642">
        <f>SUM(W4:W9)</f>
        <v>10235647.182390876</v>
      </c>
      <c r="X10" s="642"/>
      <c r="Y10" s="642">
        <f>SUM(Y4:Y9)</f>
        <v>10491538.361950647</v>
      </c>
      <c r="Z10" s="642"/>
      <c r="AA10" s="642">
        <f>SUM(AA4:AA9)</f>
        <v>10753826.820999414</v>
      </c>
      <c r="AB10" s="642"/>
      <c r="AC10" s="642">
        <f>SUM(AC4:AC9)</f>
        <v>11022672.491524396</v>
      </c>
      <c r="AD10" s="642"/>
      <c r="AE10" s="642">
        <f>SUM(AE4:AE9)</f>
        <v>11298239.303812506</v>
      </c>
      <c r="AF10" s="642"/>
      <c r="AG10" s="642">
        <f>SUM(AG4:AG9)</f>
        <v>11580695.286407817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194100</v>
      </c>
      <c r="F14" s="638"/>
      <c r="G14" s="638">
        <f t="shared" ref="G14:G20" si="0">E14*$C$13</f>
        <v>200893.49999999997</v>
      </c>
      <c r="H14" s="638"/>
      <c r="I14" s="638">
        <f t="shared" ref="I14:I20" si="1">G14*$C$13</f>
        <v>207924.77249999996</v>
      </c>
      <c r="J14" s="638"/>
      <c r="K14" s="638">
        <f t="shared" ref="K14:K20" si="2">I14*$C$13</f>
        <v>215202.13953749996</v>
      </c>
      <c r="L14" s="638"/>
      <c r="M14" s="638">
        <f t="shared" ref="M14:M20" si="3">K14*$C$13</f>
        <v>222734.21442131244</v>
      </c>
      <c r="N14" s="638"/>
      <c r="O14" s="638">
        <f t="shared" ref="O14:O20" si="4">M14*$C$13</f>
        <v>230529.91192605835</v>
      </c>
      <c r="P14" s="638"/>
      <c r="Q14" s="638">
        <f t="shared" ref="Q14:Q20" si="5">O14*$C$13</f>
        <v>238598.45884347038</v>
      </c>
      <c r="R14" s="638"/>
      <c r="S14" s="638">
        <f t="shared" ref="S14:S20" si="6">Q14*$C$13</f>
        <v>246949.40490299181</v>
      </c>
      <c r="T14" s="638"/>
      <c r="U14" s="638">
        <f t="shared" ref="U14:U20" si="7">S14*$C$13</f>
        <v>255592.63407459651</v>
      </c>
      <c r="V14" s="638"/>
      <c r="W14" s="638">
        <f t="shared" ref="W14:W20" si="8">U14*$C$13</f>
        <v>264538.37626720738</v>
      </c>
      <c r="X14" s="638"/>
      <c r="Y14" s="638">
        <f t="shared" ref="Y14:Y20" si="9">W14*$C$13</f>
        <v>273797.21943655959</v>
      </c>
      <c r="Z14" s="638"/>
      <c r="AA14" s="638">
        <f t="shared" ref="AA14:AA20" si="10">Y14*$C$13</f>
        <v>283380.12211683916</v>
      </c>
      <c r="AB14" s="638"/>
      <c r="AC14" s="638">
        <f t="shared" ref="AC14:AC20" si="11">AA14*$C$13</f>
        <v>293298.42639092851</v>
      </c>
      <c r="AD14" s="638"/>
      <c r="AE14" s="638">
        <f t="shared" ref="AE14:AE20" si="12">AC14*$C$13</f>
        <v>303563.87131461099</v>
      </c>
      <c r="AF14" s="638"/>
      <c r="AG14" s="638">
        <f t="shared" ref="AG14:AG20" si="13">AE14*$C$13</f>
        <v>314188.60681062238</v>
      </c>
      <c r="AH14" s="638"/>
    </row>
    <row r="15" spans="1:34" ht="14.25">
      <c r="A15" s="628" t="s">
        <v>522</v>
      </c>
      <c r="B15" s="628"/>
      <c r="C15" s="652"/>
      <c r="D15" s="628"/>
      <c r="E15" s="641">
        <f>Application!W812</f>
        <v>327840</v>
      </c>
      <c r="F15" s="641"/>
      <c r="G15" s="641">
        <f t="shared" si="0"/>
        <v>339314.39999999997</v>
      </c>
      <c r="H15" s="641"/>
      <c r="I15" s="641">
        <f t="shared" si="1"/>
        <v>351190.40399999992</v>
      </c>
      <c r="J15" s="641"/>
      <c r="K15" s="641">
        <f t="shared" si="2"/>
        <v>363482.06813999987</v>
      </c>
      <c r="L15" s="641"/>
      <c r="M15" s="641">
        <f t="shared" si="3"/>
        <v>376203.94052489987</v>
      </c>
      <c r="N15" s="641"/>
      <c r="O15" s="641">
        <f t="shared" si="4"/>
        <v>389371.07844327134</v>
      </c>
      <c r="P15" s="641"/>
      <c r="Q15" s="641">
        <f t="shared" si="5"/>
        <v>402999.06618878583</v>
      </c>
      <c r="R15" s="641"/>
      <c r="S15" s="641">
        <f t="shared" si="6"/>
        <v>417104.03350539331</v>
      </c>
      <c r="T15" s="641"/>
      <c r="U15" s="641">
        <f t="shared" si="7"/>
        <v>431702.67467808205</v>
      </c>
      <c r="V15" s="641"/>
      <c r="W15" s="641">
        <f t="shared" si="8"/>
        <v>446812.26829181489</v>
      </c>
      <c r="X15" s="641"/>
      <c r="Y15" s="641">
        <f t="shared" si="9"/>
        <v>462450.6976820284</v>
      </c>
      <c r="Z15" s="641"/>
      <c r="AA15" s="641">
        <f t="shared" si="10"/>
        <v>478636.47210089938</v>
      </c>
      <c r="AB15" s="641"/>
      <c r="AC15" s="641">
        <f t="shared" si="11"/>
        <v>495388.74862443079</v>
      </c>
      <c r="AD15" s="641"/>
      <c r="AE15" s="641">
        <f t="shared" si="12"/>
        <v>512727.35482628585</v>
      </c>
      <c r="AF15" s="641"/>
      <c r="AG15" s="641">
        <f t="shared" si="13"/>
        <v>530672.81224520586</v>
      </c>
      <c r="AH15" s="628"/>
    </row>
    <row r="16" spans="1:34" ht="14.25">
      <c r="A16" s="628" t="s">
        <v>808</v>
      </c>
      <c r="B16" s="628"/>
      <c r="C16" s="652"/>
      <c r="D16" s="628"/>
      <c r="E16" s="641">
        <f>Application!W818</f>
        <v>522000</v>
      </c>
      <c r="F16" s="641"/>
      <c r="G16" s="641">
        <f t="shared" si="0"/>
        <v>540270</v>
      </c>
      <c r="H16" s="641"/>
      <c r="I16" s="641">
        <f t="shared" si="1"/>
        <v>559179.44999999995</v>
      </c>
      <c r="J16" s="641"/>
      <c r="K16" s="641">
        <f t="shared" si="2"/>
        <v>578750.73074999987</v>
      </c>
      <c r="L16" s="641"/>
      <c r="M16" s="641">
        <f t="shared" si="3"/>
        <v>599007.0063262498</v>
      </c>
      <c r="N16" s="641"/>
      <c r="O16" s="641">
        <f t="shared" si="4"/>
        <v>619972.25154766848</v>
      </c>
      <c r="P16" s="641"/>
      <c r="Q16" s="641">
        <f t="shared" si="5"/>
        <v>641671.28035183682</v>
      </c>
      <c r="R16" s="641"/>
      <c r="S16" s="641">
        <f t="shared" si="6"/>
        <v>664129.7751641511</v>
      </c>
      <c r="T16" s="641"/>
      <c r="U16" s="641">
        <f t="shared" si="7"/>
        <v>687374.31729489635</v>
      </c>
      <c r="V16" s="641"/>
      <c r="W16" s="641">
        <f t="shared" si="8"/>
        <v>711432.41840021766</v>
      </c>
      <c r="X16" s="641"/>
      <c r="Y16" s="641">
        <f t="shared" si="9"/>
        <v>736332.55304422521</v>
      </c>
      <c r="Z16" s="641"/>
      <c r="AA16" s="641">
        <f t="shared" si="10"/>
        <v>762104.19240077306</v>
      </c>
      <c r="AB16" s="641"/>
      <c r="AC16" s="641">
        <f t="shared" si="11"/>
        <v>788777.83913480002</v>
      </c>
      <c r="AD16" s="641"/>
      <c r="AE16" s="641">
        <f t="shared" si="12"/>
        <v>816385.06350451801</v>
      </c>
      <c r="AF16" s="641"/>
      <c r="AG16" s="641">
        <f t="shared" si="13"/>
        <v>844958.54072717612</v>
      </c>
      <c r="AH16" s="628"/>
    </row>
    <row r="17" spans="1:33" ht="14.25">
      <c r="A17" s="628" t="s">
        <v>1220</v>
      </c>
      <c r="B17" s="628"/>
      <c r="C17" s="652"/>
      <c r="D17" s="628"/>
      <c r="E17" s="641">
        <f>Application!W823</f>
        <v>490980</v>
      </c>
      <c r="F17" s="641"/>
      <c r="G17" s="641">
        <f t="shared" si="0"/>
        <v>508164.3</v>
      </c>
      <c r="H17" s="641"/>
      <c r="I17" s="641">
        <f t="shared" si="1"/>
        <v>525950.0504999999</v>
      </c>
      <c r="J17" s="641"/>
      <c r="K17" s="641">
        <f t="shared" si="2"/>
        <v>544358.30226749985</v>
      </c>
      <c r="L17" s="641"/>
      <c r="M17" s="641">
        <f t="shared" si="3"/>
        <v>563410.84284686227</v>
      </c>
      <c r="N17" s="641"/>
      <c r="O17" s="641">
        <f t="shared" si="4"/>
        <v>583130.22234650236</v>
      </c>
      <c r="P17" s="641"/>
      <c r="Q17" s="641">
        <f t="shared" si="5"/>
        <v>603539.78012862988</v>
      </c>
      <c r="R17" s="641"/>
      <c r="S17" s="641">
        <f t="shared" si="6"/>
        <v>624663.67243313184</v>
      </c>
      <c r="T17" s="641"/>
      <c r="U17" s="641">
        <f t="shared" si="7"/>
        <v>646526.90096829145</v>
      </c>
      <c r="V17" s="641"/>
      <c r="W17" s="641">
        <f t="shared" si="8"/>
        <v>669155.34250218165</v>
      </c>
      <c r="X17" s="641"/>
      <c r="Y17" s="641">
        <f t="shared" si="9"/>
        <v>692575.77948975796</v>
      </c>
      <c r="Z17" s="641"/>
      <c r="AA17" s="641">
        <f t="shared" si="10"/>
        <v>716815.93177189946</v>
      </c>
      <c r="AB17" s="641"/>
      <c r="AC17" s="641">
        <f t="shared" si="11"/>
        <v>741904.4893839159</v>
      </c>
      <c r="AD17" s="641"/>
      <c r="AE17" s="641">
        <f t="shared" si="12"/>
        <v>767871.14651235286</v>
      </c>
      <c r="AF17" s="641"/>
      <c r="AG17" s="641">
        <f t="shared" si="13"/>
        <v>794746.63664028514</v>
      </c>
    </row>
    <row r="18" spans="1:33" ht="14.25">
      <c r="A18" s="628" t="s">
        <v>1046</v>
      </c>
      <c r="B18" s="628"/>
      <c r="C18" s="652"/>
      <c r="D18" s="628"/>
      <c r="E18" s="641">
        <f>Application!W824</f>
        <v>71400</v>
      </c>
      <c r="F18" s="641"/>
      <c r="G18" s="641">
        <f t="shared" si="0"/>
        <v>73899</v>
      </c>
      <c r="H18" s="641"/>
      <c r="I18" s="641">
        <f t="shared" si="1"/>
        <v>76485.464999999997</v>
      </c>
      <c r="J18" s="641"/>
      <c r="K18" s="641">
        <f t="shared" si="2"/>
        <v>79162.45627499999</v>
      </c>
      <c r="L18" s="641"/>
      <c r="M18" s="641">
        <f t="shared" si="3"/>
        <v>81933.142244624978</v>
      </c>
      <c r="N18" s="641"/>
      <c r="O18" s="641">
        <f t="shared" si="4"/>
        <v>84800.802223186853</v>
      </c>
      <c r="P18" s="641"/>
      <c r="Q18" s="641">
        <f t="shared" si="5"/>
        <v>87768.830300998379</v>
      </c>
      <c r="R18" s="641"/>
      <c r="S18" s="641">
        <f t="shared" si="6"/>
        <v>90840.739361533313</v>
      </c>
      <c r="T18" s="641"/>
      <c r="U18" s="641">
        <f t="shared" si="7"/>
        <v>94020.165239186972</v>
      </c>
      <c r="V18" s="641"/>
      <c r="W18" s="641">
        <f t="shared" si="8"/>
        <v>97310.871022558509</v>
      </c>
      <c r="X18" s="641"/>
      <c r="Y18" s="641">
        <f t="shared" si="9"/>
        <v>100716.75150834805</v>
      </c>
      <c r="Z18" s="641"/>
      <c r="AA18" s="641">
        <f t="shared" si="10"/>
        <v>104241.83781114023</v>
      </c>
      <c r="AB18" s="641"/>
      <c r="AC18" s="641">
        <f t="shared" si="11"/>
        <v>107890.30213453012</v>
      </c>
      <c r="AD18" s="641"/>
      <c r="AE18" s="641">
        <f t="shared" si="12"/>
        <v>111666.46270923867</v>
      </c>
      <c r="AF18" s="641"/>
      <c r="AG18" s="641">
        <f t="shared" si="13"/>
        <v>115574.78890406201</v>
      </c>
    </row>
    <row r="19" spans="1:33" ht="14.25">
      <c r="A19" s="628" t="s">
        <v>59</v>
      </c>
      <c r="B19" s="628"/>
      <c r="C19" s="652"/>
      <c r="D19" s="628"/>
      <c r="E19" s="641">
        <f>Application!W833</f>
        <v>1089000</v>
      </c>
      <c r="F19" s="641"/>
      <c r="G19" s="641">
        <f t="shared" si="0"/>
        <v>1127115</v>
      </c>
      <c r="H19" s="641"/>
      <c r="I19" s="641">
        <f t="shared" si="1"/>
        <v>1166564.0249999999</v>
      </c>
      <c r="J19" s="641"/>
      <c r="K19" s="641">
        <f t="shared" si="2"/>
        <v>1207393.7658749998</v>
      </c>
      <c r="L19" s="641"/>
      <c r="M19" s="641">
        <f t="shared" si="3"/>
        <v>1249652.5476806248</v>
      </c>
      <c r="N19" s="641"/>
      <c r="O19" s="641">
        <f t="shared" si="4"/>
        <v>1293390.3868494465</v>
      </c>
      <c r="P19" s="641"/>
      <c r="Q19" s="641">
        <f t="shared" si="5"/>
        <v>1338659.0503891769</v>
      </c>
      <c r="R19" s="641"/>
      <c r="S19" s="641">
        <f t="shared" si="6"/>
        <v>1385512.117152798</v>
      </c>
      <c r="T19" s="641"/>
      <c r="U19" s="641">
        <f t="shared" si="7"/>
        <v>1434005.0412531458</v>
      </c>
      <c r="V19" s="641"/>
      <c r="W19" s="641">
        <f t="shared" si="8"/>
        <v>1484195.2176970057</v>
      </c>
      <c r="X19" s="641"/>
      <c r="Y19" s="641">
        <f t="shared" si="9"/>
        <v>1536142.0503164008</v>
      </c>
      <c r="Z19" s="641"/>
      <c r="AA19" s="641">
        <f t="shared" si="10"/>
        <v>1589907.0220774747</v>
      </c>
      <c r="AB19" s="641"/>
      <c r="AC19" s="641">
        <f t="shared" si="11"/>
        <v>1645553.7678501862</v>
      </c>
      <c r="AD19" s="641"/>
      <c r="AE19" s="641">
        <f t="shared" si="12"/>
        <v>1703148.1497249426</v>
      </c>
      <c r="AF19" s="641"/>
      <c r="AG19" s="641">
        <f t="shared" si="13"/>
        <v>1762758.3349653154</v>
      </c>
    </row>
    <row r="20" spans="1:33" ht="14.25">
      <c r="A20" s="803" t="str">
        <f>Application!M835</f>
        <v>Property &amp; GL Insurance</v>
      </c>
      <c r="B20" s="803"/>
      <c r="C20" s="652"/>
      <c r="D20" s="628"/>
      <c r="E20" s="651">
        <f>Application!W840</f>
        <v>210000</v>
      </c>
      <c r="F20" s="641"/>
      <c r="G20" s="651">
        <f t="shared" si="0"/>
        <v>217349.99999999997</v>
      </c>
      <c r="H20" s="641"/>
      <c r="I20" s="651">
        <f t="shared" si="1"/>
        <v>224957.24999999994</v>
      </c>
      <c r="J20" s="641"/>
      <c r="K20" s="651">
        <f t="shared" si="2"/>
        <v>232830.75374999992</v>
      </c>
      <c r="L20" s="641"/>
      <c r="M20" s="651">
        <f t="shared" si="3"/>
        <v>240979.83013124988</v>
      </c>
      <c r="N20" s="641"/>
      <c r="O20" s="651">
        <f t="shared" si="4"/>
        <v>249414.1241858436</v>
      </c>
      <c r="P20" s="641"/>
      <c r="Q20" s="651">
        <f t="shared" si="5"/>
        <v>258143.6185323481</v>
      </c>
      <c r="R20" s="641"/>
      <c r="S20" s="651">
        <f t="shared" si="6"/>
        <v>267178.64518098027</v>
      </c>
      <c r="T20" s="641"/>
      <c r="U20" s="651">
        <f t="shared" si="7"/>
        <v>276529.89776231453</v>
      </c>
      <c r="V20" s="641"/>
      <c r="W20" s="651">
        <f t="shared" si="8"/>
        <v>286208.44418399554</v>
      </c>
      <c r="X20" s="641"/>
      <c r="Y20" s="651">
        <f t="shared" si="9"/>
        <v>296225.73973043537</v>
      </c>
      <c r="Z20" s="641"/>
      <c r="AA20" s="651">
        <f t="shared" si="10"/>
        <v>306593.64062100055</v>
      </c>
      <c r="AB20" s="641"/>
      <c r="AC20" s="651">
        <f t="shared" si="11"/>
        <v>317324.41804273555</v>
      </c>
      <c r="AD20" s="641"/>
      <c r="AE20" s="651">
        <f t="shared" si="12"/>
        <v>328430.77267423127</v>
      </c>
      <c r="AF20" s="641"/>
      <c r="AG20" s="651">
        <f t="shared" si="13"/>
        <v>339925.84971782932</v>
      </c>
    </row>
    <row r="21" spans="1:33" ht="15">
      <c r="A21" s="642" t="s">
        <v>1221</v>
      </c>
      <c r="B21" s="642"/>
      <c r="C21" s="652"/>
      <c r="D21" s="642"/>
      <c r="E21" s="642">
        <f>SUM(E14:E20)</f>
        <v>2905320</v>
      </c>
      <c r="F21" s="642"/>
      <c r="G21" s="642">
        <f>SUM(G14:G20)</f>
        <v>3007006.2</v>
      </c>
      <c r="H21" s="642"/>
      <c r="I21" s="642">
        <f>SUM(I14:I20)</f>
        <v>3112251.4169999994</v>
      </c>
      <c r="J21" s="642"/>
      <c r="K21" s="642">
        <f>SUM(K14:K20)</f>
        <v>3221180.2165949997</v>
      </c>
      <c r="L21" s="642"/>
      <c r="M21" s="642">
        <f>SUM(M14:M20)</f>
        <v>3333921.5241758241</v>
      </c>
      <c r="N21" s="642"/>
      <c r="O21" s="642">
        <f>SUM(O14:O20)</f>
        <v>3450608.7775219772</v>
      </c>
      <c r="P21" s="642"/>
      <c r="Q21" s="642">
        <f>SUM(Q14:Q20)</f>
        <v>3571380.0847352459</v>
      </c>
      <c r="R21" s="642"/>
      <c r="S21" s="642">
        <f>SUM(S14:S20)</f>
        <v>3696378.3877009796</v>
      </c>
      <c r="T21" s="642"/>
      <c r="U21" s="642">
        <f>SUM(U14:U20)</f>
        <v>3825751.6312705134</v>
      </c>
      <c r="V21" s="642"/>
      <c r="W21" s="642">
        <f>SUM(W14:W20)</f>
        <v>3959652.9383649812</v>
      </c>
      <c r="X21" s="642"/>
      <c r="Y21" s="642">
        <f>SUM(Y14:Y20)</f>
        <v>4098240.7912077555</v>
      </c>
      <c r="Z21" s="642"/>
      <c r="AA21" s="642">
        <f>SUM(AA14:AA20)</f>
        <v>4241679.2189000268</v>
      </c>
      <c r="AB21" s="642"/>
      <c r="AC21" s="642">
        <f>SUM(AC14:AC20)</f>
        <v>4390137.9915615274</v>
      </c>
      <c r="AD21" s="642"/>
      <c r="AE21" s="642">
        <f>SUM(AE14:AE20)</f>
        <v>4543792.8212661799</v>
      </c>
      <c r="AF21" s="642"/>
      <c r="AG21" s="642">
        <f>SUM(AG14:AG20)</f>
        <v>4702825.5700104963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1223</v>
      </c>
      <c r="B25" s="628"/>
      <c r="C25" s="664"/>
      <c r="D25" s="628"/>
      <c r="E25" s="641">
        <f>Application!AC850</f>
        <v>175000</v>
      </c>
      <c r="F25" s="641"/>
      <c r="G25" s="641">
        <f>$E$25</f>
        <v>175000</v>
      </c>
      <c r="H25" s="641"/>
      <c r="I25" s="641">
        <f>$E$25</f>
        <v>175000</v>
      </c>
      <c r="J25" s="641"/>
      <c r="K25" s="641">
        <f>$E$25</f>
        <v>175000</v>
      </c>
      <c r="L25" s="641"/>
      <c r="M25" s="641">
        <f>$E$25</f>
        <v>175000</v>
      </c>
      <c r="N25" s="641"/>
      <c r="O25" s="641">
        <f>$E$25</f>
        <v>175000</v>
      </c>
      <c r="P25" s="641"/>
      <c r="Q25" s="641">
        <f>$E$25</f>
        <v>175000</v>
      </c>
      <c r="R25" s="641"/>
      <c r="S25" s="641">
        <f>$E$25</f>
        <v>175000</v>
      </c>
      <c r="T25" s="641"/>
      <c r="U25" s="641">
        <f>$E$25</f>
        <v>175000</v>
      </c>
      <c r="V25" s="641"/>
      <c r="W25" s="641">
        <f>$E$25</f>
        <v>175000</v>
      </c>
      <c r="X25" s="641"/>
      <c r="Y25" s="641">
        <f>$E$25</f>
        <v>175000</v>
      </c>
      <c r="Z25" s="641"/>
      <c r="AA25" s="641">
        <f>$E$25</f>
        <v>175000</v>
      </c>
      <c r="AB25" s="641"/>
      <c r="AC25" s="641">
        <f>$E$25</f>
        <v>175000</v>
      </c>
      <c r="AD25" s="641"/>
      <c r="AE25" s="641">
        <f>$E$25</f>
        <v>175000</v>
      </c>
      <c r="AF25" s="641"/>
      <c r="AG25" s="641">
        <f>$E$25</f>
        <v>175000</v>
      </c>
    </row>
    <row r="26" spans="1:33" ht="14.25">
      <c r="A26" s="628" t="s">
        <v>1224</v>
      </c>
      <c r="B26" s="628"/>
      <c r="C26" s="662">
        <v>1.02</v>
      </c>
      <c r="D26" s="628"/>
      <c r="E26" s="641">
        <f>Application!AC851</f>
        <v>711</v>
      </c>
      <c r="F26" s="641"/>
      <c r="G26" s="641">
        <f>E26*$C$26</f>
        <v>725.22</v>
      </c>
      <c r="H26" s="641"/>
      <c r="I26" s="641">
        <f>G26*$C$26</f>
        <v>739.72440000000006</v>
      </c>
      <c r="J26" s="641"/>
      <c r="K26" s="641">
        <f>I26*$C$26</f>
        <v>754.51888800000006</v>
      </c>
      <c r="L26" s="641"/>
      <c r="M26" s="641">
        <f>K26*$C$26</f>
        <v>769.60926576000008</v>
      </c>
      <c r="N26" s="641"/>
      <c r="O26" s="641">
        <f>M26*$C$26</f>
        <v>785.00145107520007</v>
      </c>
      <c r="P26" s="641"/>
      <c r="Q26" s="641">
        <f>O26*$C$26</f>
        <v>800.70148009670413</v>
      </c>
      <c r="R26" s="641"/>
      <c r="S26" s="641">
        <f>Q26*$C$26</f>
        <v>816.71550969863824</v>
      </c>
      <c r="T26" s="641"/>
      <c r="U26" s="641">
        <f>S26*$C$26</f>
        <v>833.04981989261103</v>
      </c>
      <c r="V26" s="641"/>
      <c r="W26" s="641">
        <f>U26*$C$26</f>
        <v>849.7108162904633</v>
      </c>
      <c r="X26" s="641"/>
      <c r="Y26" s="641">
        <f>W26*$C$26</f>
        <v>866.70503261627255</v>
      </c>
      <c r="Z26" s="641"/>
      <c r="AA26" s="641">
        <f>Y26*$C$26</f>
        <v>884.03913326859799</v>
      </c>
      <c r="AB26" s="641"/>
      <c r="AC26" s="641">
        <f>AA26*$C$26</f>
        <v>901.71991593397001</v>
      </c>
      <c r="AD26" s="641"/>
      <c r="AE26" s="641">
        <f>AC26*$C$26</f>
        <v>919.75431425264946</v>
      </c>
      <c r="AF26" s="641"/>
      <c r="AG26" s="641">
        <f>AE26*$C$26</f>
        <v>938.14940053770249</v>
      </c>
    </row>
    <row r="27" spans="1:33" ht="14.25">
      <c r="A27" s="645" t="str">
        <f>Application!E852</f>
        <v>Other (Specify):</v>
      </c>
      <c r="B27" s="645"/>
      <c r="C27" s="809">
        <v>1</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3081031</v>
      </c>
      <c r="F30" s="642"/>
      <c r="G30" s="642">
        <f>SUM(G21:G28)</f>
        <v>3182731.4200000004</v>
      </c>
      <c r="H30" s="642"/>
      <c r="I30" s="642">
        <f>SUM(I21:I28)</f>
        <v>3287991.1413999996</v>
      </c>
      <c r="J30" s="642"/>
      <c r="K30" s="642">
        <f>SUM(K21:K28)</f>
        <v>3396934.7354829996</v>
      </c>
      <c r="L30" s="642"/>
      <c r="M30" s="642">
        <f>SUM(M21:M28)</f>
        <v>3509691.1334415842</v>
      </c>
      <c r="N30" s="642"/>
      <c r="O30" s="642">
        <f>SUM(O21:O28)</f>
        <v>3626393.7789730523</v>
      </c>
      <c r="P30" s="642"/>
      <c r="Q30" s="642">
        <f>SUM(Q21:Q28)</f>
        <v>3747180.7862153426</v>
      </c>
      <c r="R30" s="642"/>
      <c r="S30" s="642">
        <f>SUM(S21:S28)</f>
        <v>3872195.1032106783</v>
      </c>
      <c r="T30" s="642"/>
      <c r="U30" s="642">
        <f>SUM(U21:U28)</f>
        <v>4001584.6810904061</v>
      </c>
      <c r="V30" s="642"/>
      <c r="W30" s="642">
        <f>SUM(W21:W28)</f>
        <v>4135502.6491812719</v>
      </c>
      <c r="X30" s="642"/>
      <c r="Y30" s="642">
        <f>SUM(Y21:Y28)</f>
        <v>4274107.4962403709</v>
      </c>
      <c r="Z30" s="642"/>
      <c r="AA30" s="642">
        <f>SUM(AA21:AA28)</f>
        <v>4417563.2580332952</v>
      </c>
      <c r="AB30" s="642"/>
      <c r="AC30" s="642">
        <f>SUM(AC21:AC28)</f>
        <v>4566039.7114774613</v>
      </c>
      <c r="AD30" s="642"/>
      <c r="AE30" s="642">
        <f>SUM(AE21:AE28)</f>
        <v>4719712.575580433</v>
      </c>
      <c r="AF30" s="642"/>
      <c r="AG30" s="642">
        <f>SUM(AG21:AG28)</f>
        <v>4878763.7194110341</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5114942</v>
      </c>
      <c r="F32" s="642"/>
      <c r="G32" s="642">
        <f>G10-G30</f>
        <v>5218140.9049999993</v>
      </c>
      <c r="H32" s="642"/>
      <c r="I32" s="642">
        <f>I10-I30</f>
        <v>5322902.9917249978</v>
      </c>
      <c r="J32" s="642"/>
      <c r="K32" s="642">
        <f>K10-K30</f>
        <v>5429231.7509701215</v>
      </c>
      <c r="L32" s="642"/>
      <c r="M32" s="642">
        <f>M10-M30</f>
        <v>5537129.5151728671</v>
      </c>
      <c r="N32" s="642"/>
      <c r="O32" s="642">
        <f>O10-O30</f>
        <v>5646597.3858567588</v>
      </c>
      <c r="P32" s="642"/>
      <c r="Q32" s="642">
        <f>Q10-Q30</f>
        <v>5757635.1577352136</v>
      </c>
      <c r="R32" s="642"/>
      <c r="S32" s="642">
        <f>S10-S30</f>
        <v>5870241.2393386401</v>
      </c>
      <c r="T32" s="642"/>
      <c r="U32" s="642">
        <f>U10-U30</f>
        <v>5984412.5700226435</v>
      </c>
      <c r="V32" s="642"/>
      <c r="W32" s="642">
        <f>W10-W30</f>
        <v>6100144.5332096042</v>
      </c>
      <c r="X32" s="642"/>
      <c r="Y32" s="642">
        <f>Y10-Y30</f>
        <v>6217430.8657102762</v>
      </c>
      <c r="Z32" s="642"/>
      <c r="AA32" s="642">
        <f>AA10-AA30</f>
        <v>6336263.5629661186</v>
      </c>
      <c r="AB32" s="642"/>
      <c r="AC32" s="642">
        <f>AC10-AC30</f>
        <v>6456632.7800469352</v>
      </c>
      <c r="AD32" s="642"/>
      <c r="AE32" s="642">
        <f>AE10-AE30</f>
        <v>6578526.7282320727</v>
      </c>
      <c r="AF32" s="642"/>
      <c r="AG32" s="642">
        <f>AG10-AG30</f>
        <v>6701931.566996783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Housing &amp; Healthcare Finance, LLC</v>
      </c>
      <c r="B35" s="645"/>
      <c r="C35" s="639"/>
      <c r="D35" s="628"/>
      <c r="E35" s="641">
        <f>Application!AB617</f>
        <v>4298176</v>
      </c>
      <c r="F35" s="641"/>
      <c r="G35" s="641">
        <f>$E$35</f>
        <v>4298176</v>
      </c>
      <c r="H35" s="641"/>
      <c r="I35" s="641">
        <f>$E$35</f>
        <v>4298176</v>
      </c>
      <c r="J35" s="641"/>
      <c r="K35" s="641">
        <f>$E$35</f>
        <v>4298176</v>
      </c>
      <c r="L35" s="641"/>
      <c r="M35" s="641">
        <f>$E$35</f>
        <v>4298176</v>
      </c>
      <c r="N35" s="641"/>
      <c r="O35" s="641">
        <f>$E$35</f>
        <v>4298176</v>
      </c>
      <c r="P35" s="641"/>
      <c r="Q35" s="641">
        <f>$E$35</f>
        <v>4298176</v>
      </c>
      <c r="R35" s="641"/>
      <c r="S35" s="641">
        <f>$E$35</f>
        <v>4298176</v>
      </c>
      <c r="T35" s="641"/>
      <c r="U35" s="641">
        <f>$E$35</f>
        <v>4298176</v>
      </c>
      <c r="V35" s="641"/>
      <c r="W35" s="641">
        <f>$E$35</f>
        <v>4298176</v>
      </c>
      <c r="X35" s="641"/>
      <c r="Y35" s="641">
        <f>$E$35</f>
        <v>4298176</v>
      </c>
      <c r="Z35" s="641"/>
      <c r="AA35" s="641">
        <f>$E$35</f>
        <v>4298176</v>
      </c>
      <c r="AB35" s="641"/>
      <c r="AC35" s="641">
        <f>$E$35</f>
        <v>4298176</v>
      </c>
      <c r="AD35" s="641"/>
      <c r="AE35" s="641">
        <f>$E$35</f>
        <v>4298176</v>
      </c>
      <c r="AF35" s="641"/>
      <c r="AG35" s="641">
        <f>$E$35</f>
        <v>4298176</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4298176</v>
      </c>
      <c r="F38" s="642"/>
      <c r="G38" s="642">
        <f>SUM(G35:G37)</f>
        <v>4298176</v>
      </c>
      <c r="H38" s="642"/>
      <c r="I38" s="642">
        <f>SUM(I35:I37)</f>
        <v>4298176</v>
      </c>
      <c r="J38" s="642"/>
      <c r="K38" s="642">
        <f>SUM(K35:K37)</f>
        <v>4298176</v>
      </c>
      <c r="L38" s="642"/>
      <c r="M38" s="642">
        <f>SUM(M35:M37)</f>
        <v>4298176</v>
      </c>
      <c r="N38" s="642"/>
      <c r="O38" s="642">
        <f>SUM(O35:O37)</f>
        <v>4298176</v>
      </c>
      <c r="P38" s="642"/>
      <c r="Q38" s="642">
        <f>SUM(Q35:Q37)</f>
        <v>4298176</v>
      </c>
      <c r="R38" s="642"/>
      <c r="S38" s="642">
        <f>SUM(S35:S37)</f>
        <v>4298176</v>
      </c>
      <c r="T38" s="642"/>
      <c r="U38" s="642">
        <f>SUM(U35:U37)</f>
        <v>4298176</v>
      </c>
      <c r="V38" s="642"/>
      <c r="W38" s="642">
        <f>SUM(W35:W37)</f>
        <v>4298176</v>
      </c>
      <c r="X38" s="642"/>
      <c r="Y38" s="642">
        <f>SUM(Y35:Y37)</f>
        <v>4298176</v>
      </c>
      <c r="Z38" s="642"/>
      <c r="AA38" s="642">
        <f>SUM(AA35:AA37)</f>
        <v>4298176</v>
      </c>
      <c r="AB38" s="642"/>
      <c r="AC38" s="642">
        <f>SUM(AC35:AC37)</f>
        <v>4298176</v>
      </c>
      <c r="AD38" s="642"/>
      <c r="AE38" s="642">
        <f>SUM(AE35:AE37)</f>
        <v>4298176</v>
      </c>
      <c r="AF38" s="642"/>
      <c r="AG38" s="642">
        <f>SUM(AG35:AG37)</f>
        <v>4298176</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816766</v>
      </c>
      <c r="F40" s="642"/>
      <c r="G40" s="642">
        <f>G32-G38</f>
        <v>919964.90499999933</v>
      </c>
      <c r="H40" s="642"/>
      <c r="I40" s="642">
        <f>I32-I38</f>
        <v>1024726.9917249978</v>
      </c>
      <c r="J40" s="642"/>
      <c r="K40" s="642">
        <f>K32-K38</f>
        <v>1131055.7509701215</v>
      </c>
      <c r="L40" s="642"/>
      <c r="M40" s="642">
        <f>M32-M38</f>
        <v>1238953.5151728671</v>
      </c>
      <c r="N40" s="642"/>
      <c r="O40" s="642">
        <f>O32-O38</f>
        <v>1348421.3858567588</v>
      </c>
      <c r="P40" s="642"/>
      <c r="Q40" s="642">
        <f>Q32-Q38</f>
        <v>1459459.1577352136</v>
      </c>
      <c r="R40" s="642"/>
      <c r="S40" s="642">
        <f>S32-S38</f>
        <v>1572065.2393386401</v>
      </c>
      <c r="T40" s="642"/>
      <c r="U40" s="642">
        <f>U32-U38</f>
        <v>1686236.5700226435</v>
      </c>
      <c r="V40" s="642"/>
      <c r="W40" s="642">
        <f>W32-W38</f>
        <v>1801968.5332096042</v>
      </c>
      <c r="X40" s="642"/>
      <c r="Y40" s="642">
        <f>Y32-Y38</f>
        <v>1919254.8657102762</v>
      </c>
      <c r="Z40" s="642"/>
      <c r="AA40" s="642">
        <f>AA32-AA38</f>
        <v>2038087.5629661186</v>
      </c>
      <c r="AB40" s="642"/>
      <c r="AC40" s="642">
        <f>AC32-AC38</f>
        <v>2158456.7800469352</v>
      </c>
      <c r="AD40" s="642"/>
      <c r="AE40" s="642">
        <f>AE32-AE38</f>
        <v>2280350.7282320727</v>
      </c>
      <c r="AF40" s="642"/>
      <c r="AG40" s="642">
        <f>AG32-AG38</f>
        <v>2403755.566996783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9.4671822369351386E-2</v>
      </c>
      <c r="F42" s="646"/>
      <c r="G42" s="646">
        <f>G40/(G4+G6+G8)</f>
        <v>0.10403284634491804</v>
      </c>
      <c r="H42" s="646"/>
      <c r="I42" s="646">
        <f>I40/(I4+I6+I8)</f>
        <v>0.11305337483988509</v>
      </c>
      <c r="J42" s="646"/>
      <c r="K42" s="646">
        <f>K40/(K4+K6+K8)</f>
        <v>0.12174061808949792</v>
      </c>
      <c r="L42" s="646"/>
      <c r="M42" s="646">
        <f>M40/(M4+M6+M8)</f>
        <v>0.13010159979179933</v>
      </c>
      <c r="N42" s="646"/>
      <c r="O42" s="646">
        <f>O40/(O4+O6+O8)</f>
        <v>0.1381431615531396</v>
      </c>
      <c r="P42" s="646"/>
      <c r="Q42" s="646">
        <f>Q40/(Q4+Q6+Q8)</f>
        <v>0.14587196722424672</v>
      </c>
      <c r="R42" s="646"/>
      <c r="S42" s="646">
        <f>S40/(S4+S6+S8)</f>
        <v>0.1532945071295084</v>
      </c>
      <c r="T42" s="646"/>
      <c r="U42" s="646">
        <f>U40/(U4+U6+U8)</f>
        <v>0.1604171021920679</v>
      </c>
      <c r="V42" s="646"/>
      <c r="W42" s="646">
        <f>W40/(W4+W6+W8)</f>
        <v>0.16724590795725922</v>
      </c>
      <c r="X42" s="646"/>
      <c r="Y42" s="646">
        <f>Y40/(Y4+Y6+Y8)</f>
        <v>0.17378691851685377</v>
      </c>
      <c r="Z42" s="646"/>
      <c r="AA42" s="646">
        <f>AA40/(AA4+AA6+AA8)</f>
        <v>0.18004597033652736</v>
      </c>
      <c r="AB42" s="646"/>
      <c r="AC42" s="646">
        <f>AC40/(AC4+AC6+AC8)</f>
        <v>0.18602874598889646</v>
      </c>
      <c r="AD42" s="646"/>
      <c r="AE42" s="646">
        <f>AE40/(AE4+AE6+AE8)</f>
        <v>0.19174077779441759</v>
      </c>
      <c r="AF42" s="646"/>
      <c r="AG42" s="646">
        <f>AG40/(AG4+AG6+AG8)</f>
        <v>0.19718745137238453</v>
      </c>
      <c r="AH42" s="646"/>
      <c r="AI42" s="646"/>
    </row>
    <row r="43" spans="1:35" ht="14.25">
      <c r="A43" s="646" t="s">
        <v>1230</v>
      </c>
      <c r="B43" s="646"/>
      <c r="C43" s="639"/>
      <c r="D43" s="646"/>
      <c r="E43" s="646">
        <f>E40/E38</f>
        <v>0.19002618785270775</v>
      </c>
      <c r="F43" s="646"/>
      <c r="G43" s="646">
        <f>G40/G38</f>
        <v>0.21403611787883961</v>
      </c>
      <c r="H43" s="646"/>
      <c r="I43" s="646">
        <f>I40/I38</f>
        <v>0.23840973280875372</v>
      </c>
      <c r="J43" s="646"/>
      <c r="K43" s="646">
        <f>K40/K38</f>
        <v>0.26314784479977588</v>
      </c>
      <c r="L43" s="646"/>
      <c r="M43" s="646">
        <f>M40/M38</f>
        <v>0.28825099650941866</v>
      </c>
      <c r="N43" s="646"/>
      <c r="O43" s="646">
        <f>O40/O38</f>
        <v>0.31371944421465264</v>
      </c>
      <c r="P43" s="646"/>
      <c r="Q43" s="646">
        <f>Q40/Q38</f>
        <v>0.33955314015415228</v>
      </c>
      <c r="R43" s="646"/>
      <c r="S43" s="646">
        <f>S40/S38</f>
        <v>0.36575171406164853</v>
      </c>
      <c r="T43" s="646"/>
      <c r="U43" s="646">
        <f>U40/U38</f>
        <v>0.39231445385732078</v>
      </c>
      <c r="V43" s="646"/>
      <c r="W43" s="646">
        <f>W40/W38</f>
        <v>0.4192402854628578</v>
      </c>
      <c r="X43" s="646"/>
      <c r="Y43" s="646">
        <f>Y40/Y38</f>
        <v>0.4465277517045082</v>
      </c>
      <c r="Z43" s="646"/>
      <c r="AA43" s="646">
        <f>AA40/AA38</f>
        <v>0.47417499026706178</v>
      </c>
      <c r="AB43" s="646"/>
      <c r="AC43" s="646">
        <f>AC40/AC38</f>
        <v>0.50217971066027434</v>
      </c>
      <c r="AD43" s="646"/>
      <c r="AE43" s="646">
        <f>AE40/AE38</f>
        <v>0.53053917015777685</v>
      </c>
      <c r="AF43" s="646"/>
      <c r="AG43" s="646">
        <f>AG40/AG38</f>
        <v>0.55925014866696543</v>
      </c>
      <c r="AH43" s="646"/>
      <c r="AI43" s="646"/>
    </row>
    <row r="44" spans="1:35" ht="14.25">
      <c r="A44" s="647" t="s">
        <v>1231</v>
      </c>
      <c r="B44" s="647"/>
      <c r="C44" s="648"/>
      <c r="D44" s="647"/>
      <c r="E44" s="647">
        <f>E32/E38</f>
        <v>1.1900261878527079</v>
      </c>
      <c r="F44" s="647"/>
      <c r="G44" s="647">
        <f>G32/G38</f>
        <v>1.2140361178788397</v>
      </c>
      <c r="H44" s="647"/>
      <c r="I44" s="647">
        <f>I32/I38</f>
        <v>1.2384097328087538</v>
      </c>
      <c r="J44" s="647"/>
      <c r="K44" s="647">
        <f>K32/K38</f>
        <v>1.2631478447997759</v>
      </c>
      <c r="L44" s="647"/>
      <c r="M44" s="647">
        <f>M32/M38</f>
        <v>1.2882509965094187</v>
      </c>
      <c r="N44" s="647"/>
      <c r="O44" s="647">
        <f>O32/O38</f>
        <v>1.3137194442146527</v>
      </c>
      <c r="P44" s="647"/>
      <c r="Q44" s="647">
        <f>Q32/Q38</f>
        <v>1.3395531401541523</v>
      </c>
      <c r="R44" s="647"/>
      <c r="S44" s="647">
        <f>S32/S38</f>
        <v>1.3657517140616484</v>
      </c>
      <c r="T44" s="647"/>
      <c r="U44" s="647">
        <f>U32/U38</f>
        <v>1.3923144538573207</v>
      </c>
      <c r="V44" s="647"/>
      <c r="W44" s="647">
        <f>W32/W38</f>
        <v>1.4192402854628579</v>
      </c>
      <c r="X44" s="647"/>
      <c r="Y44" s="647">
        <f>Y32/Y38</f>
        <v>1.4465277517045081</v>
      </c>
      <c r="Z44" s="647"/>
      <c r="AA44" s="647">
        <f>AA32/AA38</f>
        <v>1.4741749902670618</v>
      </c>
      <c r="AB44" s="647"/>
      <c r="AC44" s="647">
        <f>AC32/AC38</f>
        <v>1.5021797106602743</v>
      </c>
      <c r="AD44" s="647"/>
      <c r="AE44" s="647">
        <f>AE32/AE38</f>
        <v>1.5305391701577769</v>
      </c>
      <c r="AF44" s="647"/>
      <c r="AG44" s="647">
        <f>AG32/AG38</f>
        <v>1.5592501486669654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7500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1234</v>
      </c>
      <c r="B48" s="608"/>
      <c r="C48" s="665"/>
      <c r="D48" s="608"/>
      <c r="E48" s="656">
        <v>8500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16000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800766</v>
      </c>
      <c r="F54" s="626"/>
      <c r="G54" s="626">
        <f>G40-G52</f>
        <v>919964.90499999933</v>
      </c>
      <c r="H54" s="626"/>
      <c r="I54" s="626">
        <f>I40-I52</f>
        <v>1024726.9917249978</v>
      </c>
      <c r="J54" s="626"/>
      <c r="K54" s="626">
        <f>K40-K52</f>
        <v>1131055.7509701215</v>
      </c>
      <c r="L54" s="626"/>
      <c r="M54" s="626">
        <f>M40-M52</f>
        <v>1238953.5151728671</v>
      </c>
      <c r="N54" s="626"/>
      <c r="O54" s="626">
        <f>O40-O52</f>
        <v>1348421.3858567588</v>
      </c>
      <c r="P54" s="626"/>
      <c r="Q54" s="626">
        <f>Q40-Q52</f>
        <v>1459459.1577352136</v>
      </c>
      <c r="R54" s="626"/>
      <c r="S54" s="626">
        <f>S40-S52</f>
        <v>1572065.2393386401</v>
      </c>
      <c r="T54" s="626"/>
      <c r="U54" s="626">
        <f>U40-U52</f>
        <v>1686236.5700226435</v>
      </c>
      <c r="V54" s="626"/>
      <c r="W54" s="626">
        <f>W40-W52</f>
        <v>1801968.5332096042</v>
      </c>
      <c r="X54" s="626"/>
      <c r="Y54" s="626">
        <f>Y40-Y52</f>
        <v>1919254.8657102762</v>
      </c>
      <c r="Z54" s="626"/>
      <c r="AA54" s="626">
        <f>AA40-AA52</f>
        <v>2038087.5629661186</v>
      </c>
      <c r="AB54" s="626"/>
      <c r="AC54" s="626">
        <f>AC40-AC52</f>
        <v>2158456.7800469352</v>
      </c>
      <c r="AD54" s="626"/>
      <c r="AE54" s="626">
        <f>AE40-AE52</f>
        <v>2280350.7282320727</v>
      </c>
      <c r="AF54" s="626"/>
      <c r="AG54" s="626">
        <f>AG40-AG52</f>
        <v>2403755.566996783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3248" t="s">
        <v>1240</v>
      </c>
      <c r="B65" s="3248"/>
      <c r="C65" s="3248"/>
      <c r="D65" s="3248"/>
      <c r="E65" s="3248"/>
      <c r="F65" s="3248"/>
      <c r="G65" s="3248"/>
      <c r="H65" s="3248"/>
      <c r="I65" s="3248"/>
      <c r="J65" s="3248"/>
      <c r="K65" s="3248"/>
      <c r="L65" s="3248"/>
      <c r="M65" s="3248"/>
      <c r="N65" s="3248"/>
      <c r="O65" s="3248"/>
      <c r="P65" s="3248"/>
      <c r="Q65" s="3248"/>
      <c r="R65" s="3248"/>
      <c r="S65" s="3248"/>
      <c r="T65" s="3248"/>
      <c r="U65" s="3248"/>
      <c r="V65" s="3248"/>
      <c r="W65" s="3248"/>
      <c r="X65" s="3248"/>
      <c r="Y65" s="3248"/>
      <c r="Z65" s="3248"/>
      <c r="AA65" s="3248"/>
      <c r="AB65" s="3248"/>
      <c r="AC65" s="3248"/>
      <c r="AD65" s="3248"/>
      <c r="AE65" s="3248"/>
      <c r="AF65" s="3248"/>
      <c r="AG65" s="324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workbookViewId="0">
      <selection sqref="A1:I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3249" t="s">
        <v>1323</v>
      </c>
      <c r="B1" s="3249"/>
      <c r="C1" s="3249"/>
      <c r="D1" s="3249"/>
      <c r="E1" s="3249"/>
      <c r="F1" s="3249"/>
      <c r="G1" s="3249"/>
      <c r="H1" s="3249"/>
      <c r="I1" s="3249"/>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SRO/Studio</v>
      </c>
      <c r="B4" s="997">
        <f>Application!$G691</f>
        <v>10</v>
      </c>
      <c r="C4" s="989">
        <f>Application!$K691</f>
        <v>636</v>
      </c>
      <c r="D4" s="990"/>
      <c r="E4" s="774"/>
      <c r="F4" s="991">
        <f>$E4*$B4</f>
        <v>0</v>
      </c>
      <c r="G4" s="992"/>
      <c r="H4" s="989">
        <f>IF($E4=0,0,MAX($E4-$C4,0))</f>
        <v>0</v>
      </c>
      <c r="I4" s="991">
        <f>IF($H4=0,0,($H4*$B4))</f>
        <v>0</v>
      </c>
    </row>
    <row r="5" spans="1:9">
      <c r="A5" s="989" t="str">
        <f>Application!$B692</f>
        <v>SRO/Studio</v>
      </c>
      <c r="B5" s="997">
        <f>Application!$G692</f>
        <v>32</v>
      </c>
      <c r="C5" s="989">
        <f>Application!$K692</f>
        <v>861</v>
      </c>
      <c r="D5" s="990"/>
      <c r="E5" s="774"/>
      <c r="F5" s="991">
        <f t="shared" ref="F5:F28" si="0">$E5*$B5</f>
        <v>0</v>
      </c>
      <c r="G5" s="992"/>
      <c r="H5" s="989">
        <f t="shared" ref="H5:H28" si="1">IF($E5=0,0,MAX($E5-$C5,0))</f>
        <v>0</v>
      </c>
      <c r="I5" s="991">
        <f t="shared" ref="I5:I28" si="2">IF($H5=0,0,($H5*$B5))</f>
        <v>0</v>
      </c>
    </row>
    <row r="6" spans="1:9">
      <c r="A6" s="989" t="str">
        <f>Application!$B693</f>
        <v>SRO/Studio</v>
      </c>
      <c r="B6" s="997">
        <f>Application!$G693</f>
        <v>31</v>
      </c>
      <c r="C6" s="989">
        <f>Application!$K693</f>
        <v>1085</v>
      </c>
      <c r="D6" s="990"/>
      <c r="E6" s="774"/>
      <c r="F6" s="991">
        <f t="shared" si="0"/>
        <v>0</v>
      </c>
      <c r="G6" s="992"/>
      <c r="H6" s="989">
        <f t="shared" si="1"/>
        <v>0</v>
      </c>
      <c r="I6" s="991">
        <f t="shared" si="2"/>
        <v>0</v>
      </c>
    </row>
    <row r="7" spans="1:9">
      <c r="A7" s="989" t="str">
        <f>Application!$B694</f>
        <v>SRO/Studio</v>
      </c>
      <c r="B7" s="997">
        <f>Application!$G694</f>
        <v>10</v>
      </c>
      <c r="C7" s="989">
        <f>Application!$K694</f>
        <v>1309</v>
      </c>
      <c r="D7" s="990"/>
      <c r="E7" s="774"/>
      <c r="F7" s="991">
        <f t="shared" si="0"/>
        <v>0</v>
      </c>
      <c r="G7" s="992"/>
      <c r="H7" s="989">
        <f t="shared" si="1"/>
        <v>0</v>
      </c>
      <c r="I7" s="991">
        <f t="shared" si="2"/>
        <v>0</v>
      </c>
    </row>
    <row r="8" spans="1:9">
      <c r="A8" s="989" t="str">
        <f>Application!$B695</f>
        <v>SRO/Studio</v>
      </c>
      <c r="B8" s="997">
        <f>Application!$G695</f>
        <v>9</v>
      </c>
      <c r="C8" s="989">
        <f>Application!$K695</f>
        <v>1533</v>
      </c>
      <c r="D8" s="990"/>
      <c r="E8" s="774"/>
      <c r="F8" s="991">
        <f t="shared" si="0"/>
        <v>0</v>
      </c>
      <c r="G8" s="992"/>
      <c r="H8" s="989">
        <f t="shared" si="1"/>
        <v>0</v>
      </c>
      <c r="I8" s="991">
        <f t="shared" si="2"/>
        <v>0</v>
      </c>
    </row>
    <row r="9" spans="1:9">
      <c r="A9" s="989" t="str">
        <f>Application!$B696</f>
        <v>SRO/Studio</v>
      </c>
      <c r="B9" s="997">
        <f>Application!$G696</f>
        <v>8</v>
      </c>
      <c r="C9" s="989">
        <f>Application!$K696</f>
        <v>1540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1281048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C174"/>
  <sheetViews>
    <sheetView showGridLines="0" topLeftCell="C1" workbookViewId="0">
      <selection activeCell="M28" sqref="M1:CA1048576"/>
    </sheetView>
  </sheetViews>
  <sheetFormatPr defaultColWidth="9.140625" defaultRowHeight="15" outlineLevelCol="1"/>
  <cols>
    <col min="1" max="1" width="19" style="1455" bestFit="1" customWidth="1"/>
    <col min="2" max="2" width="13.140625" style="1540" bestFit="1" customWidth="1"/>
    <col min="3" max="3" width="15.7109375" style="1455" customWidth="1"/>
    <col min="4" max="4" width="14.7109375" style="1455" customWidth="1"/>
    <col min="5" max="5" width="11.140625" style="1455" bestFit="1" customWidth="1"/>
    <col min="6" max="6" width="13.140625" style="1455" bestFit="1" customWidth="1"/>
    <col min="7" max="7" width="10.7109375" style="1455" customWidth="1"/>
    <col min="8" max="8" width="14.42578125" style="1455" bestFit="1" customWidth="1"/>
    <col min="9" max="9" width="13.85546875" style="1455" bestFit="1" customWidth="1"/>
    <col min="10" max="11" width="13.140625" style="1455" bestFit="1" customWidth="1"/>
    <col min="12" max="12" width="3.7109375" style="1455" customWidth="1"/>
    <col min="13" max="13" width="3.7109375" style="1455" hidden="1" customWidth="1"/>
    <col min="14" max="14" width="5.28515625" style="1455" hidden="1" customWidth="1"/>
    <col min="15" max="15" width="28.42578125" style="1455" hidden="1" customWidth="1"/>
    <col min="16" max="16" width="16.7109375" style="1455" hidden="1" customWidth="1"/>
    <col min="17" max="17" width="10.7109375" style="1455" hidden="1" customWidth="1"/>
    <col min="18" max="18" width="14" style="1455" hidden="1" customWidth="1"/>
    <col min="19" max="21" width="9.7109375" style="1455" hidden="1" customWidth="1"/>
    <col min="22" max="22" width="14.7109375" style="1455" hidden="1" customWidth="1"/>
    <col min="23" max="23" width="12.42578125" style="1455" hidden="1" customWidth="1"/>
    <col min="24" max="24" width="16" style="1455" hidden="1" customWidth="1"/>
    <col min="25" max="26" width="3.7109375" style="1455" hidden="1" customWidth="1"/>
    <col min="27" max="27" width="11.85546875" style="1455" hidden="1" customWidth="1"/>
    <col min="28" max="28" width="49.42578125" style="1455" hidden="1" customWidth="1"/>
    <col min="29" max="29" width="20.7109375" style="1455" hidden="1" customWidth="1"/>
    <col min="30" max="30" width="17.7109375" style="1455" hidden="1" customWidth="1"/>
    <col min="31" max="31" width="10.85546875" style="1455" hidden="1" customWidth="1"/>
    <col min="32" max="32" width="10.7109375" style="1455" hidden="1" customWidth="1"/>
    <col min="33" max="33" width="10.42578125" style="1455" hidden="1" customWidth="1"/>
    <col min="34" max="34" width="12" style="1455" hidden="1" customWidth="1"/>
    <col min="35" max="35" width="16.5703125" style="1455" hidden="1" customWidth="1"/>
    <col min="36" max="36" width="21.5703125" style="1455" hidden="1" customWidth="1"/>
    <col min="37" max="37" width="6" style="1455" hidden="1" customWidth="1"/>
    <col min="38" max="38" width="3.7109375" style="1455" hidden="1" customWidth="1"/>
    <col min="39" max="39" width="2.7109375" style="1455" hidden="1" customWidth="1"/>
    <col min="40" max="40" width="28" style="1455" hidden="1" customWidth="1"/>
    <col min="41" max="41" width="4.7109375" style="1455" hidden="1" customWidth="1"/>
    <col min="42" max="42" width="9.85546875" style="1605" hidden="1" customWidth="1"/>
    <col min="43" max="43" width="2.140625" style="1605" hidden="1" customWidth="1"/>
    <col min="44" max="44" width="12.28515625" style="1455" hidden="1" customWidth="1"/>
    <col min="45" max="46" width="14.28515625" style="1455" hidden="1" customWidth="1"/>
    <col min="47" max="47" width="13.28515625" style="1455" hidden="1" customWidth="1"/>
    <col min="48" max="49" width="11.85546875" style="1455" hidden="1" customWidth="1"/>
    <col min="50" max="50" width="12.42578125" style="1611" hidden="1" customWidth="1"/>
    <col min="51" max="51" width="12.5703125" style="1455" hidden="1" customWidth="1"/>
    <col min="52" max="52" width="12.140625" style="1455" hidden="1" customWidth="1"/>
    <col min="53" max="53" width="13.140625" style="1455" hidden="1" customWidth="1"/>
    <col min="54" max="54" width="10.85546875" style="1455" hidden="1" customWidth="1"/>
    <col min="55" max="55" width="1.7109375" style="1455" hidden="1" customWidth="1"/>
    <col min="56" max="56" width="8.7109375" style="1836" hidden="1" customWidth="1"/>
    <col min="57" max="57" width="1.28515625" style="1821" hidden="1" customWidth="1"/>
    <col min="58" max="58" width="13.140625" style="1455" hidden="1" customWidth="1"/>
    <col min="59" max="60" width="10.85546875" style="1455" hidden="1" customWidth="1"/>
    <col min="61" max="61" width="11.85546875" style="1455" hidden="1" customWidth="1"/>
    <col min="62" max="62" width="12.5703125" style="1455" hidden="1" customWidth="1"/>
    <col min="63" max="63" width="14.42578125" style="1455" hidden="1" customWidth="1"/>
    <col min="64" max="64" width="13.7109375" style="1455" hidden="1" customWidth="1"/>
    <col min="65" max="65" width="12.42578125" style="1455" hidden="1" customWidth="1"/>
    <col min="66" max="66" width="14.7109375" style="1455" hidden="1" customWidth="1"/>
    <col min="67" max="67" width="2" style="1455" hidden="1" customWidth="1"/>
    <col min="68" max="69" width="12.5703125" style="1455" hidden="1" customWidth="1" outlineLevel="1"/>
    <col min="70" max="70" width="13" style="1455" hidden="1" customWidth="1" collapsed="1"/>
    <col min="71" max="71" width="12.5703125" style="1455" hidden="1" customWidth="1"/>
    <col min="72" max="72" width="14" style="1455" hidden="1" customWidth="1"/>
    <col min="73" max="73" width="14.7109375" style="1455" hidden="1" customWidth="1"/>
    <col min="74" max="74" width="13.5703125" style="1455" hidden="1" customWidth="1"/>
    <col min="75" max="75" width="11.85546875" style="1455" hidden="1" customWidth="1"/>
    <col min="76" max="76" width="11.42578125" style="1455" hidden="1" customWidth="1"/>
    <col min="77" max="77" width="10.85546875" style="1455" hidden="1" customWidth="1"/>
    <col min="78" max="78" width="13.7109375" style="1455" hidden="1" customWidth="1"/>
    <col min="79" max="79" width="27.28515625" style="1455" hidden="1" customWidth="1"/>
    <col min="80" max="80" width="9.140625" style="1455"/>
    <col min="81" max="16384" width="9.140625" style="559"/>
  </cols>
  <sheetData>
    <row r="1" spans="1:80" ht="38.25">
      <c r="A1" s="2084" t="s">
        <v>913</v>
      </c>
      <c r="B1" s="1458"/>
      <c r="C1" s="1457" t="s">
        <v>2678</v>
      </c>
      <c r="D1" s="1457"/>
      <c r="E1" s="1457"/>
      <c r="F1" s="1457"/>
      <c r="G1" s="1457"/>
      <c r="H1" s="1457"/>
      <c r="I1" s="1457"/>
      <c r="J1" s="1457"/>
      <c r="K1" s="1457"/>
      <c r="L1" s="1457"/>
      <c r="M1" s="1457"/>
      <c r="N1" s="1459" t="str">
        <f>C1</f>
        <v>Harbor Heights</v>
      </c>
      <c r="O1" s="1459"/>
      <c r="P1" s="1459"/>
      <c r="Q1" s="1459"/>
      <c r="R1" s="1459"/>
      <c r="S1" s="1459"/>
      <c r="T1" s="1460" t="s">
        <v>2367</v>
      </c>
      <c r="U1" s="1461"/>
      <c r="V1" s="1461"/>
      <c r="W1" s="1461"/>
      <c r="X1" s="1461"/>
      <c r="Y1" s="1459"/>
      <c r="Z1" s="1459"/>
      <c r="AA1" s="1459" t="str">
        <f>C1</f>
        <v>Harbor Heights</v>
      </c>
      <c r="AB1" s="1459"/>
      <c r="AC1" s="1459"/>
      <c r="AD1" s="1459"/>
      <c r="AE1" s="1459"/>
      <c r="AF1" s="1459"/>
      <c r="AG1" s="1459"/>
      <c r="AH1" s="1459"/>
      <c r="AI1" s="1459"/>
      <c r="AJ1" s="1459"/>
      <c r="AK1" s="1459"/>
      <c r="AL1" s="1459"/>
      <c r="AM1" s="501"/>
      <c r="AN1" s="1462" t="str">
        <f>C1</f>
        <v>Harbor Heights</v>
      </c>
      <c r="AO1" s="501"/>
      <c r="AP1" s="1463"/>
      <c r="AQ1" s="1463"/>
      <c r="AR1" s="1464" t="s">
        <v>2368</v>
      </c>
      <c r="AS1" s="1465" t="s">
        <v>2369</v>
      </c>
      <c r="AT1" s="1465" t="s">
        <v>2370</v>
      </c>
      <c r="AU1" s="1465" t="s">
        <v>2371</v>
      </c>
      <c r="AV1" s="1465" t="s">
        <v>2372</v>
      </c>
      <c r="AW1" s="1465" t="s">
        <v>2373</v>
      </c>
      <c r="AX1" s="1466" t="s">
        <v>2374</v>
      </c>
      <c r="AY1" s="1465" t="s">
        <v>2375</v>
      </c>
      <c r="AZ1" s="1467" t="s">
        <v>2376</v>
      </c>
      <c r="BA1" s="1468" t="s">
        <v>282</v>
      </c>
      <c r="BB1" s="1469"/>
      <c r="BC1" s="1469"/>
      <c r="BD1" s="1470"/>
      <c r="BE1" s="1471"/>
      <c r="BF1" s="1464" t="s">
        <v>2377</v>
      </c>
      <c r="BG1" s="1465" t="s">
        <v>2378</v>
      </c>
      <c r="BH1" s="1465" t="s">
        <v>2379</v>
      </c>
      <c r="BI1" s="1465" t="s">
        <v>2380</v>
      </c>
      <c r="BJ1" s="1472" t="s">
        <v>2381</v>
      </c>
      <c r="BK1" s="1465" t="s">
        <v>2382</v>
      </c>
      <c r="BL1" s="1465" t="s">
        <v>2383</v>
      </c>
      <c r="BM1" s="1472" t="s">
        <v>2374</v>
      </c>
      <c r="BN1" s="1473" t="s">
        <v>2384</v>
      </c>
      <c r="BO1" s="501"/>
      <c r="BP1" s="501"/>
      <c r="BQ1" s="501"/>
      <c r="BR1" s="501"/>
      <c r="BS1" s="501"/>
      <c r="BT1" s="501"/>
      <c r="BU1" s="501"/>
      <c r="BV1" s="501"/>
      <c r="BW1" s="501"/>
      <c r="BX1" s="501"/>
      <c r="BY1" s="501"/>
      <c r="BZ1" s="501"/>
      <c r="CA1" s="1459"/>
      <c r="CB1" s="1457"/>
    </row>
    <row r="2" spans="1:80" ht="18.75">
      <c r="A2" s="2085" t="s">
        <v>599</v>
      </c>
      <c r="B2" s="1458"/>
      <c r="C2" s="1457" t="s">
        <v>2385</v>
      </c>
      <c r="D2" s="1457"/>
      <c r="E2" s="1457"/>
      <c r="F2" s="1457"/>
      <c r="G2" s="1457"/>
      <c r="H2" s="1457"/>
      <c r="I2" s="1457"/>
      <c r="J2" s="1457"/>
      <c r="K2" s="1457"/>
      <c r="L2" s="1457"/>
      <c r="M2" s="1457"/>
      <c r="N2" s="1474" t="s">
        <v>2386</v>
      </c>
      <c r="O2" s="559"/>
      <c r="P2" s="559"/>
      <c r="Q2" s="559"/>
      <c r="R2" s="559"/>
      <c r="S2" s="559"/>
      <c r="T2" s="1475"/>
      <c r="U2" s="1476"/>
      <c r="V2" s="1476"/>
      <c r="W2" s="1476"/>
      <c r="X2" s="1477"/>
      <c r="Y2" s="559"/>
      <c r="Z2" s="559"/>
      <c r="AA2" s="559"/>
      <c r="AB2" s="559"/>
      <c r="AC2" s="559"/>
      <c r="AD2" s="1478" t="s">
        <v>2387</v>
      </c>
      <c r="AE2" s="1479" t="s">
        <v>2388</v>
      </c>
      <c r="AF2" s="1479" t="s">
        <v>2389</v>
      </c>
      <c r="AG2" s="1479" t="s">
        <v>2390</v>
      </c>
      <c r="AH2" s="1480" t="s">
        <v>2391</v>
      </c>
      <c r="AI2" s="559"/>
      <c r="AJ2" s="559"/>
      <c r="AK2" s="559"/>
      <c r="AL2" s="559"/>
      <c r="AM2" s="501"/>
      <c r="AN2" s="1481" t="s">
        <v>2392</v>
      </c>
      <c r="AO2" s="501"/>
      <c r="AP2" s="1463"/>
      <c r="AQ2" s="1463"/>
      <c r="AR2" s="1482"/>
      <c r="AS2" s="1483" t="s">
        <v>2393</v>
      </c>
      <c r="AT2" s="1483" t="s">
        <v>2394</v>
      </c>
      <c r="AU2" s="1483"/>
      <c r="AV2" s="1483"/>
      <c r="AW2" s="1483"/>
      <c r="AX2" s="1484"/>
      <c r="AY2" s="1483"/>
      <c r="AZ2" s="1485"/>
      <c r="BA2" s="1486"/>
      <c r="BB2" s="1469"/>
      <c r="BC2" s="1469"/>
      <c r="BD2" s="1470"/>
      <c r="BE2" s="1471"/>
      <c r="BF2" s="1482"/>
      <c r="BG2" s="1483"/>
      <c r="BH2" s="1483"/>
      <c r="BI2" s="1483"/>
      <c r="BJ2" s="1487"/>
      <c r="BK2" s="1488">
        <f>ROUND(MAX(BS12:BS41),0)</f>
        <v>89621954</v>
      </c>
      <c r="BL2" s="1488"/>
      <c r="BM2" s="1489"/>
      <c r="BN2" s="1490"/>
      <c r="BO2" s="501"/>
      <c r="BP2" s="501"/>
      <c r="BQ2" s="501"/>
      <c r="BR2" s="501"/>
      <c r="BS2" s="501"/>
      <c r="BT2" s="501"/>
      <c r="BU2" s="501"/>
      <c r="BV2" s="501"/>
      <c r="BW2" s="1455" t="str">
        <f>BW9</f>
        <v>↓221(d)(4) fixed</v>
      </c>
      <c r="BX2" s="501"/>
      <c r="BY2" s="501"/>
      <c r="BZ2" s="501"/>
      <c r="CA2" s="559"/>
      <c r="CB2" s="1457"/>
    </row>
    <row r="3" spans="1:80" ht="16.5" thickBot="1">
      <c r="A3" s="2085" t="s">
        <v>2395</v>
      </c>
      <c r="B3" s="1492" t="s">
        <v>2396</v>
      </c>
      <c r="C3" s="1491" t="s">
        <v>2698</v>
      </c>
      <c r="D3" s="1491"/>
      <c r="E3" s="1491"/>
      <c r="F3" s="1491"/>
      <c r="G3" s="1491"/>
      <c r="H3" s="1491"/>
      <c r="I3" s="1491"/>
      <c r="J3" s="1491"/>
      <c r="K3" s="1491"/>
      <c r="L3" s="1491"/>
      <c r="M3" s="1491"/>
      <c r="N3" s="559"/>
      <c r="O3" s="559"/>
      <c r="P3" s="559"/>
      <c r="Q3" s="1493" t="s">
        <v>2390</v>
      </c>
      <c r="R3" s="1493" t="s">
        <v>2391</v>
      </c>
      <c r="S3" s="559"/>
      <c r="T3" s="2140" t="s">
        <v>2667</v>
      </c>
      <c r="U3" s="2141"/>
      <c r="V3" s="2141"/>
      <c r="W3" s="2141"/>
      <c r="X3" s="2142">
        <f>(R8-R16-R17-R23-R27-R29)/0.045</f>
        <v>113665377.77777778</v>
      </c>
      <c r="Y3" s="559"/>
      <c r="Z3" s="559"/>
      <c r="AA3" s="559"/>
      <c r="AB3" s="559"/>
      <c r="AC3" s="559"/>
      <c r="AD3" s="302">
        <f>+D26+D41</f>
        <v>496</v>
      </c>
      <c r="AE3" s="1494">
        <f>C12</f>
        <v>500</v>
      </c>
      <c r="AI3" s="559"/>
      <c r="AJ3" s="559"/>
      <c r="AK3" s="559"/>
      <c r="AL3" s="559"/>
      <c r="AM3" s="501"/>
      <c r="AN3" s="501"/>
      <c r="AO3" s="501"/>
      <c r="AP3" s="1463"/>
      <c r="AQ3" s="1463"/>
      <c r="AR3" s="1495">
        <f>'Sources and Uses Budget'!B8</f>
        <v>6640000</v>
      </c>
      <c r="AS3" s="1496">
        <f>'Sources and Uses Budget'!B36</f>
        <v>89371890</v>
      </c>
      <c r="AT3" s="1496">
        <f>'Sources and Uses Budget'!B75</f>
        <v>4468595</v>
      </c>
      <c r="AU3" s="1496">
        <f>+'Sources and Uses Budget'!B40+'Sources and Uses Budget'!B41+'Sources and Uses Budget'!B66+'Sources and Uses Budget'!B76+'Sources and Uses Budget'!B94</f>
        <v>5276948</v>
      </c>
      <c r="AV3" s="1496">
        <f>SUM('Sources and Uses Budget'!B44:B51)</f>
        <v>2160890</v>
      </c>
      <c r="AW3" s="1496">
        <f>BY43</f>
        <v>2753273</v>
      </c>
      <c r="AX3" s="1497"/>
      <c r="AY3" s="1496">
        <f>'Sources and Uses Budget'!B97</f>
        <v>2200000</v>
      </c>
      <c r="AZ3" s="1498">
        <f>X50</f>
        <v>1800874</v>
      </c>
      <c r="BA3" s="1499">
        <f>SUM(AR3:AZ3)</f>
        <v>114672470</v>
      </c>
      <c r="BB3" s="1500"/>
      <c r="BC3" s="1500"/>
      <c r="BD3" s="1470"/>
      <c r="BE3" s="1471"/>
      <c r="BF3" s="1501">
        <f>'Basis &amp; Credits'!AB56+'Basis &amp; Credits'!AB77</f>
        <v>21249967</v>
      </c>
      <c r="BG3" s="1502"/>
      <c r="BH3" s="1502"/>
      <c r="BI3" s="1502">
        <f>R76</f>
        <v>0</v>
      </c>
      <c r="BJ3" s="1503"/>
      <c r="BK3" s="1502"/>
      <c r="BL3" s="1504">
        <f>W39</f>
        <v>92430000</v>
      </c>
      <c r="BM3" s="1505">
        <f>BM42</f>
        <v>992503</v>
      </c>
      <c r="BN3" s="1506">
        <f>SUM(BF3:BM3)</f>
        <v>114672470</v>
      </c>
      <c r="BO3" s="501"/>
      <c r="BP3" s="1500">
        <f>+BN3-BA3</f>
        <v>0</v>
      </c>
      <c r="BQ3" s="501"/>
      <c r="BR3" s="1500">
        <f>+BA3-BN3</f>
        <v>0</v>
      </c>
      <c r="BS3" s="1507"/>
      <c r="BT3" s="501"/>
      <c r="BU3" s="501"/>
      <c r="BV3" s="501"/>
      <c r="BW3" s="1508">
        <f>BW10</f>
        <v>3.15E-2</v>
      </c>
      <c r="BX3" s="501"/>
      <c r="BY3" s="501"/>
      <c r="BZ3" s="501"/>
      <c r="CA3" s="559"/>
      <c r="CB3" s="1491"/>
    </row>
    <row r="4" spans="1:80" ht="39">
      <c r="A4" s="2086"/>
      <c r="B4" s="1492" t="s">
        <v>2397</v>
      </c>
      <c r="C4" s="1491" t="s">
        <v>2683</v>
      </c>
      <c r="D4" s="1491"/>
      <c r="E4" s="1491"/>
      <c r="F4" s="1491"/>
      <c r="G4" s="1491"/>
      <c r="H4" s="1491"/>
      <c r="I4" s="1491"/>
      <c r="J4" s="1491"/>
      <c r="K4" s="1491"/>
      <c r="L4" s="1491"/>
      <c r="M4" s="1491"/>
      <c r="N4" s="559" t="s">
        <v>2398</v>
      </c>
      <c r="O4" s="559"/>
      <c r="P4" s="559"/>
      <c r="Q4" s="1509">
        <f>AG4+AG5</f>
        <v>714445</v>
      </c>
      <c r="R4" s="1509">
        <f>+AH4+AH5</f>
        <v>8573340</v>
      </c>
      <c r="S4" s="559"/>
      <c r="T4" s="1510" t="s">
        <v>2399</v>
      </c>
      <c r="U4" s="2143"/>
      <c r="V4" s="2144"/>
      <c r="W4" s="2144"/>
      <c r="X4" s="2145">
        <f>R33</f>
        <v>5114942</v>
      </c>
      <c r="Y4" s="559"/>
      <c r="Z4" s="559"/>
      <c r="AA4" s="1494" t="s">
        <v>2400</v>
      </c>
      <c r="AB4" s="1494" t="s">
        <v>2401</v>
      </c>
      <c r="AC4" s="1494"/>
      <c r="AD4" s="1494">
        <f>D26</f>
        <v>100</v>
      </c>
      <c r="AF4" s="1511">
        <f>I26</f>
        <v>1067.54</v>
      </c>
      <c r="AG4" s="1511">
        <f>+AD4*AF4</f>
        <v>106754</v>
      </c>
      <c r="AH4" s="1511">
        <f>AG4*12</f>
        <v>1281048</v>
      </c>
      <c r="AI4" s="1512" t="s">
        <v>360</v>
      </c>
      <c r="AJ4" s="559"/>
      <c r="AK4" s="559"/>
      <c r="AL4" s="559"/>
      <c r="AM4" s="501"/>
      <c r="AN4" s="501"/>
      <c r="AO4" s="501"/>
      <c r="AP4" s="1463"/>
      <c r="AQ4" s="1463"/>
      <c r="AR4" s="501"/>
      <c r="AS4" s="501"/>
      <c r="AT4" s="501"/>
      <c r="AU4" s="501"/>
      <c r="AV4" s="501"/>
      <c r="AW4" s="1500"/>
      <c r="AX4" s="501"/>
      <c r="AY4" s="1500"/>
      <c r="AZ4" s="501"/>
      <c r="BA4" s="1513">
        <f>+BA3-AR3</f>
        <v>108032470</v>
      </c>
      <c r="BB4" s="501"/>
      <c r="BC4" s="501"/>
      <c r="BD4" s="2104" t="s">
        <v>2655</v>
      </c>
      <c r="BE4" s="1471"/>
      <c r="BF4" s="2157">
        <f>+BF3/BN3</f>
        <v>0.1853101010207594</v>
      </c>
      <c r="BG4" s="2158"/>
      <c r="BH4" s="2158"/>
      <c r="BI4" s="2157">
        <f>+BI3/BA3</f>
        <v>0</v>
      </c>
      <c r="BJ4" s="2157"/>
      <c r="BK4" s="2157"/>
      <c r="BL4" s="2157">
        <f>+BL3/BN3</f>
        <v>0.80603478759984848</v>
      </c>
      <c r="BM4" s="2157"/>
      <c r="BN4" s="2157"/>
      <c r="BO4" s="501"/>
      <c r="BP4" s="501"/>
      <c r="BQ4" s="501"/>
      <c r="BR4" s="501"/>
      <c r="BS4" s="1514"/>
      <c r="BT4" s="1514"/>
      <c r="BU4" s="501"/>
      <c r="BV4" s="501"/>
      <c r="BW4" s="501"/>
      <c r="BX4" s="501"/>
      <c r="BY4" s="501"/>
      <c r="BZ4" s="501"/>
      <c r="CA4" s="559"/>
      <c r="CB4" s="1491"/>
    </row>
    <row r="5" spans="1:80" ht="30">
      <c r="A5" s="2086"/>
      <c r="B5" s="1492" t="s">
        <v>338</v>
      </c>
      <c r="C5" s="1491" t="s">
        <v>931</v>
      </c>
      <c r="D5" s="1491"/>
      <c r="E5" s="1491"/>
      <c r="F5" s="1491"/>
      <c r="G5" s="1491"/>
      <c r="H5" s="1491"/>
      <c r="I5" s="1491"/>
      <c r="J5" s="1491"/>
      <c r="K5" s="1491"/>
      <c r="L5" s="1491"/>
      <c r="M5" s="1491"/>
      <c r="N5" s="1456" t="s">
        <v>2402</v>
      </c>
      <c r="O5" s="1456"/>
      <c r="P5" s="1456"/>
      <c r="Q5" s="1515">
        <f>AG6</f>
        <v>4500</v>
      </c>
      <c r="R5" s="1515">
        <f>AH6</f>
        <v>54000</v>
      </c>
      <c r="S5" s="559"/>
      <c r="T5" s="1516" t="s">
        <v>2403</v>
      </c>
      <c r="U5" s="1476"/>
      <c r="V5" s="1476"/>
      <c r="W5" s="2146">
        <v>1.19</v>
      </c>
      <c r="X5" s="2147">
        <f>+X4/W5</f>
        <v>4298270.5882352944</v>
      </c>
      <c r="Y5" s="559"/>
      <c r="Z5" s="559"/>
      <c r="AA5" s="1494"/>
      <c r="AB5" s="1494" t="s">
        <v>2404</v>
      </c>
      <c r="AC5" s="1494"/>
      <c r="AD5" s="1494">
        <f>D41</f>
        <v>396</v>
      </c>
      <c r="AE5" s="1494"/>
      <c r="AF5" s="1511">
        <f>I41</f>
        <v>1534.5732323232323</v>
      </c>
      <c r="AG5" s="1511">
        <f>+AD5*AF5</f>
        <v>607691</v>
      </c>
      <c r="AH5" s="1511">
        <f>AG5*12</f>
        <v>7292292</v>
      </c>
      <c r="AI5" s="1512" t="s">
        <v>360</v>
      </c>
      <c r="AJ5" s="1509"/>
      <c r="AK5" s="559"/>
      <c r="AL5" s="559"/>
      <c r="AM5" s="501"/>
      <c r="AN5" s="501"/>
      <c r="AO5" s="501"/>
      <c r="AP5" s="1463"/>
      <c r="AQ5" s="1463"/>
      <c r="AR5" s="1517" t="s">
        <v>2405</v>
      </c>
      <c r="AS5" s="1500">
        <f>+AS3+AT3</f>
        <v>93840485</v>
      </c>
      <c r="AT5" s="1500"/>
      <c r="AU5" s="501"/>
      <c r="AV5" s="501"/>
      <c r="AW5" s="501"/>
      <c r="AX5" s="1518" t="s">
        <v>2406</v>
      </c>
      <c r="AY5" s="1519" t="str">
        <f>AY11</f>
        <v>Developer Fee (Paid)</v>
      </c>
      <c r="AZ5" s="1520" t="s">
        <v>2407</v>
      </c>
      <c r="BA5" s="1500">
        <f>+BA4*0.9</f>
        <v>97229223</v>
      </c>
      <c r="BB5" s="501"/>
      <c r="BC5" s="501"/>
      <c r="BD5" s="1521">
        <v>0.2</v>
      </c>
      <c r="BE5" s="1522"/>
      <c r="BF5" s="1523">
        <f>ROUND($BF$3*BD5,0)</f>
        <v>4249993</v>
      </c>
      <c r="BG5" s="501"/>
      <c r="BH5" s="501"/>
      <c r="BI5" s="501"/>
      <c r="BJ5" s="1433"/>
      <c r="BM5" s="501"/>
      <c r="BN5" s="501"/>
      <c r="BO5" s="501"/>
      <c r="BP5" s="501"/>
      <c r="BQ5" s="501"/>
      <c r="BR5" s="1525"/>
      <c r="BS5" s="1525" t="s">
        <v>2408</v>
      </c>
      <c r="BT5" s="1525" t="s">
        <v>2409</v>
      </c>
      <c r="BU5" s="501"/>
      <c r="BV5" s="501"/>
      <c r="BW5" s="501"/>
      <c r="BX5" s="501"/>
      <c r="BY5" s="501"/>
      <c r="BZ5" s="501"/>
      <c r="CA5" s="559"/>
      <c r="CB5" s="1491"/>
    </row>
    <row r="6" spans="1:80" ht="26.25">
      <c r="A6" s="2086"/>
      <c r="B6" s="1492" t="s">
        <v>2410</v>
      </c>
      <c r="C6" s="1491" t="s">
        <v>2699</v>
      </c>
      <c r="D6" s="1491"/>
      <c r="E6" s="1491"/>
      <c r="F6" s="1491"/>
      <c r="G6" s="1491"/>
      <c r="H6" s="1491"/>
      <c r="I6" s="1491"/>
      <c r="J6" s="1491"/>
      <c r="K6" s="1491"/>
      <c r="L6" s="1491"/>
      <c r="M6" s="1491"/>
      <c r="N6" s="1474" t="s">
        <v>2411</v>
      </c>
      <c r="O6" s="1474"/>
      <c r="P6" s="1474"/>
      <c r="Q6" s="1526">
        <f>SUM(Q4:Q5)</f>
        <v>718945</v>
      </c>
      <c r="R6" s="1526">
        <f>SUM(R4:R5)</f>
        <v>8627340</v>
      </c>
      <c r="S6" s="559"/>
      <c r="T6" s="1527" t="s">
        <v>2412</v>
      </c>
      <c r="U6" s="1528"/>
      <c r="V6" s="1529"/>
      <c r="W6" s="1529"/>
      <c r="X6" s="1530">
        <v>3.15E-2</v>
      </c>
      <c r="Y6" s="559"/>
      <c r="Z6" s="559"/>
      <c r="AA6" s="559"/>
      <c r="AB6" s="1494" t="s">
        <v>2413</v>
      </c>
      <c r="AC6" s="1494"/>
      <c r="AD6" s="1494"/>
      <c r="AE6" s="1494"/>
      <c r="AF6" s="1511"/>
      <c r="AG6" s="1511">
        <f>SUM(AG7:AG8)</f>
        <v>4500</v>
      </c>
      <c r="AH6" s="1511">
        <f>SUM(AH7:AH8)</f>
        <v>54000</v>
      </c>
      <c r="AI6" s="1512" t="s">
        <v>360</v>
      </c>
      <c r="AJ6" s="1509"/>
      <c r="AK6" s="1531"/>
      <c r="AL6" s="559"/>
      <c r="AM6" s="501"/>
      <c r="AN6" s="501"/>
      <c r="AO6" s="501"/>
      <c r="AP6" s="501"/>
      <c r="AQ6" s="1532">
        <v>0.1</v>
      </c>
      <c r="AR6" s="1517" t="s">
        <v>2414</v>
      </c>
      <c r="AS6" s="1500"/>
      <c r="AT6" s="1500"/>
      <c r="AU6" s="501"/>
      <c r="AV6" s="501"/>
      <c r="AW6" s="501"/>
      <c r="AX6" s="1533">
        <v>0.3</v>
      </c>
      <c r="AY6" s="1534">
        <f>ROUND(AX6*$AY$3,0)</f>
        <v>660000</v>
      </c>
      <c r="AZ6" s="1535">
        <f>AY6</f>
        <v>660000</v>
      </c>
      <c r="BA6" s="501"/>
      <c r="BB6" s="501"/>
      <c r="BC6" s="501"/>
      <c r="BD6" s="1536">
        <v>0.4</v>
      </c>
      <c r="BE6" s="1522"/>
      <c r="BF6" s="1523">
        <f>ROUND($BF$3*BD6,0)</f>
        <v>8499987</v>
      </c>
      <c r="BG6" s="501"/>
      <c r="BH6" s="501"/>
      <c r="BI6" s="501"/>
      <c r="BM6" s="501"/>
      <c r="BN6" s="501"/>
      <c r="BO6" s="501"/>
      <c r="BP6" s="501"/>
      <c r="BQ6" s="501"/>
      <c r="BR6" s="1538">
        <v>0.2</v>
      </c>
      <c r="BS6" s="1539">
        <f>ROUND(BS$4*$AG6,0)</f>
        <v>0</v>
      </c>
      <c r="BT6" s="1539">
        <f>ROUND(BT$4*$AG6,0)</f>
        <v>0</v>
      </c>
      <c r="BU6" s="501"/>
      <c r="BV6" s="501"/>
      <c r="BW6" s="501"/>
      <c r="BX6" s="501"/>
      <c r="BY6" s="501"/>
      <c r="BZ6" s="501"/>
      <c r="CA6" s="559"/>
      <c r="CB6" s="1491"/>
    </row>
    <row r="7" spans="1:80" ht="39">
      <c r="N7" s="1456" t="s">
        <v>2415</v>
      </c>
      <c r="O7" s="1541"/>
      <c r="P7" s="1542">
        <v>-0.05</v>
      </c>
      <c r="Q7" s="1543">
        <f>P7*Q6</f>
        <v>-35947.25</v>
      </c>
      <c r="R7" s="1543">
        <f>+P7*R6</f>
        <v>-431367</v>
      </c>
      <c r="S7" s="559"/>
      <c r="T7" s="1544"/>
      <c r="U7" s="1476"/>
      <c r="V7" s="1476" t="s">
        <v>2416</v>
      </c>
      <c r="W7" s="1545">
        <v>6.9499999999999996E-3</v>
      </c>
      <c r="X7" s="1546"/>
      <c r="Y7" s="559"/>
      <c r="Z7" s="559"/>
      <c r="AA7" s="559"/>
      <c r="AB7" s="1547"/>
      <c r="AC7" s="1547" t="s">
        <v>2417</v>
      </c>
      <c r="AD7" s="1547"/>
      <c r="AE7" s="1547">
        <f>AE$3</f>
        <v>500</v>
      </c>
      <c r="AF7" s="1548">
        <v>7</v>
      </c>
      <c r="AG7" s="1548">
        <f>+AE7*AF7</f>
        <v>3500</v>
      </c>
      <c r="AH7" s="1548">
        <f>AG7*12</f>
        <v>42000</v>
      </c>
      <c r="AI7" s="559"/>
      <c r="AJ7" s="559"/>
      <c r="AK7" s="559"/>
      <c r="AL7" s="559"/>
      <c r="AM7" s="501"/>
      <c r="AN7" s="501"/>
      <c r="AO7" s="501"/>
      <c r="AP7" s="501"/>
      <c r="AQ7" s="1532">
        <v>0.05</v>
      </c>
      <c r="AR7" s="1517" t="s">
        <v>2418</v>
      </c>
      <c r="AS7" s="1500">
        <f>-AT3</f>
        <v>-4468595</v>
      </c>
      <c r="AT7" s="1500"/>
      <c r="AU7" s="1500"/>
      <c r="AV7" s="1500"/>
      <c r="AW7" s="1500"/>
      <c r="AX7" s="1533">
        <v>0.3</v>
      </c>
      <c r="AY7" s="1534">
        <f>ROUND(AX7*$AY$3,0)</f>
        <v>660000</v>
      </c>
      <c r="AZ7" s="1535">
        <f t="shared" ref="AZ7:AZ9" si="0">AY7</f>
        <v>660000</v>
      </c>
      <c r="BA7" s="1500"/>
      <c r="BB7" s="1500"/>
      <c r="BC7" s="1500"/>
      <c r="BD7" s="1536">
        <v>0.4</v>
      </c>
      <c r="BE7" s="1522"/>
      <c r="BF7" s="1523">
        <f>BF3-BF5-BF6</f>
        <v>8499987</v>
      </c>
      <c r="BG7" s="1500"/>
      <c r="BH7" s="1500"/>
      <c r="BI7" s="1500"/>
      <c r="BJ7" s="2105" t="s">
        <v>2656</v>
      </c>
      <c r="BK7" s="2107" t="s">
        <v>2657</v>
      </c>
      <c r="BL7" s="2106" t="s">
        <v>2374</v>
      </c>
      <c r="BM7" s="1500"/>
      <c r="BN7" s="1500"/>
      <c r="BO7" s="501"/>
      <c r="BP7" s="501"/>
      <c r="BQ7" s="501"/>
      <c r="BR7" s="1538">
        <v>0.4</v>
      </c>
      <c r="BS7" s="1539">
        <f>ROUND(BS$4*$AG7,0)</f>
        <v>0</v>
      </c>
      <c r="BT7" s="1539">
        <f>ROUND(BT$4*$AG7,0)</f>
        <v>0</v>
      </c>
      <c r="BU7" s="501"/>
      <c r="BV7" s="501"/>
      <c r="BW7" s="501"/>
      <c r="BX7" s="501"/>
      <c r="BY7" s="501"/>
      <c r="BZ7" s="501"/>
      <c r="CA7" s="559"/>
    </row>
    <row r="8" spans="1:80" ht="26.25">
      <c r="A8" s="1549" t="s">
        <v>2419</v>
      </c>
      <c r="B8" s="1549" t="s">
        <v>2420</v>
      </c>
      <c r="C8" s="1550" t="s">
        <v>2421</v>
      </c>
      <c r="D8" s="1551" t="s">
        <v>2422</v>
      </c>
      <c r="N8" s="1552" t="s">
        <v>2423</v>
      </c>
      <c r="O8" s="1552"/>
      <c r="P8" s="1552"/>
      <c r="Q8" s="1553">
        <f>SUM(Q6:Q7)</f>
        <v>682997.75</v>
      </c>
      <c r="R8" s="1553">
        <f>SUM(R6:R7)</f>
        <v>8195973</v>
      </c>
      <c r="S8" s="559"/>
      <c r="T8" s="1544"/>
      <c r="U8" s="1476"/>
      <c r="V8" s="1476" t="s">
        <v>2424</v>
      </c>
      <c r="W8" s="1545">
        <v>2.4E-2</v>
      </c>
      <c r="X8" s="1546"/>
      <c r="Y8" s="559"/>
      <c r="Z8" s="559"/>
      <c r="AA8" s="559"/>
      <c r="AB8" s="1547"/>
      <c r="AC8" s="1547" t="s">
        <v>2425</v>
      </c>
      <c r="AD8" s="1547"/>
      <c r="AE8" s="1547">
        <f>AE$3</f>
        <v>500</v>
      </c>
      <c r="AF8" s="1548">
        <v>2</v>
      </c>
      <c r="AG8" s="1548">
        <f>+AE8*AF8</f>
        <v>1000</v>
      </c>
      <c r="AH8" s="1548">
        <f>AG8*12</f>
        <v>12000</v>
      </c>
      <c r="AI8" s="559"/>
      <c r="AJ8" s="559"/>
      <c r="AK8" s="559"/>
      <c r="AL8" s="559"/>
      <c r="AM8" s="501"/>
      <c r="AN8" s="501"/>
      <c r="AO8" s="501"/>
      <c r="AP8" s="501"/>
      <c r="AQ8" s="1532"/>
      <c r="AR8" s="1517" t="s">
        <v>2426</v>
      </c>
      <c r="AS8" s="1500">
        <f>SUM(AS5:AS7)</f>
        <v>89371890</v>
      </c>
      <c r="AT8" s="1500"/>
      <c r="AU8" s="1500"/>
      <c r="AV8" s="1500"/>
      <c r="AW8" s="1500"/>
      <c r="AX8" s="1533">
        <v>0.35</v>
      </c>
      <c r="AY8" s="1534">
        <f>ROUND(AX8*$AY$3,0)</f>
        <v>770000</v>
      </c>
      <c r="AZ8" s="1535">
        <f t="shared" si="0"/>
        <v>770000</v>
      </c>
      <c r="BA8" s="1500"/>
      <c r="BB8" s="1500"/>
      <c r="BC8" s="1500"/>
      <c r="BD8" s="1554">
        <f>1-SUM(BD5:BD7)</f>
        <v>0</v>
      </c>
      <c r="BE8" s="1522"/>
      <c r="BF8" s="1523">
        <f>BF3-SUM(BF5:BF7)</f>
        <v>0</v>
      </c>
      <c r="BG8" s="1500"/>
      <c r="BH8" s="1500"/>
      <c r="BI8" s="2111">
        <f>BJ8/0.3</f>
        <v>74141566.666666672</v>
      </c>
      <c r="BJ8" s="1537">
        <f>SUM(BK8:BL8)</f>
        <v>22242470</v>
      </c>
      <c r="BK8" s="1524">
        <f>BF3+BG3</f>
        <v>21249967</v>
      </c>
      <c r="BL8" s="1524">
        <f>BM3</f>
        <v>992503</v>
      </c>
      <c r="BM8" s="1500"/>
      <c r="BN8" s="1500"/>
      <c r="BO8" s="501"/>
      <c r="BP8" s="501"/>
      <c r="BQ8" s="501"/>
      <c r="BR8" s="1538">
        <v>0.4</v>
      </c>
      <c r="BS8" s="1539">
        <f>BS4-SUM(BS6:BS7)</f>
        <v>0</v>
      </c>
      <c r="BT8" s="1539">
        <f>BT4-SUM(BT6:BT7)</f>
        <v>0</v>
      </c>
      <c r="BU8" s="501"/>
      <c r="BV8" s="501"/>
      <c r="BW8" s="1555"/>
      <c r="BX8" s="501"/>
      <c r="BY8" s="501"/>
      <c r="BZ8" s="501"/>
      <c r="CA8" s="559"/>
    </row>
    <row r="9" spans="1:80">
      <c r="A9" s="1556" t="s">
        <v>2427</v>
      </c>
      <c r="B9" s="1557">
        <v>400</v>
      </c>
      <c r="C9" s="1558">
        <v>499</v>
      </c>
      <c r="D9" s="1559">
        <v>199600</v>
      </c>
      <c r="N9" s="559"/>
      <c r="O9" s="559"/>
      <c r="P9" s="559"/>
      <c r="Q9" s="559"/>
      <c r="R9" s="559"/>
      <c r="S9" s="559"/>
      <c r="T9" s="1560"/>
      <c r="U9" s="1561"/>
      <c r="V9" s="1561" t="s">
        <v>2428</v>
      </c>
      <c r="W9" s="1562">
        <v>5.0000000000000001E-4</v>
      </c>
      <c r="X9" s="1563"/>
      <c r="Y9" s="559"/>
      <c r="Z9" s="559"/>
      <c r="AA9" s="1494"/>
      <c r="AB9" s="1564" t="s">
        <v>2429</v>
      </c>
      <c r="AC9" s="1564"/>
      <c r="AD9" s="1564"/>
      <c r="AE9" s="1564"/>
      <c r="AF9" s="1565"/>
      <c r="AG9" s="1565">
        <f>SUMIF($AI4:$AI8,"total",AG4:AG8)</f>
        <v>718945</v>
      </c>
      <c r="AH9" s="1565">
        <f>SUMIF($AI4:$AI8,"total",AH4:AH8)</f>
        <v>8627340</v>
      </c>
      <c r="AI9" s="559"/>
      <c r="AJ9" s="1509"/>
      <c r="AK9" s="559"/>
      <c r="AL9" s="559"/>
      <c r="AM9" s="501"/>
      <c r="AN9" s="1566"/>
      <c r="AO9" s="1566"/>
      <c r="AP9" s="501"/>
      <c r="AQ9" s="1463"/>
      <c r="AR9" s="1567"/>
      <c r="AS9" s="1500"/>
      <c r="AT9" s="501"/>
      <c r="AU9" s="501"/>
      <c r="AV9" s="501"/>
      <c r="AW9" s="501"/>
      <c r="AX9" s="1533">
        <f>1-SUM(AX6:AX8)</f>
        <v>5.0000000000000044E-2</v>
      </c>
      <c r="AY9" s="1534">
        <f>AY3-SUM(AY6:AY8)</f>
        <v>110000</v>
      </c>
      <c r="AZ9" s="1535">
        <f t="shared" si="0"/>
        <v>110000</v>
      </c>
      <c r="BA9" s="501"/>
      <c r="BB9" s="501"/>
      <c r="BC9" s="501"/>
      <c r="BD9" s="501"/>
      <c r="BE9" s="1471"/>
      <c r="BF9" s="1500">
        <f>SUM(BF5:BF8)</f>
        <v>21249967</v>
      </c>
      <c r="BG9" s="501"/>
      <c r="BH9" s="501"/>
      <c r="BI9" s="501"/>
      <c r="BJ9" s="501">
        <f>BJ8/BA3</f>
        <v>0.19396521240015149</v>
      </c>
      <c r="BK9" s="501"/>
      <c r="BL9" s="501"/>
      <c r="BM9" s="501"/>
      <c r="BN9" s="501"/>
      <c r="BO9" s="501"/>
      <c r="BP9" s="501"/>
      <c r="BQ9" s="501"/>
      <c r="BR9" s="1525" t="s">
        <v>2430</v>
      </c>
      <c r="BS9" s="1539">
        <f>SUM(BS6:BS8)</f>
        <v>0</v>
      </c>
      <c r="BT9" s="1539">
        <f>SUM(BT6:BT8)</f>
        <v>0</v>
      </c>
      <c r="BU9" s="1568">
        <f>+BS9+BT9</f>
        <v>0</v>
      </c>
      <c r="BW9" s="1569" t="s">
        <v>2431</v>
      </c>
      <c r="BX9" s="501"/>
      <c r="BY9" s="501"/>
      <c r="BZ9" s="501"/>
      <c r="CA9" s="559"/>
    </row>
    <row r="10" spans="1:80" ht="15.75" thickBot="1">
      <c r="A10" s="1570" t="s">
        <v>2432</v>
      </c>
      <c r="B10" s="1571">
        <v>700</v>
      </c>
      <c r="C10" s="1572">
        <v>1</v>
      </c>
      <c r="D10" s="1573">
        <v>700</v>
      </c>
      <c r="N10" s="1474" t="s">
        <v>2433</v>
      </c>
      <c r="O10" s="559"/>
      <c r="P10" s="559"/>
      <c r="Q10" s="559"/>
      <c r="R10" s="559"/>
      <c r="S10" s="559"/>
      <c r="T10" s="1475"/>
      <c r="U10" s="1475"/>
      <c r="V10" s="1475"/>
      <c r="W10" s="1475"/>
      <c r="X10" s="1475"/>
      <c r="Y10" s="559"/>
      <c r="Z10" s="559"/>
      <c r="AA10" s="1494"/>
      <c r="AB10" s="1564"/>
      <c r="AC10" s="1564" t="s">
        <v>2434</v>
      </c>
      <c r="AD10" s="1574">
        <v>0.05</v>
      </c>
      <c r="AE10" s="1564"/>
      <c r="AF10" s="1565"/>
      <c r="AG10" s="1565">
        <f>-AD10*AG9</f>
        <v>-35947.25</v>
      </c>
      <c r="AH10" s="1565">
        <f>+AG10*12</f>
        <v>-431367</v>
      </c>
      <c r="AI10" s="559"/>
      <c r="AJ10" s="559"/>
      <c r="AK10" s="559"/>
      <c r="AL10" s="559"/>
      <c r="AM10" s="501"/>
      <c r="AN10" s="1566"/>
      <c r="AO10" s="1566"/>
      <c r="AP10" s="501"/>
      <c r="AQ10" s="1463"/>
      <c r="AR10" s="1567"/>
      <c r="AS10" s="1500"/>
      <c r="AT10" s="501"/>
      <c r="AU10" s="501"/>
      <c r="AV10" s="501"/>
      <c r="AW10" s="501"/>
      <c r="AX10" s="1575"/>
      <c r="AY10" s="1500"/>
      <c r="AZ10" s="1500">
        <f>SUM(AZ6:AZ9)</f>
        <v>2200000</v>
      </c>
      <c r="BA10" s="501"/>
      <c r="BB10" s="501"/>
      <c r="BC10" s="501"/>
      <c r="BD10" s="1470"/>
      <c r="BE10" s="1471"/>
      <c r="BF10" s="501"/>
      <c r="BG10" s="501"/>
      <c r="BH10" s="501"/>
      <c r="BI10" s="501"/>
      <c r="BJ10" s="501"/>
      <c r="BK10" s="501"/>
      <c r="BL10" s="501"/>
      <c r="BM10" s="501"/>
      <c r="BN10" s="501"/>
      <c r="BO10" s="501"/>
      <c r="BP10" s="501"/>
      <c r="BQ10" s="501"/>
      <c r="BR10" s="501"/>
      <c r="BS10" s="501"/>
      <c r="BT10" s="501"/>
      <c r="BU10" s="501"/>
      <c r="BV10" s="501"/>
      <c r="BW10" s="1576">
        <f>X6</f>
        <v>3.15E-2</v>
      </c>
      <c r="BX10" s="1577"/>
      <c r="BY10" s="501"/>
      <c r="BZ10" s="501"/>
      <c r="CA10" s="559"/>
    </row>
    <row r="11" spans="1:80" ht="37.5" customHeight="1">
      <c r="A11" s="1578"/>
      <c r="B11" s="1579"/>
      <c r="C11" s="1580">
        <v>0</v>
      </c>
      <c r="D11" s="1581">
        <v>0</v>
      </c>
      <c r="N11" s="559"/>
      <c r="O11" s="1455" t="s">
        <v>2435</v>
      </c>
      <c r="P11" s="559"/>
      <c r="Q11" s="1509">
        <f>AG58</f>
        <v>46865</v>
      </c>
      <c r="R11" s="1509">
        <f>AH58</f>
        <v>562380</v>
      </c>
      <c r="S11" s="559"/>
      <c r="T11" s="1516" t="s">
        <v>2436</v>
      </c>
      <c r="U11" s="1476"/>
      <c r="V11" s="1476"/>
      <c r="W11" s="1582">
        <v>40</v>
      </c>
      <c r="X11" s="1583" t="s">
        <v>2437</v>
      </c>
      <c r="Y11" s="559"/>
      <c r="Z11" s="559"/>
      <c r="AA11" s="1494"/>
      <c r="AB11" s="1584" t="s">
        <v>2423</v>
      </c>
      <c r="AC11" s="1585"/>
      <c r="AD11" s="1585"/>
      <c r="AE11" s="1585"/>
      <c r="AF11" s="1586"/>
      <c r="AG11" s="1586">
        <f>+AG9+AG10</f>
        <v>682997.75</v>
      </c>
      <c r="AH11" s="1587">
        <f>SUM(AH9:AH10)</f>
        <v>8195973</v>
      </c>
      <c r="AI11" s="559"/>
      <c r="AJ11" s="559"/>
      <c r="AK11" s="559"/>
      <c r="AL11" s="559"/>
      <c r="AM11" s="1588"/>
      <c r="AN11" s="1589" t="s">
        <v>2438</v>
      </c>
      <c r="AO11" s="1590"/>
      <c r="AP11" s="1591" t="s">
        <v>1463</v>
      </c>
      <c r="AQ11" s="1592"/>
      <c r="AR11" s="1592" t="str">
        <f>AR1</f>
        <v>Land + Demo</v>
      </c>
      <c r="AS11" s="1592" t="str">
        <f>AS1</f>
        <v>Hard Cost</v>
      </c>
      <c r="AT11" s="1592" t="str">
        <f>+AT1</f>
        <v>Hard Cost Retainage (contingency)</v>
      </c>
      <c r="AU11" s="1592" t="str">
        <f>AU1</f>
        <v>Soft Cost</v>
      </c>
      <c r="AV11" s="1592" t="str">
        <f>AV1</f>
        <v>Financing Cost</v>
      </c>
      <c r="AW11" s="1592" t="str">
        <f>AW1</f>
        <v>Construction Loan / Bridge Loan Interest</v>
      </c>
      <c r="AX11" s="1592" t="s">
        <v>2374</v>
      </c>
      <c r="AY11" s="1592" t="s">
        <v>2375</v>
      </c>
      <c r="AZ11" s="1592" t="str">
        <f>AZ1</f>
        <v>Reserves</v>
      </c>
      <c r="BA11" s="1593" t="str">
        <f>BA1</f>
        <v>Total Project Cost</v>
      </c>
      <c r="BB11" s="1594" t="s">
        <v>2439</v>
      </c>
      <c r="BC11" s="1595"/>
      <c r="BD11" s="1596" t="s">
        <v>2440</v>
      </c>
      <c r="BE11" s="1597"/>
      <c r="BF11" s="1598" t="str">
        <f t="shared" ref="BF11:BJ11" si="1">BF1</f>
        <v xml:space="preserve">LP Equity </v>
      </c>
      <c r="BG11" s="1592" t="str">
        <f t="shared" si="1"/>
        <v>GP Equity</v>
      </c>
      <c r="BH11" s="1592" t="str">
        <f t="shared" si="1"/>
        <v>Seller Note</v>
      </c>
      <c r="BI11" s="1592" t="str">
        <f t="shared" si="1"/>
        <v>C-PACE</v>
      </c>
      <c r="BJ11" s="1592" t="str">
        <f t="shared" si="1"/>
        <v>Addt'l DFN</v>
      </c>
      <c r="BK11" s="1592" t="str">
        <f>BK1</f>
        <v>Construction Loan + Bridge Loan</v>
      </c>
      <c r="BL11" s="1592" t="str">
        <f>BL1</f>
        <v>Construction 2 / PERM loan</v>
      </c>
      <c r="BM11" s="1591" t="str">
        <f>BM1</f>
        <v>Deferred Developer Fee</v>
      </c>
      <c r="BN11" s="1593" t="str">
        <f>BN1</f>
        <v>Total Source of Project Fund</v>
      </c>
      <c r="BO11" s="1588"/>
      <c r="BP11" s="1588" t="s">
        <v>2441</v>
      </c>
      <c r="BQ11" s="1588" t="s">
        <v>2442</v>
      </c>
      <c r="BR11" s="2078" t="str">
        <f>BK11</f>
        <v>Construction Loan + Bridge Loan</v>
      </c>
      <c r="BS11" s="2079" t="str">
        <f>BK11&amp;" Outstanding"</f>
        <v>Construction Loan + Bridge Loan Outstanding</v>
      </c>
      <c r="BT11" s="2080" t="s">
        <v>2443</v>
      </c>
      <c r="BU11" s="2081" t="s">
        <v>2444</v>
      </c>
      <c r="BV11" s="2082" t="s">
        <v>2445</v>
      </c>
      <c r="BW11" s="2083" t="s">
        <v>2446</v>
      </c>
      <c r="BX11" s="2083"/>
      <c r="BY11" s="2150" t="s">
        <v>2447</v>
      </c>
      <c r="BZ11" s="1588"/>
      <c r="CA11" s="559"/>
    </row>
    <row r="12" spans="1:80">
      <c r="A12" s="1599" t="s">
        <v>2430</v>
      </c>
      <c r="B12" s="1600"/>
      <c r="C12" s="1601">
        <f>SUM(C9:C11)</f>
        <v>500</v>
      </c>
      <c r="D12" s="1602">
        <f>SUM(D9:D11)</f>
        <v>200300</v>
      </c>
      <c r="N12" s="559"/>
      <c r="O12" s="1455" t="s">
        <v>2448</v>
      </c>
      <c r="P12" s="559"/>
      <c r="Q12" s="1509">
        <f>AG84</f>
        <v>90750</v>
      </c>
      <c r="R12" s="1509">
        <f>AH84</f>
        <v>1089000</v>
      </c>
      <c r="S12" s="559"/>
      <c r="T12" s="1475"/>
      <c r="U12" s="1475"/>
      <c r="V12" s="1475"/>
      <c r="W12" s="1475"/>
      <c r="X12" s="1475"/>
      <c r="Y12" s="559"/>
      <c r="Z12" s="559"/>
      <c r="AA12" s="559"/>
      <c r="AB12" s="559"/>
      <c r="AC12" s="559"/>
      <c r="AD12" s="559"/>
      <c r="AE12" s="559"/>
      <c r="AF12" s="1509"/>
      <c r="AG12" s="1509"/>
      <c r="AH12" s="1509"/>
      <c r="AI12" s="559"/>
      <c r="AJ12" s="559"/>
      <c r="AK12" s="559"/>
      <c r="AL12" s="559"/>
      <c r="AN12" s="1603" t="s">
        <v>2449</v>
      </c>
      <c r="AO12" s="1455">
        <v>0</v>
      </c>
      <c r="AP12" s="1604">
        <v>44227</v>
      </c>
      <c r="AR12" s="1606">
        <f>AR3</f>
        <v>6640000</v>
      </c>
      <c r="AS12" s="1606"/>
      <c r="AT12" s="1606"/>
      <c r="AU12" s="1606">
        <f>AU3</f>
        <v>5276948</v>
      </c>
      <c r="AV12" s="1607">
        <f>AV3</f>
        <v>2160890</v>
      </c>
      <c r="AW12" s="1606"/>
      <c r="AX12" s="1608"/>
      <c r="AY12" s="1606">
        <f>AY6</f>
        <v>660000</v>
      </c>
      <c r="AZ12" s="1568">
        <v>0</v>
      </c>
      <c r="BA12" s="1609">
        <f t="shared" ref="BA12:BA37" si="2">SUM(AR12:AZ12)</f>
        <v>14737838</v>
      </c>
      <c r="BB12" s="1606">
        <f>2200000-AY12</f>
        <v>1540000</v>
      </c>
      <c r="BC12" s="1606"/>
      <c r="BD12" s="1610">
        <f>BD5</f>
        <v>0.2</v>
      </c>
      <c r="BE12" s="1611"/>
      <c r="BF12" s="1612">
        <f>+BF5</f>
        <v>4249993</v>
      </c>
      <c r="BG12" s="1568"/>
      <c r="BH12" s="1568"/>
      <c r="BI12" s="1568">
        <f>R81</f>
        <v>0</v>
      </c>
      <c r="BJ12" s="1613"/>
      <c r="BK12" s="1568">
        <f>BA12-BF12-BG12-BL12-BM12-BH12-BI12</f>
        <v>10487845</v>
      </c>
      <c r="BL12" s="1614"/>
      <c r="BM12" s="1615">
        <v>0</v>
      </c>
      <c r="BN12" s="1616">
        <f>SUM(BF12:BM12)</f>
        <v>14737838</v>
      </c>
      <c r="BP12" s="1606">
        <f>BN12-BA12</f>
        <v>0</v>
      </c>
      <c r="BQ12" s="1606">
        <f>+BP12</f>
        <v>0</v>
      </c>
      <c r="BR12" s="1617">
        <v>10487845</v>
      </c>
      <c r="BS12" s="1618">
        <f>BR12</f>
        <v>10487845</v>
      </c>
      <c r="BT12" s="1617"/>
      <c r="BU12" s="1618">
        <f>+BT12</f>
        <v>0</v>
      </c>
      <c r="BV12" s="1619">
        <f>+BS12+BU12</f>
        <v>10487845</v>
      </c>
      <c r="BW12" s="1620"/>
      <c r="BX12" s="1621"/>
      <c r="BY12" s="2151">
        <f>ROUND(BW12+BX12,0)</f>
        <v>0</v>
      </c>
      <c r="BZ12" s="1568"/>
      <c r="CA12" s="559"/>
    </row>
    <row r="13" spans="1:80">
      <c r="N13" s="559"/>
      <c r="O13" s="1455" t="s">
        <v>808</v>
      </c>
      <c r="P13" s="559"/>
      <c r="Q13" s="1509">
        <f>AG43</f>
        <v>43500</v>
      </c>
      <c r="R13" s="1509">
        <f>AH43</f>
        <v>522000</v>
      </c>
      <c r="S13" s="559"/>
      <c r="T13" s="1527" t="s">
        <v>2450</v>
      </c>
      <c r="U13" s="1622"/>
      <c r="V13" s="1622"/>
      <c r="W13" s="1622"/>
      <c r="X13" s="1623">
        <v>92430000</v>
      </c>
      <c r="Y13" s="559"/>
      <c r="Z13" s="559"/>
      <c r="AA13" s="1494" t="s">
        <v>2192</v>
      </c>
      <c r="AB13" s="559"/>
      <c r="AC13" s="559"/>
      <c r="AD13" s="559"/>
      <c r="AE13" s="559"/>
      <c r="AF13" s="1509"/>
      <c r="AG13" s="1509"/>
      <c r="AH13" s="1509"/>
      <c r="AI13" s="559"/>
      <c r="AJ13" s="559"/>
      <c r="AK13" s="559"/>
      <c r="AL13" s="559"/>
      <c r="AN13" s="1603"/>
      <c r="AO13" s="1455">
        <f>+AO12+1</f>
        <v>1</v>
      </c>
      <c r="AP13" s="1604">
        <f>EOMONTH(AP12,1)+1</f>
        <v>44256</v>
      </c>
      <c r="AR13" s="1606"/>
      <c r="AS13" s="1606">
        <f>ROUND(AS$8/21,0)</f>
        <v>4255804</v>
      </c>
      <c r="AT13" s="1606"/>
      <c r="AU13" s="1606"/>
      <c r="AV13" s="1607"/>
      <c r="AW13" s="2128">
        <f>BY13</f>
        <v>27531</v>
      </c>
      <c r="AX13" s="1608"/>
      <c r="AY13" s="1606"/>
      <c r="AZ13" s="1568"/>
      <c r="BA13" s="1609">
        <f t="shared" si="2"/>
        <v>4283335</v>
      </c>
      <c r="BB13" s="1606">
        <f t="shared" ref="BB13:BB40" si="3">+BB12-AY13</f>
        <v>1540000</v>
      </c>
      <c r="BC13" s="1606"/>
      <c r="BD13" s="1610"/>
      <c r="BE13" s="1611"/>
      <c r="BF13" s="1612"/>
      <c r="BG13" s="1568"/>
      <c r="BH13" s="1568"/>
      <c r="BI13" s="1568">
        <f>ROUND(($BI$3-$BI$12)/21,0)</f>
        <v>0</v>
      </c>
      <c r="BJ13" s="1613"/>
      <c r="BK13" s="1568">
        <f t="shared" ref="BK13:BK32" si="4">BA13-BF13-BG13-BL13-BM13-BH13-BI13</f>
        <v>4283335</v>
      </c>
      <c r="BL13" s="1614"/>
      <c r="BM13" s="1615">
        <v>0</v>
      </c>
      <c r="BN13" s="1616">
        <f t="shared" ref="BN13:BN37" si="5">SUM(BF13:BM13)</f>
        <v>4283335</v>
      </c>
      <c r="BP13" s="1606">
        <f t="shared" ref="BP13:BP41" si="6">BN13-BA13</f>
        <v>0</v>
      </c>
      <c r="BQ13" s="1606">
        <f>+BP13+BQ12</f>
        <v>0</v>
      </c>
      <c r="BR13" s="1617">
        <v>4283335</v>
      </c>
      <c r="BS13" s="1618">
        <f>+BR13+BS12</f>
        <v>14771180</v>
      </c>
      <c r="BT13" s="1617"/>
      <c r="BU13" s="1618">
        <f>+BT13+BU12</f>
        <v>0</v>
      </c>
      <c r="BV13" s="1619">
        <f>+BV12+BR13+BT13</f>
        <v>14771180</v>
      </c>
      <c r="BW13" s="1620">
        <f>ROUND(BS12*BW$10/12,0)</f>
        <v>27531</v>
      </c>
      <c r="BX13" s="1621"/>
      <c r="BY13" s="2151">
        <f t="shared" ref="BY13:BY34" si="7">ROUND(BW13+BX13,0)</f>
        <v>27531</v>
      </c>
      <c r="BZ13" s="1568"/>
      <c r="CA13" s="559"/>
    </row>
    <row r="14" spans="1:80" ht="30">
      <c r="A14" s="1624" t="s">
        <v>2451</v>
      </c>
      <c r="B14" s="1625"/>
      <c r="C14" s="1626"/>
      <c r="D14" s="1627" t="s">
        <v>135</v>
      </c>
      <c r="N14" s="559"/>
      <c r="O14" s="1455" t="s">
        <v>1219</v>
      </c>
      <c r="P14" s="559"/>
      <c r="Q14" s="1509">
        <f>AG37</f>
        <v>16175</v>
      </c>
      <c r="R14" s="1509">
        <f>AH37</f>
        <v>194100</v>
      </c>
      <c r="S14" s="559"/>
      <c r="T14" s="1527" t="s">
        <v>2452</v>
      </c>
      <c r="U14" s="1622"/>
      <c r="V14" s="1622"/>
      <c r="W14" s="1628">
        <v>2.5000000000000001E-3</v>
      </c>
      <c r="X14" s="1623">
        <f>ROUND(X13*W14,0)</f>
        <v>231075</v>
      </c>
      <c r="Y14" s="559"/>
      <c r="Z14" s="559"/>
      <c r="AA14" s="559"/>
      <c r="AB14" s="1547" t="s">
        <v>2453</v>
      </c>
      <c r="AC14" s="1629">
        <v>1.5</v>
      </c>
      <c r="AD14" s="1547"/>
      <c r="AE14" s="1547">
        <f>AE$3</f>
        <v>500</v>
      </c>
      <c r="AF14" s="1547"/>
      <c r="AG14" s="1548">
        <f>AC14*AE14</f>
        <v>750</v>
      </c>
      <c r="AH14" s="1548">
        <f t="shared" ref="AH14:AH31" si="8">ROUND(AG14*12,0)</f>
        <v>9000</v>
      </c>
      <c r="AI14" s="559"/>
      <c r="AJ14" s="559"/>
      <c r="AK14" s="559"/>
      <c r="AL14" s="559"/>
      <c r="AN14" s="1603"/>
      <c r="AO14" s="1455">
        <f t="shared" ref="AO14:AO37" si="9">+AO13+1</f>
        <v>2</v>
      </c>
      <c r="AP14" s="1604">
        <f t="shared" ref="AP14:AP37" si="10">EOMONTH(AP13,1)</f>
        <v>44316</v>
      </c>
      <c r="AR14" s="1606"/>
      <c r="AS14" s="1606">
        <f t="shared" ref="AS14:AS31" si="11">ROUND(AS$8/21,0)</f>
        <v>4255804</v>
      </c>
      <c r="AT14" s="1606"/>
      <c r="AU14" s="1606"/>
      <c r="AV14" s="1607"/>
      <c r="AW14" s="2128">
        <f t="shared" ref="AW14:AW33" si="12">BY14</f>
        <v>38774</v>
      </c>
      <c r="AX14" s="1608"/>
      <c r="AY14" s="1606"/>
      <c r="AZ14" s="1568"/>
      <c r="BA14" s="1609">
        <f t="shared" si="2"/>
        <v>4294578</v>
      </c>
      <c r="BB14" s="1606">
        <f t="shared" si="3"/>
        <v>1540000</v>
      </c>
      <c r="BC14" s="1606"/>
      <c r="BD14" s="1610"/>
      <c r="BE14" s="1611"/>
      <c r="BF14" s="1612"/>
      <c r="BG14" s="1568"/>
      <c r="BH14" s="1568"/>
      <c r="BI14" s="1568">
        <f t="shared" ref="BI14:BI32" si="13">ROUND(($BI$3-$BI$12)/21,0)</f>
        <v>0</v>
      </c>
      <c r="BJ14" s="1613"/>
      <c r="BK14" s="1568">
        <f t="shared" si="4"/>
        <v>4294578</v>
      </c>
      <c r="BL14" s="1614"/>
      <c r="BM14" s="1615">
        <v>0</v>
      </c>
      <c r="BN14" s="1616">
        <f t="shared" si="5"/>
        <v>4294578</v>
      </c>
      <c r="BP14" s="1606">
        <f t="shared" si="6"/>
        <v>0</v>
      </c>
      <c r="BQ14" s="1606">
        <f t="shared" ref="BQ14:BQ41" si="14">+BP14+BQ13</f>
        <v>0</v>
      </c>
      <c r="BR14" s="1617">
        <v>4294578</v>
      </c>
      <c r="BS14" s="1618">
        <f t="shared" ref="BS14:BS41" si="15">+BR14+BS13</f>
        <v>19065758</v>
      </c>
      <c r="BT14" s="1617"/>
      <c r="BU14" s="1618">
        <f t="shared" ref="BU14:BU41" si="16">+BT14+BU13</f>
        <v>0</v>
      </c>
      <c r="BV14" s="1619">
        <f t="shared" ref="BV14:BV41" si="17">+BV13+BR14+BT14</f>
        <v>19065758</v>
      </c>
      <c r="BW14" s="1620">
        <f t="shared" ref="BW14:BW33" si="18">ROUND(BS13*BW$10/12,0)</f>
        <v>38774</v>
      </c>
      <c r="BX14" s="1621"/>
      <c r="BY14" s="2151">
        <f t="shared" si="7"/>
        <v>38774</v>
      </c>
      <c r="BZ14" s="1568"/>
      <c r="CA14" s="559"/>
    </row>
    <row r="15" spans="1:80">
      <c r="N15" s="559"/>
      <c r="O15" s="1455" t="s">
        <v>2454</v>
      </c>
      <c r="Q15" s="1568">
        <f>AG39</f>
        <v>27320</v>
      </c>
      <c r="R15" s="1568">
        <f>AH39</f>
        <v>327840</v>
      </c>
      <c r="S15" s="559"/>
      <c r="T15" s="1560" t="s">
        <v>2455</v>
      </c>
      <c r="U15" s="1630"/>
      <c r="V15" s="1630"/>
      <c r="W15" s="1630"/>
      <c r="X15" s="1631">
        <f>ROUND(PMT(X6/12,W11*12,-X13)*12,0)</f>
        <v>4067101</v>
      </c>
      <c r="Y15" s="559"/>
      <c r="Z15" s="559"/>
      <c r="AA15" s="559"/>
      <c r="AB15" s="1547" t="s">
        <v>2456</v>
      </c>
      <c r="AC15" s="1547" t="s">
        <v>2457</v>
      </c>
      <c r="AD15" s="1547"/>
      <c r="AE15" s="1547"/>
      <c r="AF15" s="1547"/>
      <c r="AG15" s="1548">
        <v>400</v>
      </c>
      <c r="AH15" s="1548">
        <f t="shared" si="8"/>
        <v>4800</v>
      </c>
      <c r="AI15" s="559"/>
      <c r="AJ15" s="559"/>
      <c r="AK15" s="559"/>
      <c r="AL15" s="559"/>
      <c r="AN15" s="1603"/>
      <c r="AO15" s="1455">
        <f t="shared" si="9"/>
        <v>3</v>
      </c>
      <c r="AP15" s="1604">
        <f t="shared" si="10"/>
        <v>44347</v>
      </c>
      <c r="AR15" s="1606"/>
      <c r="AS15" s="1606">
        <f t="shared" si="11"/>
        <v>4255804</v>
      </c>
      <c r="AT15" s="1606"/>
      <c r="AU15" s="1606"/>
      <c r="AV15" s="1607"/>
      <c r="AW15" s="2128">
        <f t="shared" si="12"/>
        <v>50048</v>
      </c>
      <c r="AX15" s="1608"/>
      <c r="AY15" s="1606"/>
      <c r="AZ15" s="1568"/>
      <c r="BA15" s="1609">
        <f t="shared" si="2"/>
        <v>4305852</v>
      </c>
      <c r="BB15" s="1606">
        <f t="shared" si="3"/>
        <v>1540000</v>
      </c>
      <c r="BC15" s="1606"/>
      <c r="BD15" s="1610"/>
      <c r="BE15" s="1611"/>
      <c r="BF15" s="1612"/>
      <c r="BG15" s="1568"/>
      <c r="BH15" s="1568"/>
      <c r="BI15" s="1568">
        <f t="shared" si="13"/>
        <v>0</v>
      </c>
      <c r="BJ15" s="1613"/>
      <c r="BK15" s="1568">
        <f t="shared" si="4"/>
        <v>4305852</v>
      </c>
      <c r="BL15" s="1614"/>
      <c r="BM15" s="1615">
        <v>0</v>
      </c>
      <c r="BN15" s="1616">
        <f t="shared" si="5"/>
        <v>4305852</v>
      </c>
      <c r="BP15" s="1606">
        <f t="shared" si="6"/>
        <v>0</v>
      </c>
      <c r="BQ15" s="1606">
        <f t="shared" si="14"/>
        <v>0</v>
      </c>
      <c r="BR15" s="1617">
        <v>4305852</v>
      </c>
      <c r="BS15" s="1618">
        <f t="shared" si="15"/>
        <v>23371610</v>
      </c>
      <c r="BT15" s="1617"/>
      <c r="BU15" s="1618">
        <f t="shared" si="16"/>
        <v>0</v>
      </c>
      <c r="BV15" s="1619">
        <f t="shared" si="17"/>
        <v>23371610</v>
      </c>
      <c r="BW15" s="1620">
        <f t="shared" si="18"/>
        <v>50048</v>
      </c>
      <c r="BX15" s="1621"/>
      <c r="BY15" s="2151">
        <f t="shared" si="7"/>
        <v>50048</v>
      </c>
      <c r="BZ15" s="1568"/>
      <c r="CA15" s="559"/>
    </row>
    <row r="16" spans="1:80">
      <c r="A16" s="1632" t="s">
        <v>2458</v>
      </c>
      <c r="B16" s="1633"/>
      <c r="C16" s="1632"/>
      <c r="D16" s="1634" t="s">
        <v>2459</v>
      </c>
      <c r="E16" s="12"/>
      <c r="N16" s="1481" t="s">
        <v>2460</v>
      </c>
      <c r="O16" s="1481"/>
      <c r="P16" s="1474"/>
      <c r="Q16" s="1526">
        <f>SUM(Q11:Q15)</f>
        <v>224610</v>
      </c>
      <c r="R16" s="1526">
        <f>SUM(R11:R15)</f>
        <v>2695320</v>
      </c>
      <c r="S16" s="559"/>
      <c r="T16" s="1560" t="s">
        <v>2455</v>
      </c>
      <c r="U16" s="1630"/>
      <c r="V16" s="1630"/>
      <c r="W16" s="1630"/>
      <c r="X16" s="1631">
        <f>ROUND(SUM(X14:X15),0)</f>
        <v>4298176</v>
      </c>
      <c r="Y16" s="559"/>
      <c r="Z16" s="559"/>
      <c r="AA16" s="559"/>
      <c r="AB16" s="1547" t="s">
        <v>2461</v>
      </c>
      <c r="AC16" s="1547" t="s">
        <v>2457</v>
      </c>
      <c r="AD16" s="1547"/>
      <c r="AE16" s="1547"/>
      <c r="AF16" s="1547"/>
      <c r="AG16" s="1548">
        <v>400</v>
      </c>
      <c r="AH16" s="1548">
        <f t="shared" si="8"/>
        <v>4800</v>
      </c>
      <c r="AI16" s="559"/>
      <c r="AJ16" s="559"/>
      <c r="AK16" s="559"/>
      <c r="AL16" s="559"/>
      <c r="AN16" s="1603"/>
      <c r="AO16" s="1455">
        <f t="shared" si="9"/>
        <v>4</v>
      </c>
      <c r="AP16" s="1604">
        <f t="shared" si="10"/>
        <v>44377</v>
      </c>
      <c r="AR16" s="1606"/>
      <c r="AS16" s="1606">
        <f t="shared" si="11"/>
        <v>4255804</v>
      </c>
      <c r="AT16" s="1606"/>
      <c r="AU16" s="1606"/>
      <c r="AV16" s="1607"/>
      <c r="AW16" s="2128">
        <f t="shared" si="12"/>
        <v>61350</v>
      </c>
      <c r="AX16" s="1608"/>
      <c r="AY16" s="1606"/>
      <c r="AZ16" s="1568"/>
      <c r="BA16" s="1609">
        <f t="shared" si="2"/>
        <v>4317154</v>
      </c>
      <c r="BB16" s="1606">
        <f t="shared" si="3"/>
        <v>1540000</v>
      </c>
      <c r="BC16" s="1606"/>
      <c r="BD16" s="1610"/>
      <c r="BE16" s="1611"/>
      <c r="BF16" s="1612"/>
      <c r="BG16" s="1568"/>
      <c r="BH16" s="1568"/>
      <c r="BI16" s="1568">
        <f t="shared" si="13"/>
        <v>0</v>
      </c>
      <c r="BJ16" s="1613"/>
      <c r="BK16" s="1568">
        <f t="shared" si="4"/>
        <v>4317154</v>
      </c>
      <c r="BL16" s="1614"/>
      <c r="BM16" s="1615">
        <v>0</v>
      </c>
      <c r="BN16" s="1616">
        <f t="shared" si="5"/>
        <v>4317154</v>
      </c>
      <c r="BP16" s="1606">
        <f t="shared" si="6"/>
        <v>0</v>
      </c>
      <c r="BQ16" s="1606">
        <f t="shared" si="14"/>
        <v>0</v>
      </c>
      <c r="BR16" s="1617">
        <v>4317154</v>
      </c>
      <c r="BS16" s="1618">
        <f t="shared" si="15"/>
        <v>27688764</v>
      </c>
      <c r="BT16" s="1617"/>
      <c r="BU16" s="1618">
        <f t="shared" si="16"/>
        <v>0</v>
      </c>
      <c r="BV16" s="1619">
        <f t="shared" si="17"/>
        <v>27688764</v>
      </c>
      <c r="BW16" s="1620">
        <f t="shared" si="18"/>
        <v>61350</v>
      </c>
      <c r="BX16" s="1621"/>
      <c r="BY16" s="2151">
        <f t="shared" si="7"/>
        <v>61350</v>
      </c>
      <c r="BZ16" s="1568"/>
      <c r="CA16" s="559"/>
    </row>
    <row r="17" spans="1:79">
      <c r="N17" s="1474" t="s">
        <v>2462</v>
      </c>
      <c r="O17" s="1481"/>
      <c r="P17" s="1474"/>
      <c r="Q17" s="1526">
        <f>AG59</f>
        <v>17500</v>
      </c>
      <c r="R17" s="1526">
        <f>AH59</f>
        <v>210000</v>
      </c>
      <c r="S17" s="559"/>
      <c r="T17" s="559"/>
      <c r="U17" s="559"/>
      <c r="V17" s="559"/>
      <c r="W17" s="559"/>
      <c r="X17" s="1509"/>
      <c r="Y17" s="559"/>
      <c r="Z17" s="559"/>
      <c r="AA17" s="559"/>
      <c r="AB17" s="1547" t="s">
        <v>2463</v>
      </c>
      <c r="AC17" s="1629">
        <v>3</v>
      </c>
      <c r="AD17" s="1547"/>
      <c r="AE17" s="1547">
        <f t="shared" ref="AE17:AE28" si="19">AE$3</f>
        <v>500</v>
      </c>
      <c r="AF17" s="1547"/>
      <c r="AG17" s="1548">
        <f t="shared" ref="AG17:AG26" si="20">AC17*AE17</f>
        <v>1500</v>
      </c>
      <c r="AH17" s="1548">
        <f t="shared" si="8"/>
        <v>18000</v>
      </c>
      <c r="AI17" s="559"/>
      <c r="AJ17" s="559"/>
      <c r="AK17" s="559"/>
      <c r="AL17" s="559"/>
      <c r="AN17" s="1603"/>
      <c r="AO17" s="1455">
        <f t="shared" si="9"/>
        <v>5</v>
      </c>
      <c r="AP17" s="1604">
        <f t="shared" si="10"/>
        <v>44408</v>
      </c>
      <c r="AR17" s="1606"/>
      <c r="AS17" s="1606">
        <f t="shared" si="11"/>
        <v>4255804</v>
      </c>
      <c r="AT17" s="1606"/>
      <c r="AU17" s="1606"/>
      <c r="AV17" s="1607"/>
      <c r="AW17" s="2128">
        <f t="shared" si="12"/>
        <v>72683</v>
      </c>
      <c r="AX17" s="1608"/>
      <c r="AY17" s="1606"/>
      <c r="AZ17" s="1568"/>
      <c r="BA17" s="1609">
        <f t="shared" si="2"/>
        <v>4328487</v>
      </c>
      <c r="BB17" s="1606">
        <f t="shared" si="3"/>
        <v>1540000</v>
      </c>
      <c r="BC17" s="1606"/>
      <c r="BD17" s="1610"/>
      <c r="BE17" s="1611"/>
      <c r="BF17" s="1612"/>
      <c r="BG17" s="1568"/>
      <c r="BH17" s="1568"/>
      <c r="BI17" s="1568">
        <f t="shared" si="13"/>
        <v>0</v>
      </c>
      <c r="BJ17" s="1613"/>
      <c r="BK17" s="1568">
        <f t="shared" si="4"/>
        <v>4328487</v>
      </c>
      <c r="BL17" s="1614"/>
      <c r="BM17" s="1615">
        <v>0</v>
      </c>
      <c r="BN17" s="1616">
        <f t="shared" si="5"/>
        <v>4328487</v>
      </c>
      <c r="BP17" s="1606">
        <f t="shared" si="6"/>
        <v>0</v>
      </c>
      <c r="BQ17" s="1606">
        <f t="shared" si="14"/>
        <v>0</v>
      </c>
      <c r="BR17" s="1617">
        <v>4328487</v>
      </c>
      <c r="BS17" s="1618">
        <f t="shared" si="15"/>
        <v>32017251</v>
      </c>
      <c r="BT17" s="1617"/>
      <c r="BU17" s="1618">
        <f t="shared" si="16"/>
        <v>0</v>
      </c>
      <c r="BV17" s="1619">
        <f t="shared" si="17"/>
        <v>32017251</v>
      </c>
      <c r="BW17" s="1620">
        <f t="shared" si="18"/>
        <v>72683</v>
      </c>
      <c r="BX17" s="1621"/>
      <c r="BY17" s="2151">
        <f t="shared" si="7"/>
        <v>72683</v>
      </c>
      <c r="BZ17" s="1568"/>
      <c r="CA17" s="559"/>
    </row>
    <row r="18" spans="1:79">
      <c r="A18" s="1635" t="s">
        <v>2464</v>
      </c>
      <c r="B18" s="1455"/>
      <c r="S18" s="559"/>
      <c r="Y18" s="559"/>
      <c r="Z18" s="559"/>
      <c r="AA18" s="559"/>
      <c r="AB18" s="1547" t="s">
        <v>2465</v>
      </c>
      <c r="AC18" s="1629">
        <v>3</v>
      </c>
      <c r="AD18" s="1547"/>
      <c r="AE18" s="1547">
        <f t="shared" si="19"/>
        <v>500</v>
      </c>
      <c r="AF18" s="1547"/>
      <c r="AG18" s="1548">
        <f t="shared" si="20"/>
        <v>1500</v>
      </c>
      <c r="AH18" s="1548">
        <f t="shared" si="8"/>
        <v>18000</v>
      </c>
      <c r="AI18" s="559"/>
      <c r="AJ18" s="559"/>
      <c r="AK18" s="559"/>
      <c r="AL18" s="559"/>
      <c r="AN18" s="1603"/>
      <c r="AO18" s="1455">
        <f t="shared" si="9"/>
        <v>6</v>
      </c>
      <c r="AP18" s="1604">
        <f t="shared" si="10"/>
        <v>44439</v>
      </c>
      <c r="AR18" s="1606"/>
      <c r="AS18" s="1606">
        <f t="shared" si="11"/>
        <v>4255804</v>
      </c>
      <c r="AT18" s="1606"/>
      <c r="AU18" s="1606"/>
      <c r="AV18" s="1607"/>
      <c r="AW18" s="2128">
        <f t="shared" si="12"/>
        <v>84045</v>
      </c>
      <c r="AX18" s="1608"/>
      <c r="AY18" s="1606"/>
      <c r="AZ18" s="1568"/>
      <c r="BA18" s="1609">
        <f t="shared" si="2"/>
        <v>4339849</v>
      </c>
      <c r="BB18" s="1606">
        <f t="shared" si="3"/>
        <v>1540000</v>
      </c>
      <c r="BC18" s="1606"/>
      <c r="BD18" s="1610"/>
      <c r="BE18" s="1611"/>
      <c r="BF18" s="1612"/>
      <c r="BG18" s="1568"/>
      <c r="BH18" s="1568"/>
      <c r="BI18" s="1568">
        <f t="shared" si="13"/>
        <v>0</v>
      </c>
      <c r="BJ18" s="1613"/>
      <c r="BK18" s="1568">
        <f t="shared" si="4"/>
        <v>4339849</v>
      </c>
      <c r="BL18" s="1614"/>
      <c r="BM18" s="1615">
        <v>0</v>
      </c>
      <c r="BN18" s="1616">
        <f t="shared" si="5"/>
        <v>4339849</v>
      </c>
      <c r="BP18" s="1606">
        <f t="shared" si="6"/>
        <v>0</v>
      </c>
      <c r="BQ18" s="1606">
        <f t="shared" si="14"/>
        <v>0</v>
      </c>
      <c r="BR18" s="1617">
        <v>4339849</v>
      </c>
      <c r="BS18" s="1618">
        <f t="shared" si="15"/>
        <v>36357100</v>
      </c>
      <c r="BT18" s="1617"/>
      <c r="BU18" s="1618">
        <f t="shared" si="16"/>
        <v>0</v>
      </c>
      <c r="BV18" s="1619">
        <f t="shared" si="17"/>
        <v>36357100</v>
      </c>
      <c r="BW18" s="1620">
        <f t="shared" si="18"/>
        <v>84045</v>
      </c>
      <c r="BX18" s="1621"/>
      <c r="BY18" s="2151">
        <f t="shared" si="7"/>
        <v>84045</v>
      </c>
      <c r="BZ18" s="1568"/>
      <c r="CA18" s="559"/>
    </row>
    <row r="19" spans="1:79" ht="30">
      <c r="A19" s="1636" t="s">
        <v>2466</v>
      </c>
      <c r="B19" s="1637" t="s">
        <v>2467</v>
      </c>
      <c r="C19" s="1638" t="s">
        <v>2468</v>
      </c>
      <c r="D19" s="1639" t="s">
        <v>2421</v>
      </c>
      <c r="E19" s="1639" t="s">
        <v>2422</v>
      </c>
      <c r="F19" s="1639" t="s">
        <v>2469</v>
      </c>
      <c r="G19" s="2087" t="s">
        <v>2470</v>
      </c>
      <c r="H19" s="2087" t="s">
        <v>2471</v>
      </c>
      <c r="I19" s="1639" t="s">
        <v>2472</v>
      </c>
      <c r="J19" s="1639" t="s">
        <v>2473</v>
      </c>
      <c r="K19" s="1640" t="s">
        <v>2474</v>
      </c>
      <c r="N19" s="1641" t="s">
        <v>2702</v>
      </c>
      <c r="O19" s="1641"/>
      <c r="P19" s="1642"/>
      <c r="Q19" s="1643">
        <v>4300</v>
      </c>
      <c r="R19" s="1643"/>
      <c r="S19" s="559"/>
      <c r="T19" s="1644" t="s">
        <v>2475</v>
      </c>
      <c r="U19" s="1645"/>
      <c r="V19" s="1645"/>
      <c r="W19" s="1645"/>
      <c r="X19" s="1645"/>
      <c r="Y19" s="559"/>
      <c r="Z19" s="559"/>
      <c r="AA19" s="559"/>
      <c r="AB19" s="1547" t="s">
        <v>2476</v>
      </c>
      <c r="AC19" s="1629">
        <v>2</v>
      </c>
      <c r="AD19" s="1547"/>
      <c r="AE19" s="1547">
        <f t="shared" si="19"/>
        <v>500</v>
      </c>
      <c r="AF19" s="1547"/>
      <c r="AG19" s="1548">
        <f t="shared" si="20"/>
        <v>1000</v>
      </c>
      <c r="AH19" s="1548">
        <f t="shared" si="8"/>
        <v>12000</v>
      </c>
      <c r="AI19" s="559"/>
      <c r="AJ19" s="559"/>
      <c r="AK19" s="559"/>
      <c r="AL19" s="559"/>
      <c r="AN19" s="1603"/>
      <c r="AO19" s="1455">
        <f t="shared" si="9"/>
        <v>7</v>
      </c>
      <c r="AP19" s="1604">
        <f t="shared" si="10"/>
        <v>44469</v>
      </c>
      <c r="AR19" s="1606"/>
      <c r="AS19" s="1606">
        <f t="shared" si="11"/>
        <v>4255804</v>
      </c>
      <c r="AT19" s="1606"/>
      <c r="AU19" s="1606"/>
      <c r="AV19" s="1607"/>
      <c r="AW19" s="2128">
        <f t="shared" si="12"/>
        <v>95437</v>
      </c>
      <c r="AX19" s="1608"/>
      <c r="AY19" s="1606"/>
      <c r="AZ19" s="1568"/>
      <c r="BA19" s="1609">
        <f t="shared" si="2"/>
        <v>4351241</v>
      </c>
      <c r="BB19" s="1606">
        <f t="shared" si="3"/>
        <v>1540000</v>
      </c>
      <c r="BC19" s="1606"/>
      <c r="BD19" s="1610"/>
      <c r="BE19" s="1611"/>
      <c r="BF19" s="1612"/>
      <c r="BG19" s="1568"/>
      <c r="BH19" s="1568"/>
      <c r="BI19" s="1568">
        <f t="shared" si="13"/>
        <v>0</v>
      </c>
      <c r="BJ19" s="1613"/>
      <c r="BK19" s="1568">
        <f t="shared" si="4"/>
        <v>4351241</v>
      </c>
      <c r="BL19" s="1614"/>
      <c r="BM19" s="1615">
        <v>0</v>
      </c>
      <c r="BN19" s="1616">
        <f t="shared" si="5"/>
        <v>4351241</v>
      </c>
      <c r="BP19" s="1606">
        <f t="shared" si="6"/>
        <v>0</v>
      </c>
      <c r="BQ19" s="1606">
        <f t="shared" si="14"/>
        <v>0</v>
      </c>
      <c r="BR19" s="1617">
        <v>4351241</v>
      </c>
      <c r="BS19" s="1618">
        <f t="shared" si="15"/>
        <v>40708341</v>
      </c>
      <c r="BT19" s="1617"/>
      <c r="BU19" s="1618">
        <f t="shared" si="16"/>
        <v>0</v>
      </c>
      <c r="BV19" s="1619">
        <f t="shared" si="17"/>
        <v>40708341</v>
      </c>
      <c r="BW19" s="1620">
        <f t="shared" si="18"/>
        <v>95437</v>
      </c>
      <c r="BX19" s="1621"/>
      <c r="BY19" s="2151">
        <f t="shared" si="7"/>
        <v>95437</v>
      </c>
      <c r="BZ19" s="1568"/>
      <c r="CA19" s="559"/>
    </row>
    <row r="20" spans="1:79">
      <c r="A20" s="1646" t="s">
        <v>2427</v>
      </c>
      <c r="B20" s="1647">
        <v>400</v>
      </c>
      <c r="C20" s="1648">
        <v>0.3</v>
      </c>
      <c r="D20" s="1649">
        <v>10</v>
      </c>
      <c r="E20" s="1650">
        <f>B20*D20</f>
        <v>4000</v>
      </c>
      <c r="F20" s="1651">
        <v>672</v>
      </c>
      <c r="G20" s="2091">
        <v>36</v>
      </c>
      <c r="H20" s="2091"/>
      <c r="I20" s="1651">
        <f>+F20-G20-H20</f>
        <v>636</v>
      </c>
      <c r="J20" s="1651">
        <f>+D20*I20</f>
        <v>6360</v>
      </c>
      <c r="K20" s="1652">
        <f>+J20*12</f>
        <v>76320</v>
      </c>
      <c r="N20" s="1641" t="s">
        <v>2701</v>
      </c>
      <c r="O20" s="1641"/>
      <c r="P20" s="1642"/>
      <c r="Q20" s="1643">
        <v>5000</v>
      </c>
      <c r="S20" s="559"/>
      <c r="T20" s="1653" t="s">
        <v>2477</v>
      </c>
      <c r="U20" s="1654"/>
      <c r="V20" s="1655"/>
      <c r="W20" s="1655"/>
      <c r="X20" s="1656">
        <f>R59</f>
        <v>0</v>
      </c>
      <c r="Y20" s="559"/>
      <c r="Z20" s="559"/>
      <c r="AA20" s="559"/>
      <c r="AB20" s="1547" t="s">
        <v>2478</v>
      </c>
      <c r="AC20" s="1629">
        <v>0.25</v>
      </c>
      <c r="AD20" s="1547"/>
      <c r="AE20" s="1547">
        <f t="shared" si="19"/>
        <v>500</v>
      </c>
      <c r="AF20" s="1547"/>
      <c r="AG20" s="1548">
        <f t="shared" si="20"/>
        <v>125</v>
      </c>
      <c r="AH20" s="1548">
        <f t="shared" si="8"/>
        <v>1500</v>
      </c>
      <c r="AI20" s="559"/>
      <c r="AJ20" s="559"/>
      <c r="AK20" s="559"/>
      <c r="AL20" s="559"/>
      <c r="AN20" s="1603"/>
      <c r="AO20" s="1455">
        <f t="shared" si="9"/>
        <v>8</v>
      </c>
      <c r="AP20" s="1604">
        <f t="shared" si="10"/>
        <v>44500</v>
      </c>
      <c r="AR20" s="1606"/>
      <c r="AS20" s="1606">
        <f t="shared" si="11"/>
        <v>4255804</v>
      </c>
      <c r="AT20" s="1606"/>
      <c r="AU20" s="1606"/>
      <c r="AV20" s="1607"/>
      <c r="AW20" s="2128">
        <f t="shared" si="12"/>
        <v>106859</v>
      </c>
      <c r="AX20" s="1608"/>
      <c r="AY20" s="1606"/>
      <c r="AZ20" s="1568"/>
      <c r="BA20" s="1609">
        <f t="shared" si="2"/>
        <v>4362663</v>
      </c>
      <c r="BB20" s="1606">
        <f t="shared" si="3"/>
        <v>1540000</v>
      </c>
      <c r="BC20" s="1606"/>
      <c r="BD20" s="1610"/>
      <c r="BE20" s="1611"/>
      <c r="BF20" s="1612"/>
      <c r="BG20" s="1568"/>
      <c r="BH20" s="1568"/>
      <c r="BI20" s="1568">
        <f t="shared" si="13"/>
        <v>0</v>
      </c>
      <c r="BJ20" s="1613"/>
      <c r="BK20" s="1568">
        <f t="shared" si="4"/>
        <v>4362663</v>
      </c>
      <c r="BL20" s="1614"/>
      <c r="BM20" s="1615">
        <v>0</v>
      </c>
      <c r="BN20" s="1616">
        <f t="shared" si="5"/>
        <v>4362663</v>
      </c>
      <c r="BP20" s="1606">
        <f t="shared" si="6"/>
        <v>0</v>
      </c>
      <c r="BQ20" s="1606">
        <f t="shared" si="14"/>
        <v>0</v>
      </c>
      <c r="BR20" s="1617">
        <v>4362663</v>
      </c>
      <c r="BS20" s="1618">
        <f t="shared" si="15"/>
        <v>45071004</v>
      </c>
      <c r="BT20" s="1617"/>
      <c r="BU20" s="1618">
        <f t="shared" si="16"/>
        <v>0</v>
      </c>
      <c r="BV20" s="1619">
        <f t="shared" si="17"/>
        <v>45071004</v>
      </c>
      <c r="BW20" s="1620">
        <f t="shared" si="18"/>
        <v>106859</v>
      </c>
      <c r="BX20" s="1621"/>
      <c r="BY20" s="2151">
        <f t="shared" si="7"/>
        <v>106859</v>
      </c>
      <c r="BZ20" s="1568"/>
      <c r="CA20" s="559"/>
    </row>
    <row r="21" spans="1:79">
      <c r="A21" s="1657" t="s">
        <v>2427</v>
      </c>
      <c r="B21" s="1658">
        <v>400</v>
      </c>
      <c r="C21" s="1659">
        <v>0.4</v>
      </c>
      <c r="D21" s="1660">
        <v>32</v>
      </c>
      <c r="E21" s="1661">
        <f>B21*D21</f>
        <v>12800</v>
      </c>
      <c r="F21" s="1662">
        <v>897</v>
      </c>
      <c r="G21" s="2092">
        <v>36</v>
      </c>
      <c r="H21" s="2092"/>
      <c r="I21" s="1662">
        <f t="shared" ref="I21:I25" si="21">+F21-G21-H21</f>
        <v>861</v>
      </c>
      <c r="J21" s="1662">
        <f>+D21*I21</f>
        <v>27552</v>
      </c>
      <c r="K21" s="1663">
        <f t="shared" ref="K21:K25" si="22">+J21*12</f>
        <v>330624</v>
      </c>
      <c r="N21" s="1641" t="s">
        <v>2703</v>
      </c>
      <c r="Q21" s="1643">
        <v>5300</v>
      </c>
      <c r="R21" s="1643">
        <f>AI86</f>
        <v>5810.64</v>
      </c>
      <c r="S21" s="559"/>
      <c r="T21" s="1664" t="s">
        <v>2403</v>
      </c>
      <c r="U21" s="1665"/>
      <c r="V21" s="1665"/>
      <c r="W21" s="2109">
        <f>W5</f>
        <v>1.19</v>
      </c>
      <c r="X21" s="2110">
        <f>+X20/W21</f>
        <v>0</v>
      </c>
      <c r="Y21" s="559"/>
      <c r="Z21" s="559"/>
      <c r="AA21" s="559"/>
      <c r="AB21" s="1547" t="s">
        <v>2479</v>
      </c>
      <c r="AC21" s="1629">
        <v>1</v>
      </c>
      <c r="AD21" s="1547"/>
      <c r="AE21" s="1547">
        <f t="shared" si="19"/>
        <v>500</v>
      </c>
      <c r="AF21" s="1547"/>
      <c r="AG21" s="1548">
        <f t="shared" si="20"/>
        <v>500</v>
      </c>
      <c r="AH21" s="1548">
        <f t="shared" si="8"/>
        <v>6000</v>
      </c>
      <c r="AI21" s="559"/>
      <c r="AJ21" s="559"/>
      <c r="AK21" s="559"/>
      <c r="AL21" s="559"/>
      <c r="AN21" s="1603"/>
      <c r="AO21" s="1455">
        <f t="shared" si="9"/>
        <v>9</v>
      </c>
      <c r="AP21" s="1604">
        <f t="shared" si="10"/>
        <v>44530</v>
      </c>
      <c r="AR21" s="1606"/>
      <c r="AS21" s="1606">
        <f t="shared" si="11"/>
        <v>4255804</v>
      </c>
      <c r="AT21" s="1606"/>
      <c r="AU21" s="1606"/>
      <c r="AV21" s="1607"/>
      <c r="AW21" s="2128">
        <f t="shared" si="12"/>
        <v>118311</v>
      </c>
      <c r="AX21" s="1608"/>
      <c r="AY21" s="1606"/>
      <c r="AZ21" s="1568"/>
      <c r="BA21" s="1609">
        <f t="shared" si="2"/>
        <v>4374115</v>
      </c>
      <c r="BB21" s="1606">
        <f t="shared" si="3"/>
        <v>1540000</v>
      </c>
      <c r="BC21" s="1606"/>
      <c r="BD21" s="1610"/>
      <c r="BE21" s="1611"/>
      <c r="BF21" s="1612"/>
      <c r="BG21" s="1568"/>
      <c r="BH21" s="1568"/>
      <c r="BI21" s="1568">
        <f t="shared" si="13"/>
        <v>0</v>
      </c>
      <c r="BJ21" s="1613"/>
      <c r="BK21" s="1568">
        <f t="shared" si="4"/>
        <v>4374115</v>
      </c>
      <c r="BL21" s="1614"/>
      <c r="BM21" s="1615">
        <v>0</v>
      </c>
      <c r="BN21" s="1616">
        <f t="shared" si="5"/>
        <v>4374115</v>
      </c>
      <c r="BP21" s="1606">
        <f t="shared" si="6"/>
        <v>0</v>
      </c>
      <c r="BQ21" s="1606">
        <f t="shared" si="14"/>
        <v>0</v>
      </c>
      <c r="BR21" s="1617">
        <v>4374115</v>
      </c>
      <c r="BS21" s="1618">
        <f t="shared" si="15"/>
        <v>49445119</v>
      </c>
      <c r="BT21" s="1617"/>
      <c r="BU21" s="1618">
        <f t="shared" si="16"/>
        <v>0</v>
      </c>
      <c r="BV21" s="1619">
        <f t="shared" si="17"/>
        <v>49445119</v>
      </c>
      <c r="BW21" s="1620">
        <f t="shared" si="18"/>
        <v>118311</v>
      </c>
      <c r="BX21" s="1621"/>
      <c r="BY21" s="2151">
        <f t="shared" si="7"/>
        <v>118311</v>
      </c>
      <c r="BZ21" s="1568"/>
      <c r="CA21" s="559"/>
    </row>
    <row r="22" spans="1:79">
      <c r="A22" s="1657" t="s">
        <v>2427</v>
      </c>
      <c r="B22" s="1658">
        <v>400</v>
      </c>
      <c r="C22" s="1659">
        <v>0.5</v>
      </c>
      <c r="D22" s="1660">
        <v>31</v>
      </c>
      <c r="E22" s="1661">
        <f t="shared" ref="E22:E25" si="23">B22*D22</f>
        <v>12400</v>
      </c>
      <c r="F22" s="1662">
        <v>1121</v>
      </c>
      <c r="G22" s="2092">
        <v>36</v>
      </c>
      <c r="H22" s="2092"/>
      <c r="I22" s="1662">
        <f t="shared" si="21"/>
        <v>1085</v>
      </c>
      <c r="J22" s="1662">
        <f>+D22*I22</f>
        <v>33635</v>
      </c>
      <c r="K22" s="1663">
        <f t="shared" si="22"/>
        <v>403620</v>
      </c>
      <c r="S22" s="559"/>
      <c r="T22" s="1667" t="s">
        <v>2412</v>
      </c>
      <c r="U22" s="1668"/>
      <c r="V22" s="1669"/>
      <c r="W22" s="1669"/>
      <c r="X22" s="1670">
        <f>ROUND(W23+W24+W25,4)</f>
        <v>3.15E-2</v>
      </c>
      <c r="Y22" s="559"/>
      <c r="Z22" s="559"/>
      <c r="AA22" s="559"/>
      <c r="AB22" s="1547" t="s">
        <v>2481</v>
      </c>
      <c r="AC22" s="1629">
        <v>1.5</v>
      </c>
      <c r="AD22" s="1547"/>
      <c r="AE22" s="1547">
        <f t="shared" si="19"/>
        <v>500</v>
      </c>
      <c r="AF22" s="1547"/>
      <c r="AG22" s="1548">
        <f t="shared" si="20"/>
        <v>750</v>
      </c>
      <c r="AH22" s="1548">
        <f t="shared" si="8"/>
        <v>9000</v>
      </c>
      <c r="AI22" s="559"/>
      <c r="AJ22" s="559"/>
      <c r="AK22" s="559"/>
      <c r="AL22" s="559"/>
      <c r="AN22" s="1603"/>
      <c r="AO22" s="1455">
        <f t="shared" si="9"/>
        <v>10</v>
      </c>
      <c r="AP22" s="1604">
        <f t="shared" si="10"/>
        <v>44561</v>
      </c>
      <c r="AR22" s="1606"/>
      <c r="AS22" s="1606">
        <f t="shared" si="11"/>
        <v>4255804</v>
      </c>
      <c r="AT22" s="1606"/>
      <c r="AU22" s="1606"/>
      <c r="AV22" s="1607"/>
      <c r="AW22" s="2128">
        <f t="shared" si="12"/>
        <v>129793</v>
      </c>
      <c r="AX22" s="1608"/>
      <c r="AY22" s="1606"/>
      <c r="AZ22" s="1568"/>
      <c r="BA22" s="1609">
        <f t="shared" si="2"/>
        <v>4385597</v>
      </c>
      <c r="BB22" s="1606">
        <f t="shared" si="3"/>
        <v>1540000</v>
      </c>
      <c r="BC22" s="1606"/>
      <c r="BD22" s="1610"/>
      <c r="BE22" s="1611"/>
      <c r="BF22" s="1612"/>
      <c r="BG22" s="1568"/>
      <c r="BH22" s="1568"/>
      <c r="BI22" s="1568">
        <f t="shared" si="13"/>
        <v>0</v>
      </c>
      <c r="BJ22" s="1613"/>
      <c r="BK22" s="1568">
        <f t="shared" si="4"/>
        <v>4385597</v>
      </c>
      <c r="BL22" s="1614"/>
      <c r="BM22" s="1615">
        <v>0</v>
      </c>
      <c r="BN22" s="1616">
        <f t="shared" si="5"/>
        <v>4385597</v>
      </c>
      <c r="BP22" s="1606">
        <f t="shared" si="6"/>
        <v>0</v>
      </c>
      <c r="BQ22" s="1606">
        <f t="shared" si="14"/>
        <v>0</v>
      </c>
      <c r="BR22" s="1617">
        <v>4385597</v>
      </c>
      <c r="BS22" s="1618">
        <f t="shared" si="15"/>
        <v>53830716</v>
      </c>
      <c r="BT22" s="1617"/>
      <c r="BU22" s="1618">
        <f t="shared" si="16"/>
        <v>0</v>
      </c>
      <c r="BV22" s="1619">
        <f t="shared" si="17"/>
        <v>53830716</v>
      </c>
      <c r="BW22" s="1620">
        <f t="shared" si="18"/>
        <v>129793</v>
      </c>
      <c r="BX22" s="1621"/>
      <c r="BY22" s="2151">
        <f t="shared" si="7"/>
        <v>129793</v>
      </c>
      <c r="BZ22" s="1568"/>
      <c r="CA22" s="559"/>
    </row>
    <row r="23" spans="1:79">
      <c r="A23" s="1657" t="s">
        <v>2427</v>
      </c>
      <c r="B23" s="1658">
        <v>400</v>
      </c>
      <c r="C23" s="1659">
        <v>0.6</v>
      </c>
      <c r="D23" s="1660">
        <v>10</v>
      </c>
      <c r="E23" s="1661">
        <f t="shared" si="23"/>
        <v>4000</v>
      </c>
      <c r="F23" s="1662">
        <v>1345</v>
      </c>
      <c r="G23" s="2092">
        <v>36</v>
      </c>
      <c r="H23" s="2092"/>
      <c r="I23" s="1662">
        <f t="shared" si="21"/>
        <v>1309</v>
      </c>
      <c r="J23" s="1662">
        <f>+D23*I23</f>
        <v>13090</v>
      </c>
      <c r="K23" s="1663">
        <f t="shared" si="22"/>
        <v>157080</v>
      </c>
      <c r="N23" s="1671" t="s">
        <v>2482</v>
      </c>
      <c r="O23" s="1672"/>
      <c r="P23" s="1671"/>
      <c r="Q23" s="1673">
        <f>AG88+AG89</f>
        <v>59.25</v>
      </c>
      <c r="R23" s="1673">
        <f>AH88+AH89</f>
        <v>711</v>
      </c>
      <c r="S23" s="559"/>
      <c r="T23" s="1674"/>
      <c r="U23" s="1665"/>
      <c r="V23" s="1665" t="s">
        <v>2416</v>
      </c>
      <c r="W23" s="1675">
        <f>+W7</f>
        <v>6.9499999999999996E-3</v>
      </c>
      <c r="X23" s="1676"/>
      <c r="Y23" s="559"/>
      <c r="Z23" s="559"/>
      <c r="AA23" s="559"/>
      <c r="AB23" s="1547" t="s">
        <v>2483</v>
      </c>
      <c r="AC23" s="1629">
        <v>1.5</v>
      </c>
      <c r="AD23" s="1547"/>
      <c r="AE23" s="1547">
        <f t="shared" si="19"/>
        <v>500</v>
      </c>
      <c r="AF23" s="1547"/>
      <c r="AG23" s="1548">
        <f t="shared" si="20"/>
        <v>750</v>
      </c>
      <c r="AH23" s="1548">
        <f t="shared" si="8"/>
        <v>9000</v>
      </c>
      <c r="AI23" s="559"/>
      <c r="AJ23" s="559"/>
      <c r="AK23" s="559"/>
      <c r="AL23" s="559"/>
      <c r="AN23" s="1603" t="s">
        <v>2480</v>
      </c>
      <c r="AO23" s="1455">
        <f t="shared" si="9"/>
        <v>11</v>
      </c>
      <c r="AP23" s="1604">
        <f t="shared" si="10"/>
        <v>44592</v>
      </c>
      <c r="AR23" s="1606"/>
      <c r="AS23" s="1606">
        <f t="shared" si="11"/>
        <v>4255804</v>
      </c>
      <c r="AT23" s="1606"/>
      <c r="AU23" s="1606"/>
      <c r="AV23" s="1607"/>
      <c r="AW23" s="2128">
        <f t="shared" si="12"/>
        <v>141306</v>
      </c>
      <c r="AX23" s="1608"/>
      <c r="AY23" s="1606"/>
      <c r="AZ23" s="1568"/>
      <c r="BA23" s="1609">
        <f t="shared" si="2"/>
        <v>4397110</v>
      </c>
      <c r="BB23" s="1606">
        <f t="shared" si="3"/>
        <v>1540000</v>
      </c>
      <c r="BC23" s="1606"/>
      <c r="BD23" s="1610">
        <f>BD6</f>
        <v>0.4</v>
      </c>
      <c r="BE23" s="1611"/>
      <c r="BF23" s="1612">
        <f>BF6</f>
        <v>8499987</v>
      </c>
      <c r="BG23" s="1568"/>
      <c r="BH23" s="1568"/>
      <c r="BI23" s="1568">
        <f t="shared" si="13"/>
        <v>0</v>
      </c>
      <c r="BJ23" s="1613"/>
      <c r="BK23" s="1568">
        <f t="shared" si="4"/>
        <v>-4102877</v>
      </c>
      <c r="BL23" s="1614"/>
      <c r="BM23" s="1615">
        <v>0</v>
      </c>
      <c r="BN23" s="1616">
        <f t="shared" si="5"/>
        <v>4397110</v>
      </c>
      <c r="BP23" s="1606">
        <f t="shared" si="6"/>
        <v>0</v>
      </c>
      <c r="BQ23" s="1606">
        <f t="shared" si="14"/>
        <v>0</v>
      </c>
      <c r="BR23" s="1617">
        <v>-4102876</v>
      </c>
      <c r="BS23" s="1618">
        <f t="shared" si="15"/>
        <v>49727840</v>
      </c>
      <c r="BT23" s="1617"/>
      <c r="BU23" s="1618">
        <f t="shared" si="16"/>
        <v>0</v>
      </c>
      <c r="BV23" s="1619">
        <f t="shared" si="17"/>
        <v>49727840</v>
      </c>
      <c r="BW23" s="1620">
        <f t="shared" si="18"/>
        <v>141306</v>
      </c>
      <c r="BX23" s="1621"/>
      <c r="BY23" s="2151">
        <f t="shared" si="7"/>
        <v>141306</v>
      </c>
      <c r="BZ23" s="1568"/>
      <c r="CA23" s="559"/>
    </row>
    <row r="24" spans="1:79">
      <c r="A24" s="1657" t="s">
        <v>2427</v>
      </c>
      <c r="B24" s="1658">
        <v>400</v>
      </c>
      <c r="C24" s="1659">
        <v>0.7</v>
      </c>
      <c r="D24" s="1660">
        <v>9</v>
      </c>
      <c r="E24" s="1661">
        <f t="shared" si="23"/>
        <v>3600</v>
      </c>
      <c r="F24" s="1662">
        <v>1569</v>
      </c>
      <c r="G24" s="2092">
        <v>36</v>
      </c>
      <c r="H24" s="2092"/>
      <c r="I24" s="1662">
        <f t="shared" si="21"/>
        <v>1533</v>
      </c>
      <c r="J24" s="1662">
        <f t="shared" ref="J24:J25" si="24">+D24*I24</f>
        <v>13797</v>
      </c>
      <c r="K24" s="1663">
        <f t="shared" si="22"/>
        <v>165564</v>
      </c>
      <c r="N24" s="1677" t="str">
        <f>AB90</f>
        <v>CSCDA PACE Program (Special Assessment)</v>
      </c>
      <c r="O24" s="1677"/>
      <c r="P24" s="1677"/>
      <c r="Q24" s="1678">
        <f>AG90</f>
        <v>0</v>
      </c>
      <c r="R24" s="1678">
        <f>AH90</f>
        <v>0</v>
      </c>
      <c r="S24" s="559"/>
      <c r="T24" s="1674"/>
      <c r="U24" s="1665"/>
      <c r="V24" s="1665" t="s">
        <v>2424</v>
      </c>
      <c r="W24" s="1675">
        <f>W8</f>
        <v>2.4E-2</v>
      </c>
      <c r="X24" s="1676"/>
      <c r="Y24" s="559"/>
      <c r="Z24" s="559"/>
      <c r="AA24" s="559"/>
      <c r="AB24" s="1547" t="s">
        <v>2484</v>
      </c>
      <c r="AC24" s="1629">
        <v>0.1</v>
      </c>
      <c r="AD24" s="1547"/>
      <c r="AE24" s="1547">
        <f t="shared" si="19"/>
        <v>500</v>
      </c>
      <c r="AF24" s="1547"/>
      <c r="AG24" s="1548">
        <f t="shared" si="20"/>
        <v>50</v>
      </c>
      <c r="AH24" s="1548">
        <f t="shared" si="8"/>
        <v>600</v>
      </c>
      <c r="AI24" s="559"/>
      <c r="AJ24" s="559"/>
      <c r="AK24" s="559"/>
      <c r="AL24" s="559"/>
      <c r="AN24" s="1603"/>
      <c r="AO24" s="1455">
        <f t="shared" si="9"/>
        <v>12</v>
      </c>
      <c r="AP24" s="1604">
        <f t="shared" si="10"/>
        <v>44620</v>
      </c>
      <c r="AR24" s="1606"/>
      <c r="AS24" s="1606">
        <f t="shared" si="11"/>
        <v>4255804</v>
      </c>
      <c r="AT24" s="1606"/>
      <c r="AU24" s="1606"/>
      <c r="AV24" s="1607"/>
      <c r="AW24" s="2128">
        <f t="shared" si="12"/>
        <v>130536</v>
      </c>
      <c r="AX24" s="1608"/>
      <c r="AY24" s="1606"/>
      <c r="AZ24" s="1568"/>
      <c r="BA24" s="1609">
        <f t="shared" si="2"/>
        <v>4386340</v>
      </c>
      <c r="BB24" s="1606">
        <f t="shared" si="3"/>
        <v>1540000</v>
      </c>
      <c r="BC24" s="1606"/>
      <c r="BD24" s="1610"/>
      <c r="BE24" s="1611"/>
      <c r="BF24" s="1612"/>
      <c r="BG24" s="1568"/>
      <c r="BH24" s="1568"/>
      <c r="BI24" s="1568">
        <f t="shared" si="13"/>
        <v>0</v>
      </c>
      <c r="BJ24" s="1613"/>
      <c r="BK24" s="1568">
        <f t="shared" si="4"/>
        <v>4386340</v>
      </c>
      <c r="BL24" s="1614"/>
      <c r="BM24" s="1615">
        <v>0</v>
      </c>
      <c r="BN24" s="1616">
        <f t="shared" si="5"/>
        <v>4386340</v>
      </c>
      <c r="BP24" s="1606">
        <f t="shared" si="6"/>
        <v>0</v>
      </c>
      <c r="BQ24" s="1606">
        <f t="shared" si="14"/>
        <v>0</v>
      </c>
      <c r="BR24" s="1617">
        <v>4386340</v>
      </c>
      <c r="BS24" s="1618">
        <f t="shared" si="15"/>
        <v>54114180</v>
      </c>
      <c r="BT24" s="1617"/>
      <c r="BU24" s="1618">
        <f t="shared" si="16"/>
        <v>0</v>
      </c>
      <c r="BV24" s="1619">
        <f t="shared" si="17"/>
        <v>54114180</v>
      </c>
      <c r="BW24" s="1620">
        <f t="shared" si="18"/>
        <v>130536</v>
      </c>
      <c r="BX24" s="1621"/>
      <c r="BY24" s="2151">
        <f t="shared" si="7"/>
        <v>130536</v>
      </c>
      <c r="BZ24" s="1568"/>
      <c r="CA24" s="559"/>
    </row>
    <row r="25" spans="1:79">
      <c r="A25" s="1679" t="s">
        <v>2427</v>
      </c>
      <c r="B25" s="1680">
        <v>400</v>
      </c>
      <c r="C25" s="1681">
        <v>0.8</v>
      </c>
      <c r="D25" s="1682">
        <v>8</v>
      </c>
      <c r="E25" s="1683">
        <f t="shared" si="23"/>
        <v>3200</v>
      </c>
      <c r="F25" s="1684">
        <v>1794</v>
      </c>
      <c r="G25" s="2094">
        <v>36</v>
      </c>
      <c r="H25" s="2094">
        <v>218</v>
      </c>
      <c r="I25" s="1684">
        <f t="shared" si="21"/>
        <v>1540</v>
      </c>
      <c r="J25" s="1684">
        <f t="shared" si="24"/>
        <v>12320</v>
      </c>
      <c r="K25" s="1685">
        <f t="shared" si="22"/>
        <v>147840</v>
      </c>
      <c r="N25" s="6" t="s">
        <v>2485</v>
      </c>
      <c r="O25" s="6"/>
      <c r="P25" s="6"/>
      <c r="Q25" s="1686">
        <f>SUM(Q23:Q24)</f>
        <v>59.25</v>
      </c>
      <c r="R25" s="1686">
        <f>SUM(R23:R24)</f>
        <v>711</v>
      </c>
      <c r="S25" s="559"/>
      <c r="T25" s="1687"/>
      <c r="U25" s="1688"/>
      <c r="V25" s="1688" t="s">
        <v>2428</v>
      </c>
      <c r="W25" s="1689">
        <f>W9</f>
        <v>5.0000000000000001E-4</v>
      </c>
      <c r="X25" s="1690"/>
      <c r="Y25" s="559"/>
      <c r="Z25" s="559"/>
      <c r="AA25" s="559"/>
      <c r="AB25" s="1547" t="s">
        <v>2486</v>
      </c>
      <c r="AC25" s="1629">
        <v>0.3</v>
      </c>
      <c r="AD25" s="1547"/>
      <c r="AE25" s="1547">
        <f t="shared" si="19"/>
        <v>500</v>
      </c>
      <c r="AF25" s="1547"/>
      <c r="AG25" s="1548">
        <f t="shared" si="20"/>
        <v>150</v>
      </c>
      <c r="AH25" s="1548">
        <f t="shared" si="8"/>
        <v>1800</v>
      </c>
      <c r="AI25" s="559"/>
      <c r="AJ25" s="559"/>
      <c r="AK25" s="559"/>
      <c r="AL25" s="559"/>
      <c r="AN25" s="1603"/>
      <c r="AO25" s="1455">
        <f t="shared" si="9"/>
        <v>13</v>
      </c>
      <c r="AP25" s="1604">
        <f t="shared" si="10"/>
        <v>44651</v>
      </c>
      <c r="AR25" s="1606"/>
      <c r="AS25" s="1606">
        <f t="shared" si="11"/>
        <v>4255804</v>
      </c>
      <c r="AT25" s="1606"/>
      <c r="AU25" s="1606"/>
      <c r="AV25" s="1607"/>
      <c r="AW25" s="2128">
        <f t="shared" si="12"/>
        <v>142050</v>
      </c>
      <c r="AX25" s="1608"/>
      <c r="AY25" s="1606"/>
      <c r="AZ25" s="1568"/>
      <c r="BA25" s="1609">
        <f t="shared" si="2"/>
        <v>4397854</v>
      </c>
      <c r="BB25" s="1606">
        <f t="shared" si="3"/>
        <v>1540000</v>
      </c>
      <c r="BC25" s="1606"/>
      <c r="BD25" s="1610"/>
      <c r="BE25" s="1611"/>
      <c r="BF25" s="1612"/>
      <c r="BG25" s="1568"/>
      <c r="BH25" s="1568"/>
      <c r="BI25" s="1568">
        <f t="shared" si="13"/>
        <v>0</v>
      </c>
      <c r="BJ25" s="1613"/>
      <c r="BK25" s="1568">
        <f t="shared" si="4"/>
        <v>4397854</v>
      </c>
      <c r="BL25" s="1614"/>
      <c r="BM25" s="1615">
        <v>0</v>
      </c>
      <c r="BN25" s="1616">
        <f t="shared" si="5"/>
        <v>4397854</v>
      </c>
      <c r="BP25" s="1606">
        <f t="shared" si="6"/>
        <v>0</v>
      </c>
      <c r="BQ25" s="1606">
        <f t="shared" si="14"/>
        <v>0</v>
      </c>
      <c r="BR25" s="1617">
        <v>4397854</v>
      </c>
      <c r="BS25" s="1618">
        <f t="shared" si="15"/>
        <v>58512034</v>
      </c>
      <c r="BT25" s="1617"/>
      <c r="BU25" s="1618">
        <f t="shared" si="16"/>
        <v>0</v>
      </c>
      <c r="BV25" s="1619">
        <f t="shared" si="17"/>
        <v>58512034</v>
      </c>
      <c r="BW25" s="1620">
        <f t="shared" si="18"/>
        <v>142050</v>
      </c>
      <c r="BX25" s="1621"/>
      <c r="BY25" s="2151">
        <f t="shared" si="7"/>
        <v>142050</v>
      </c>
      <c r="BZ25" s="1568"/>
      <c r="CA25" s="559"/>
    </row>
    <row r="26" spans="1:79">
      <c r="A26" s="1691" t="s">
        <v>2487</v>
      </c>
      <c r="B26" s="1692"/>
      <c r="C26" s="1693">
        <f>SUMPRODUCT(C20:C25,D20:D25)/D26</f>
        <v>0.49999999999999994</v>
      </c>
      <c r="D26" s="1694">
        <f>SUM(D20:D25)</f>
        <v>100</v>
      </c>
      <c r="E26" s="1695">
        <f>SUM(E20:E25)</f>
        <v>40000</v>
      </c>
      <c r="F26" s="1696"/>
      <c r="G26" s="2089"/>
      <c r="H26" s="2089"/>
      <c r="I26" s="1697">
        <f>SUMPRODUCT(D20:D25,I20:I25)/D26</f>
        <v>1067.54</v>
      </c>
      <c r="J26" s="1697">
        <f>SUM(J20:J25)</f>
        <v>106754</v>
      </c>
      <c r="K26" s="1698">
        <f>SUM(K20:K25)</f>
        <v>1281048</v>
      </c>
      <c r="S26" s="559"/>
      <c r="T26" s="1699"/>
      <c r="U26" s="1699"/>
      <c r="V26" s="1699"/>
      <c r="W26" s="1699"/>
      <c r="X26" s="1699"/>
      <c r="Y26" s="559"/>
      <c r="Z26" s="559"/>
      <c r="AA26" s="559"/>
      <c r="AB26" s="1547" t="s">
        <v>2488</v>
      </c>
      <c r="AC26" s="1629">
        <v>1.5</v>
      </c>
      <c r="AD26" s="1547"/>
      <c r="AE26" s="1547">
        <f t="shared" si="19"/>
        <v>500</v>
      </c>
      <c r="AF26" s="1547"/>
      <c r="AG26" s="1548">
        <f t="shared" si="20"/>
        <v>750</v>
      </c>
      <c r="AH26" s="1548">
        <f t="shared" si="8"/>
        <v>9000</v>
      </c>
      <c r="AI26" s="559"/>
      <c r="AJ26" s="559"/>
      <c r="AK26" s="559"/>
      <c r="AL26" s="559"/>
      <c r="AN26" s="1603"/>
      <c r="AO26" s="1455">
        <f t="shared" si="9"/>
        <v>14</v>
      </c>
      <c r="AP26" s="1604">
        <f t="shared" si="10"/>
        <v>44681</v>
      </c>
      <c r="AR26" s="1606"/>
      <c r="AS26" s="1606">
        <f t="shared" si="11"/>
        <v>4255804</v>
      </c>
      <c r="AT26" s="1606"/>
      <c r="AU26" s="1606"/>
      <c r="AV26" s="1607"/>
      <c r="AW26" s="2128">
        <f t="shared" si="12"/>
        <v>153594</v>
      </c>
      <c r="AX26" s="1608"/>
      <c r="AY26" s="1606"/>
      <c r="AZ26" s="1568"/>
      <c r="BA26" s="1609">
        <f t="shared" si="2"/>
        <v>4409398</v>
      </c>
      <c r="BB26" s="1606">
        <f t="shared" si="3"/>
        <v>1540000</v>
      </c>
      <c r="BC26" s="1606"/>
      <c r="BD26" s="1610"/>
      <c r="BE26" s="1611"/>
      <c r="BF26" s="1612"/>
      <c r="BG26" s="1568"/>
      <c r="BH26" s="1568"/>
      <c r="BI26" s="1568">
        <f t="shared" si="13"/>
        <v>0</v>
      </c>
      <c r="BJ26" s="1613"/>
      <c r="BK26" s="1568">
        <f t="shared" si="4"/>
        <v>4409398</v>
      </c>
      <c r="BL26" s="1614"/>
      <c r="BM26" s="1615">
        <v>0</v>
      </c>
      <c r="BN26" s="1616">
        <f t="shared" si="5"/>
        <v>4409398</v>
      </c>
      <c r="BP26" s="1606">
        <f t="shared" si="6"/>
        <v>0</v>
      </c>
      <c r="BQ26" s="1606">
        <f t="shared" si="14"/>
        <v>0</v>
      </c>
      <c r="BR26" s="1617">
        <v>4409398</v>
      </c>
      <c r="BS26" s="1618">
        <f t="shared" si="15"/>
        <v>62921432</v>
      </c>
      <c r="BT26" s="1617"/>
      <c r="BU26" s="1618">
        <f t="shared" si="16"/>
        <v>0</v>
      </c>
      <c r="BV26" s="1619">
        <f t="shared" si="17"/>
        <v>62921432</v>
      </c>
      <c r="BW26" s="1620">
        <f t="shared" si="18"/>
        <v>153594</v>
      </c>
      <c r="BX26" s="1621"/>
      <c r="BY26" s="2151">
        <f t="shared" si="7"/>
        <v>153594</v>
      </c>
      <c r="BZ26" s="1568"/>
      <c r="CA26" s="559"/>
    </row>
    <row r="27" spans="1:79">
      <c r="A27" s="1700"/>
      <c r="B27" s="1701"/>
      <c r="C27" s="1702"/>
      <c r="F27" s="1568"/>
      <c r="G27" s="2098"/>
      <c r="H27" s="2098"/>
      <c r="I27" s="1568"/>
      <c r="J27" s="1568"/>
      <c r="K27" s="1568"/>
      <c r="N27" s="1474" t="s">
        <v>2489</v>
      </c>
      <c r="O27" s="1481"/>
      <c r="P27" s="1474"/>
      <c r="Q27" s="1703">
        <f>AG94</f>
        <v>0</v>
      </c>
      <c r="R27" s="1703">
        <f>AH94</f>
        <v>0</v>
      </c>
      <c r="S27" s="559"/>
      <c r="T27" s="1664" t="s">
        <v>2436</v>
      </c>
      <c r="U27" s="1665"/>
      <c r="V27" s="1665"/>
      <c r="W27" s="1704">
        <v>40</v>
      </c>
      <c r="X27" s="1705" t="s">
        <v>2437</v>
      </c>
      <c r="Y27" s="559"/>
      <c r="Z27" s="559"/>
      <c r="AA27" s="559"/>
      <c r="AB27" s="1547" t="s">
        <v>2490</v>
      </c>
      <c r="AC27" s="1629">
        <v>0.5</v>
      </c>
      <c r="AD27" s="1547"/>
      <c r="AE27" s="1547">
        <f t="shared" si="19"/>
        <v>500</v>
      </c>
      <c r="AF27" s="1547"/>
      <c r="AG27" s="1548">
        <v>600</v>
      </c>
      <c r="AH27" s="1548">
        <f t="shared" si="8"/>
        <v>7200</v>
      </c>
      <c r="AI27" s="559"/>
      <c r="AJ27" s="559"/>
      <c r="AK27" s="559"/>
      <c r="AL27" s="559"/>
      <c r="AN27" s="1603"/>
      <c r="AO27" s="1455">
        <f t="shared" si="9"/>
        <v>15</v>
      </c>
      <c r="AP27" s="1604">
        <f t="shared" si="10"/>
        <v>44712</v>
      </c>
      <c r="AR27" s="1606"/>
      <c r="AS27" s="1606">
        <f t="shared" si="11"/>
        <v>4255804</v>
      </c>
      <c r="AT27" s="1606"/>
      <c r="AU27" s="1606"/>
      <c r="AV27" s="1607"/>
      <c r="AW27" s="2128">
        <f t="shared" si="12"/>
        <v>165169</v>
      </c>
      <c r="AX27" s="1608"/>
      <c r="AY27" s="1606"/>
      <c r="AZ27" s="1568"/>
      <c r="BA27" s="1609">
        <f t="shared" si="2"/>
        <v>4420973</v>
      </c>
      <c r="BB27" s="1606">
        <f t="shared" si="3"/>
        <v>1540000</v>
      </c>
      <c r="BC27" s="1606"/>
      <c r="BD27" s="1610"/>
      <c r="BE27" s="1611"/>
      <c r="BF27" s="1612"/>
      <c r="BG27" s="1568"/>
      <c r="BH27" s="1568"/>
      <c r="BI27" s="1568">
        <f t="shared" si="13"/>
        <v>0</v>
      </c>
      <c r="BJ27" s="1613"/>
      <c r="BK27" s="1568">
        <f t="shared" si="4"/>
        <v>4420973</v>
      </c>
      <c r="BL27" s="1614"/>
      <c r="BM27" s="1615">
        <v>0</v>
      </c>
      <c r="BN27" s="1616">
        <f t="shared" si="5"/>
        <v>4420973</v>
      </c>
      <c r="BP27" s="1606">
        <f t="shared" si="6"/>
        <v>0</v>
      </c>
      <c r="BQ27" s="1606">
        <f t="shared" si="14"/>
        <v>0</v>
      </c>
      <c r="BR27" s="1617">
        <v>4420973</v>
      </c>
      <c r="BS27" s="1618">
        <f t="shared" si="15"/>
        <v>67342405</v>
      </c>
      <c r="BT27" s="1617"/>
      <c r="BU27" s="1618">
        <f t="shared" si="16"/>
        <v>0</v>
      </c>
      <c r="BV27" s="1619">
        <f t="shared" si="17"/>
        <v>67342405</v>
      </c>
      <c r="BW27" s="1620">
        <f t="shared" si="18"/>
        <v>165169</v>
      </c>
      <c r="BX27" s="1621"/>
      <c r="BY27" s="2151">
        <f t="shared" si="7"/>
        <v>165169</v>
      </c>
      <c r="BZ27" s="1568"/>
      <c r="CA27" s="559"/>
    </row>
    <row r="28" spans="1:79">
      <c r="A28" s="1635" t="s">
        <v>2491</v>
      </c>
      <c r="B28" s="1455"/>
      <c r="F28" s="1568"/>
      <c r="G28" s="2098"/>
      <c r="H28" s="2098"/>
      <c r="I28" s="1568"/>
      <c r="J28" s="1568"/>
      <c r="K28" s="1568"/>
      <c r="S28" s="559"/>
      <c r="T28" s="1699"/>
      <c r="U28" s="1699"/>
      <c r="V28" s="1699"/>
      <c r="W28" s="1699"/>
      <c r="X28" s="1699"/>
      <c r="Y28" s="559"/>
      <c r="Z28" s="559"/>
      <c r="AA28" s="559"/>
      <c r="AB28" s="1547" t="s">
        <v>2492</v>
      </c>
      <c r="AC28" s="1629">
        <v>0.5</v>
      </c>
      <c r="AD28" s="1547"/>
      <c r="AE28" s="1547">
        <f t="shared" si="19"/>
        <v>500</v>
      </c>
      <c r="AF28" s="1547"/>
      <c r="AG28" s="1548">
        <v>600</v>
      </c>
      <c r="AH28" s="1548">
        <f t="shared" si="8"/>
        <v>7200</v>
      </c>
      <c r="AI28" s="559"/>
      <c r="AJ28" s="559"/>
      <c r="AK28" s="559"/>
      <c r="AL28" s="559"/>
      <c r="AN28" s="1603"/>
      <c r="AO28" s="1455">
        <f t="shared" si="9"/>
        <v>16</v>
      </c>
      <c r="AP28" s="1604">
        <f t="shared" si="10"/>
        <v>44742</v>
      </c>
      <c r="AR28" s="1606"/>
      <c r="AS28" s="1606">
        <f t="shared" si="11"/>
        <v>4255804</v>
      </c>
      <c r="AT28" s="1606"/>
      <c r="AU28" s="1606"/>
      <c r="AV28" s="1607"/>
      <c r="AW28" s="2128">
        <f t="shared" si="12"/>
        <v>176774</v>
      </c>
      <c r="AX28" s="1608"/>
      <c r="AY28" s="1606"/>
      <c r="AZ28" s="1568"/>
      <c r="BA28" s="1609">
        <f t="shared" si="2"/>
        <v>4432578</v>
      </c>
      <c r="BB28" s="1606">
        <f t="shared" si="3"/>
        <v>1540000</v>
      </c>
      <c r="BC28" s="1606"/>
      <c r="BD28" s="1610"/>
      <c r="BE28" s="1611"/>
      <c r="BF28" s="1612"/>
      <c r="BG28" s="1568"/>
      <c r="BH28" s="1568"/>
      <c r="BI28" s="1568">
        <f t="shared" si="13"/>
        <v>0</v>
      </c>
      <c r="BJ28" s="1613"/>
      <c r="BK28" s="1568">
        <f t="shared" si="4"/>
        <v>4432578</v>
      </c>
      <c r="BL28" s="1614"/>
      <c r="BM28" s="1615">
        <v>0</v>
      </c>
      <c r="BN28" s="1616">
        <f t="shared" si="5"/>
        <v>4432578</v>
      </c>
      <c r="BP28" s="1606">
        <f t="shared" si="6"/>
        <v>0</v>
      </c>
      <c r="BQ28" s="1606">
        <f t="shared" si="14"/>
        <v>0</v>
      </c>
      <c r="BR28" s="1617">
        <v>4432578</v>
      </c>
      <c r="BS28" s="1618">
        <f t="shared" si="15"/>
        <v>71774983</v>
      </c>
      <c r="BT28" s="1617"/>
      <c r="BU28" s="1618">
        <f t="shared" si="16"/>
        <v>0</v>
      </c>
      <c r="BV28" s="1619">
        <f t="shared" si="17"/>
        <v>71774983</v>
      </c>
      <c r="BW28" s="1620">
        <f t="shared" si="18"/>
        <v>176774</v>
      </c>
      <c r="BX28" s="1621"/>
      <c r="BY28" s="2151">
        <f t="shared" si="7"/>
        <v>176774</v>
      </c>
      <c r="BZ28" s="1568"/>
      <c r="CA28" s="559"/>
    </row>
    <row r="29" spans="1:79" ht="30">
      <c r="A29" s="1706" t="s">
        <v>2466</v>
      </c>
      <c r="B29" s="1707" t="s">
        <v>2420</v>
      </c>
      <c r="C29" s="1707" t="s">
        <v>2468</v>
      </c>
      <c r="D29" s="1639" t="s">
        <v>2421</v>
      </c>
      <c r="E29" s="1639" t="s">
        <v>2422</v>
      </c>
      <c r="F29" s="1708" t="s">
        <v>2469</v>
      </c>
      <c r="G29" s="2090" t="s">
        <v>2470</v>
      </c>
      <c r="H29" s="2090" t="s">
        <v>2471</v>
      </c>
      <c r="I29" s="1708" t="s">
        <v>2493</v>
      </c>
      <c r="J29" s="1708" t="s">
        <v>2494</v>
      </c>
      <c r="K29" s="1709" t="s">
        <v>2474</v>
      </c>
      <c r="N29" s="1474" t="s">
        <v>2495</v>
      </c>
      <c r="O29" s="1481"/>
      <c r="P29" s="1474"/>
      <c r="Q29" s="1526">
        <f>AG96</f>
        <v>14583.333333333334</v>
      </c>
      <c r="R29" s="1526">
        <f>AH96</f>
        <v>175000</v>
      </c>
      <c r="S29" s="559"/>
      <c r="T29" s="1667" t="s">
        <v>2450</v>
      </c>
      <c r="U29" s="1710"/>
      <c r="V29" s="1710"/>
      <c r="W29" s="1710"/>
      <c r="X29" s="1711">
        <v>0</v>
      </c>
      <c r="Y29" s="559"/>
      <c r="Z29" s="559"/>
      <c r="AA29" s="559"/>
      <c r="AB29" s="1547" t="s">
        <v>2496</v>
      </c>
      <c r="AC29" s="1547" t="s">
        <v>2457</v>
      </c>
      <c r="AD29" s="1547"/>
      <c r="AE29" s="1547"/>
      <c r="AF29" s="1547"/>
      <c r="AG29" s="1548">
        <v>0</v>
      </c>
      <c r="AH29" s="1548">
        <f t="shared" si="8"/>
        <v>0</v>
      </c>
      <c r="AI29" s="559"/>
      <c r="AJ29" s="559"/>
      <c r="AK29" s="559"/>
      <c r="AL29" s="559"/>
      <c r="AN29" s="1603"/>
      <c r="AO29" s="1455">
        <f t="shared" si="9"/>
        <v>17</v>
      </c>
      <c r="AP29" s="1604">
        <f t="shared" si="10"/>
        <v>44773</v>
      </c>
      <c r="AR29" s="1606"/>
      <c r="AS29" s="1606">
        <f t="shared" si="11"/>
        <v>4255804</v>
      </c>
      <c r="AT29" s="1606"/>
      <c r="AU29" s="1606"/>
      <c r="AV29" s="1607"/>
      <c r="AW29" s="2128">
        <f t="shared" si="12"/>
        <v>188409</v>
      </c>
      <c r="AX29" s="1608"/>
      <c r="AY29" s="1606"/>
      <c r="AZ29" s="1568"/>
      <c r="BA29" s="1609">
        <f t="shared" si="2"/>
        <v>4444213</v>
      </c>
      <c r="BB29" s="1606">
        <f t="shared" si="3"/>
        <v>1540000</v>
      </c>
      <c r="BC29" s="1606"/>
      <c r="BD29" s="1610"/>
      <c r="BE29" s="1611"/>
      <c r="BF29" s="1612"/>
      <c r="BG29" s="1568"/>
      <c r="BH29" s="1568"/>
      <c r="BI29" s="1568">
        <f t="shared" si="13"/>
        <v>0</v>
      </c>
      <c r="BJ29" s="1613"/>
      <c r="BK29" s="1568">
        <f t="shared" si="4"/>
        <v>4444213</v>
      </c>
      <c r="BL29" s="1614"/>
      <c r="BM29" s="1615">
        <v>0</v>
      </c>
      <c r="BN29" s="1616">
        <f t="shared" si="5"/>
        <v>4444213</v>
      </c>
      <c r="BP29" s="1606">
        <f t="shared" si="6"/>
        <v>0</v>
      </c>
      <c r="BQ29" s="1606">
        <f t="shared" si="14"/>
        <v>0</v>
      </c>
      <c r="BR29" s="1617">
        <v>4444213</v>
      </c>
      <c r="BS29" s="1618">
        <f t="shared" si="15"/>
        <v>76219196</v>
      </c>
      <c r="BT29" s="1617"/>
      <c r="BU29" s="1618">
        <f t="shared" si="16"/>
        <v>0</v>
      </c>
      <c r="BV29" s="1619">
        <f t="shared" si="17"/>
        <v>76219196</v>
      </c>
      <c r="BW29" s="1620">
        <f t="shared" si="18"/>
        <v>188409</v>
      </c>
      <c r="BX29" s="1621"/>
      <c r="BY29" s="2151">
        <f t="shared" si="7"/>
        <v>188409</v>
      </c>
      <c r="BZ29" s="1568"/>
      <c r="CA29" s="559"/>
    </row>
    <row r="30" spans="1:79">
      <c r="A30" s="1712" t="s">
        <v>2427</v>
      </c>
      <c r="B30" s="1713">
        <v>400</v>
      </c>
      <c r="C30" s="1714" t="s">
        <v>2497</v>
      </c>
      <c r="D30" s="1649">
        <v>3</v>
      </c>
      <c r="E30" s="1650">
        <f t="shared" ref="E30:E32" si="25">B30*D30</f>
        <v>1200</v>
      </c>
      <c r="F30" s="1715"/>
      <c r="G30" s="2091"/>
      <c r="H30" s="2091"/>
      <c r="I30" s="1715">
        <v>0</v>
      </c>
      <c r="J30" s="1715"/>
      <c r="K30" s="1716"/>
      <c r="N30" s="559"/>
      <c r="Q30" s="559"/>
      <c r="R30" s="559"/>
      <c r="S30" s="559"/>
      <c r="T30" s="1667" t="s">
        <v>2452</v>
      </c>
      <c r="U30" s="1710"/>
      <c r="V30" s="1710"/>
      <c r="W30" s="1717">
        <v>2.5000000000000001E-3</v>
      </c>
      <c r="X30" s="1711">
        <f>ROUND(X29*W30,0)</f>
        <v>0</v>
      </c>
      <c r="Y30" s="559"/>
      <c r="Z30" s="559"/>
      <c r="AA30" s="559"/>
      <c r="AB30" s="1547" t="s">
        <v>2498</v>
      </c>
      <c r="AC30" s="1629">
        <v>1</v>
      </c>
      <c r="AD30" s="1547"/>
      <c r="AE30" s="1547">
        <f>AE$3</f>
        <v>500</v>
      </c>
      <c r="AF30" s="1547"/>
      <c r="AG30" s="1548">
        <f>AC30*AE30</f>
        <v>500</v>
      </c>
      <c r="AH30" s="1548">
        <f t="shared" si="8"/>
        <v>6000</v>
      </c>
      <c r="AI30" s="559"/>
      <c r="AJ30" s="559"/>
      <c r="AK30" s="559"/>
      <c r="AL30" s="559"/>
      <c r="AN30" s="2127"/>
      <c r="AO30" s="1455">
        <f t="shared" si="9"/>
        <v>18</v>
      </c>
      <c r="AP30" s="1604">
        <f t="shared" si="10"/>
        <v>44804</v>
      </c>
      <c r="AR30" s="1606"/>
      <c r="AS30" s="1606">
        <f t="shared" si="11"/>
        <v>4255804</v>
      </c>
      <c r="AT30" s="1606"/>
      <c r="AU30" s="1606"/>
      <c r="AV30" s="1607"/>
      <c r="AW30" s="2128">
        <f t="shared" si="12"/>
        <v>200075</v>
      </c>
      <c r="AX30" s="1608"/>
      <c r="AY30" s="1606"/>
      <c r="AZ30" s="1718"/>
      <c r="BA30" s="1609">
        <f t="shared" si="2"/>
        <v>4455879</v>
      </c>
      <c r="BB30" s="1606">
        <f t="shared" si="3"/>
        <v>1540000</v>
      </c>
      <c r="BC30" s="1606"/>
      <c r="BD30" s="1610"/>
      <c r="BE30" s="1611"/>
      <c r="BF30" s="1612"/>
      <c r="BG30" s="1568"/>
      <c r="BH30" s="1568"/>
      <c r="BI30" s="1568">
        <f t="shared" si="13"/>
        <v>0</v>
      </c>
      <c r="BJ30" s="1613"/>
      <c r="BK30" s="1568">
        <f t="shared" si="4"/>
        <v>4455879</v>
      </c>
      <c r="BL30" s="1614"/>
      <c r="BM30" s="1615">
        <v>0</v>
      </c>
      <c r="BN30" s="1616">
        <f t="shared" si="5"/>
        <v>4455879</v>
      </c>
      <c r="BP30" s="1606">
        <f t="shared" si="6"/>
        <v>0</v>
      </c>
      <c r="BQ30" s="1606">
        <f t="shared" si="14"/>
        <v>0</v>
      </c>
      <c r="BR30" s="1617">
        <v>4455879</v>
      </c>
      <c r="BS30" s="1618">
        <f t="shared" si="15"/>
        <v>80675075</v>
      </c>
      <c r="BT30" s="1617"/>
      <c r="BU30" s="1618">
        <f t="shared" si="16"/>
        <v>0</v>
      </c>
      <c r="BV30" s="1619">
        <f t="shared" si="17"/>
        <v>80675075</v>
      </c>
      <c r="BW30" s="1620">
        <f t="shared" si="18"/>
        <v>200075</v>
      </c>
      <c r="BX30" s="1621"/>
      <c r="BY30" s="2151">
        <f t="shared" si="7"/>
        <v>200075</v>
      </c>
      <c r="BZ30" s="1568"/>
      <c r="CA30" s="559"/>
    </row>
    <row r="31" spans="1:79">
      <c r="A31" s="1719" t="s">
        <v>2432</v>
      </c>
      <c r="B31" s="1720">
        <v>700</v>
      </c>
      <c r="C31" s="1721" t="s">
        <v>2497</v>
      </c>
      <c r="D31" s="1660">
        <v>1</v>
      </c>
      <c r="E31" s="1661">
        <f t="shared" si="25"/>
        <v>700</v>
      </c>
      <c r="F31" s="1722"/>
      <c r="G31" s="2092"/>
      <c r="H31" s="2092"/>
      <c r="I31" s="1722">
        <v>0</v>
      </c>
      <c r="J31" s="1722"/>
      <c r="K31" s="1723"/>
      <c r="N31" s="1552" t="s">
        <v>1221</v>
      </c>
      <c r="O31" s="1552"/>
      <c r="P31" s="1552"/>
      <c r="Q31" s="1553">
        <f>+Q16+Q17+Q25+Q27+Q29</f>
        <v>256752.58333333334</v>
      </c>
      <c r="R31" s="1553">
        <f>+R16+R17+R25+R27+R29</f>
        <v>3081031</v>
      </c>
      <c r="S31" s="559"/>
      <c r="T31" s="1687" t="s">
        <v>2455</v>
      </c>
      <c r="U31" s="1724"/>
      <c r="V31" s="1724"/>
      <c r="W31" s="1724"/>
      <c r="X31" s="1725">
        <f>ROUND(PMT(X22/12,W27*12,-X29)*12,0)</f>
        <v>0</v>
      </c>
      <c r="Y31" s="559"/>
      <c r="Z31" s="559"/>
      <c r="AA31" s="559"/>
      <c r="AB31" s="1547" t="s">
        <v>2500</v>
      </c>
      <c r="AC31" s="1547" t="s">
        <v>2457</v>
      </c>
      <c r="AD31" s="1547"/>
      <c r="AE31" s="1547"/>
      <c r="AF31" s="1547"/>
      <c r="AG31" s="1548">
        <v>350</v>
      </c>
      <c r="AH31" s="1548">
        <f t="shared" si="8"/>
        <v>4200</v>
      </c>
      <c r="AI31" s="559"/>
      <c r="AJ31" s="559"/>
      <c r="AK31" s="559"/>
      <c r="AL31" s="559"/>
      <c r="AN31" s="1603"/>
      <c r="AO31" s="1455">
        <f t="shared" si="9"/>
        <v>19</v>
      </c>
      <c r="AP31" s="1604">
        <f t="shared" si="10"/>
        <v>44834</v>
      </c>
      <c r="AR31" s="1606"/>
      <c r="AS31" s="1606">
        <f t="shared" si="11"/>
        <v>4255804</v>
      </c>
      <c r="AT31" s="1606"/>
      <c r="AU31" s="1606"/>
      <c r="AV31" s="1607"/>
      <c r="AW31" s="2128">
        <f t="shared" si="12"/>
        <v>211772</v>
      </c>
      <c r="AX31" s="1608"/>
      <c r="AY31" s="1606"/>
      <c r="AZ31" s="1568"/>
      <c r="BA31" s="1609">
        <f t="shared" si="2"/>
        <v>4467576</v>
      </c>
      <c r="BB31" s="1606">
        <f t="shared" si="3"/>
        <v>1540000</v>
      </c>
      <c r="BC31" s="1606"/>
      <c r="BD31" s="1610"/>
      <c r="BE31" s="1611"/>
      <c r="BF31" s="1612"/>
      <c r="BG31" s="1568"/>
      <c r="BH31" s="1568"/>
      <c r="BI31" s="1568">
        <f t="shared" si="13"/>
        <v>0</v>
      </c>
      <c r="BJ31" s="1613"/>
      <c r="BK31" s="1568">
        <f t="shared" si="4"/>
        <v>4467576</v>
      </c>
      <c r="BL31" s="1614"/>
      <c r="BM31" s="1615">
        <v>0</v>
      </c>
      <c r="BN31" s="1616">
        <f t="shared" si="5"/>
        <v>4467576</v>
      </c>
      <c r="BP31" s="1606">
        <f t="shared" si="6"/>
        <v>0</v>
      </c>
      <c r="BQ31" s="1606">
        <f t="shared" si="14"/>
        <v>0</v>
      </c>
      <c r="BR31" s="1617">
        <v>4467576</v>
      </c>
      <c r="BS31" s="1618">
        <f t="shared" si="15"/>
        <v>85142651</v>
      </c>
      <c r="BT31" s="1617"/>
      <c r="BU31" s="1618">
        <f t="shared" si="16"/>
        <v>0</v>
      </c>
      <c r="BV31" s="1619">
        <f t="shared" si="17"/>
        <v>85142651</v>
      </c>
      <c r="BW31" s="1620">
        <f t="shared" si="18"/>
        <v>211772</v>
      </c>
      <c r="BX31" s="1621"/>
      <c r="BY31" s="2151">
        <f t="shared" si="7"/>
        <v>211772</v>
      </c>
      <c r="BZ31" s="1568"/>
      <c r="CA31" s="559"/>
    </row>
    <row r="32" spans="1:79">
      <c r="A32" s="1726"/>
      <c r="B32" s="1727"/>
      <c r="C32" s="1727"/>
      <c r="D32" s="1728"/>
      <c r="E32" s="1729">
        <f t="shared" si="25"/>
        <v>0</v>
      </c>
      <c r="F32" s="1730"/>
      <c r="G32" s="2099"/>
      <c r="H32" s="2099"/>
      <c r="I32" s="1731">
        <v>0</v>
      </c>
      <c r="J32" s="1730"/>
      <c r="K32" s="1732"/>
      <c r="N32" s="559"/>
      <c r="O32" s="559"/>
      <c r="P32" s="559"/>
      <c r="Q32" s="559"/>
      <c r="R32" s="559"/>
      <c r="S32" s="559"/>
      <c r="T32" s="1687" t="s">
        <v>2455</v>
      </c>
      <c r="U32" s="1724"/>
      <c r="V32" s="1724"/>
      <c r="W32" s="1724"/>
      <c r="X32" s="1725">
        <f>ROUND(SUM(X30:X31),0)</f>
        <v>0</v>
      </c>
      <c r="Y32" s="559"/>
      <c r="Z32" s="559"/>
      <c r="AA32" s="559"/>
      <c r="AB32" s="1733" t="s">
        <v>2501</v>
      </c>
      <c r="AC32" s="1734"/>
      <c r="AD32" s="1734"/>
      <c r="AE32" s="1733"/>
      <c r="AF32" s="1733"/>
      <c r="AG32" s="1735">
        <f>SUM(AG14:AG31)</f>
        <v>10675</v>
      </c>
      <c r="AH32" s="1735">
        <f>SUM(AH14:AH31)</f>
        <v>128100</v>
      </c>
      <c r="AI32" s="559"/>
      <c r="AJ32" s="559"/>
      <c r="AK32" s="559"/>
      <c r="AL32" s="559"/>
      <c r="AN32" s="1603"/>
      <c r="AO32" s="1455">
        <f t="shared" si="9"/>
        <v>20</v>
      </c>
      <c r="AP32" s="1604">
        <f t="shared" si="10"/>
        <v>44865</v>
      </c>
      <c r="AR32" s="1606"/>
      <c r="AS32" s="1606">
        <f>ROUND(AS$8/21,0)</f>
        <v>4255804</v>
      </c>
      <c r="AT32" s="1606"/>
      <c r="AU32" s="1606"/>
      <c r="AV32" s="1607"/>
      <c r="AW32" s="2128">
        <f t="shared" si="12"/>
        <v>223499</v>
      </c>
      <c r="AX32" s="1608"/>
      <c r="AY32" s="1606"/>
      <c r="AZ32" s="1568"/>
      <c r="BA32" s="1609">
        <f t="shared" si="2"/>
        <v>4479303</v>
      </c>
      <c r="BB32" s="1606">
        <f t="shared" si="3"/>
        <v>1540000</v>
      </c>
      <c r="BC32" s="1606"/>
      <c r="BD32" s="1610"/>
      <c r="BE32" s="1611"/>
      <c r="BF32" s="1612"/>
      <c r="BG32" s="1568"/>
      <c r="BH32" s="1568"/>
      <c r="BI32" s="1568">
        <f t="shared" si="13"/>
        <v>0</v>
      </c>
      <c r="BJ32" s="1613"/>
      <c r="BK32" s="1568">
        <f t="shared" si="4"/>
        <v>4479303</v>
      </c>
      <c r="BL32" s="1614"/>
      <c r="BM32" s="1615">
        <v>0</v>
      </c>
      <c r="BN32" s="1616">
        <f t="shared" si="5"/>
        <v>4479303</v>
      </c>
      <c r="BP32" s="1606">
        <f t="shared" si="6"/>
        <v>0</v>
      </c>
      <c r="BQ32" s="1606">
        <f t="shared" si="14"/>
        <v>0</v>
      </c>
      <c r="BR32" s="1617">
        <v>4479303</v>
      </c>
      <c r="BS32" s="1618">
        <f t="shared" si="15"/>
        <v>89621954</v>
      </c>
      <c r="BT32" s="1617"/>
      <c r="BU32" s="1618">
        <f t="shared" si="16"/>
        <v>0</v>
      </c>
      <c r="BV32" s="1619">
        <f t="shared" si="17"/>
        <v>89621954</v>
      </c>
      <c r="BW32" s="1620">
        <f t="shared" si="18"/>
        <v>223499</v>
      </c>
      <c r="BX32" s="1621"/>
      <c r="BY32" s="2151">
        <f t="shared" si="7"/>
        <v>223499</v>
      </c>
      <c r="BZ32" s="1568"/>
      <c r="CA32" s="559"/>
    </row>
    <row r="33" spans="1:81" ht="45">
      <c r="A33" s="1736" t="s">
        <v>2502</v>
      </c>
      <c r="B33" s="1737"/>
      <c r="C33" s="1738"/>
      <c r="D33" s="1739">
        <f>SUM(D30:D32)</f>
        <v>4</v>
      </c>
      <c r="E33" s="1740">
        <f>SUM(E30:E32)</f>
        <v>1900</v>
      </c>
      <c r="F33" s="1741">
        <v>0</v>
      </c>
      <c r="G33" s="2093">
        <v>0</v>
      </c>
      <c r="H33" s="2093"/>
      <c r="I33" s="1741">
        <v>0</v>
      </c>
      <c r="J33" s="1741">
        <v>0</v>
      </c>
      <c r="K33" s="1742">
        <v>0</v>
      </c>
      <c r="N33" s="1552" t="s">
        <v>2503</v>
      </c>
      <c r="O33" s="1552"/>
      <c r="P33" s="1552"/>
      <c r="Q33" s="1553">
        <f>Q8-Q31</f>
        <v>426245.16666666663</v>
      </c>
      <c r="R33" s="1553">
        <f>R8-R31</f>
        <v>5114942</v>
      </c>
      <c r="S33" s="559"/>
      <c r="T33" s="1665"/>
      <c r="U33" s="1665"/>
      <c r="V33" s="1665"/>
      <c r="W33" s="1665"/>
      <c r="X33" s="1666"/>
      <c r="Y33" s="559"/>
      <c r="Z33" s="559"/>
      <c r="AA33" s="559"/>
      <c r="AB33" s="1733" t="s">
        <v>2504</v>
      </c>
      <c r="AC33" s="1733" t="s">
        <v>2457</v>
      </c>
      <c r="AD33" s="1733"/>
      <c r="AE33" s="1733"/>
      <c r="AF33" s="1733"/>
      <c r="AG33" s="1735">
        <v>1500</v>
      </c>
      <c r="AH33" s="1735">
        <f>ROUND(AG33*12,0)</f>
        <v>18000</v>
      </c>
      <c r="AI33" s="559"/>
      <c r="AJ33" s="559"/>
      <c r="AK33" s="559"/>
      <c r="AL33" s="559"/>
      <c r="AN33" s="1603" t="s">
        <v>2499</v>
      </c>
      <c r="AO33" s="1455">
        <f t="shared" si="9"/>
        <v>21</v>
      </c>
      <c r="AP33" s="1604">
        <f t="shared" si="10"/>
        <v>44895</v>
      </c>
      <c r="AR33" s="1606"/>
      <c r="AS33" s="1606">
        <f>AS3-SUM(AS12:AS32)</f>
        <v>4255810</v>
      </c>
      <c r="AT33" s="1606">
        <f>ROUND(AT3/2,0)</f>
        <v>2234298</v>
      </c>
      <c r="AU33" s="1606"/>
      <c r="AV33" s="1607"/>
      <c r="AW33" s="2128">
        <f t="shared" si="12"/>
        <v>235258</v>
      </c>
      <c r="AX33" s="1608"/>
      <c r="AY33" s="1606">
        <f>AY7</f>
        <v>660000</v>
      </c>
      <c r="AZ33" s="1718">
        <f>AZ3</f>
        <v>1800874</v>
      </c>
      <c r="BA33" s="1609">
        <f t="shared" si="2"/>
        <v>9186240</v>
      </c>
      <c r="BB33" s="1606">
        <f t="shared" si="3"/>
        <v>880000</v>
      </c>
      <c r="BC33" s="1606"/>
      <c r="BD33" s="1610">
        <f>BD7</f>
        <v>0.4</v>
      </c>
      <c r="BE33" s="1611"/>
      <c r="BF33" s="1612">
        <f>BF7</f>
        <v>8499987</v>
      </c>
      <c r="BG33" s="1568"/>
      <c r="BH33" s="1568"/>
      <c r="BI33" s="1568">
        <f>BI3-SUM(BI12:BI32)</f>
        <v>0</v>
      </c>
      <c r="BJ33" s="1613"/>
      <c r="BK33" s="1568">
        <f>-SUM(BK12:BK32)</f>
        <v>-89621953</v>
      </c>
      <c r="BL33" s="1614">
        <f>BL3</f>
        <v>92430000</v>
      </c>
      <c r="BM33" s="1615">
        <v>0</v>
      </c>
      <c r="BN33" s="1616">
        <f t="shared" si="5"/>
        <v>11308034</v>
      </c>
      <c r="BP33" s="1606">
        <f t="shared" si="6"/>
        <v>2121794</v>
      </c>
      <c r="BQ33" s="1606">
        <f t="shared" si="14"/>
        <v>2121794</v>
      </c>
      <c r="BR33" s="1617">
        <v>-89621954</v>
      </c>
      <c r="BS33" s="1618">
        <f t="shared" si="15"/>
        <v>0</v>
      </c>
      <c r="BT33" s="1617">
        <f>BL3</f>
        <v>92430000</v>
      </c>
      <c r="BU33" s="1618">
        <f t="shared" si="16"/>
        <v>92430000</v>
      </c>
      <c r="BV33" s="1619">
        <f t="shared" si="17"/>
        <v>92430000</v>
      </c>
      <c r="BW33" s="1620">
        <f t="shared" si="18"/>
        <v>235258</v>
      </c>
      <c r="BX33" s="1621"/>
      <c r="BY33" s="2151">
        <f t="shared" si="7"/>
        <v>235258</v>
      </c>
      <c r="BZ33" s="1568"/>
      <c r="CA33" s="559"/>
    </row>
    <row r="34" spans="1:81" ht="15.75" thickBot="1">
      <c r="A34" s="1700"/>
      <c r="B34" s="1743"/>
      <c r="C34" s="1744"/>
      <c r="F34" s="1568"/>
      <c r="G34" s="2098"/>
      <c r="H34" s="2098"/>
      <c r="I34" s="1568"/>
      <c r="J34" s="1568"/>
      <c r="K34" s="1568"/>
      <c r="N34" s="559"/>
      <c r="O34" s="559"/>
      <c r="P34" s="559"/>
      <c r="Q34" s="559"/>
      <c r="R34" s="559"/>
      <c r="S34" s="559"/>
      <c r="Y34" s="559"/>
      <c r="Z34" s="559"/>
      <c r="AA34" s="559"/>
      <c r="AB34" s="1733" t="s">
        <v>386</v>
      </c>
      <c r="AC34" s="1733" t="s">
        <v>2457</v>
      </c>
      <c r="AD34" s="1733"/>
      <c r="AE34" s="1733"/>
      <c r="AF34" s="1733"/>
      <c r="AG34" s="1735">
        <v>1000</v>
      </c>
      <c r="AH34" s="1735">
        <f>ROUND(AG34*12,0)</f>
        <v>12000</v>
      </c>
      <c r="AI34" s="559"/>
      <c r="AJ34" s="559"/>
      <c r="AK34" s="559"/>
      <c r="AL34" s="559"/>
      <c r="AN34" s="2129" t="s">
        <v>2584</v>
      </c>
      <c r="AO34" s="2130">
        <f>+AO33+12</f>
        <v>33</v>
      </c>
      <c r="AP34" s="2131">
        <f>EOMONTH(AP33,12)</f>
        <v>45260</v>
      </c>
      <c r="AQ34" s="2133"/>
      <c r="AR34" s="2134"/>
      <c r="AS34" s="2134"/>
      <c r="AT34" s="2134">
        <f>AT3-AT33</f>
        <v>2234297</v>
      </c>
      <c r="AU34" s="2134"/>
      <c r="AV34" s="2135"/>
      <c r="AW34" s="2136"/>
      <c r="AX34" s="2137"/>
      <c r="AY34" s="2134">
        <f>AY8</f>
        <v>770000</v>
      </c>
      <c r="AZ34" s="2138"/>
      <c r="BA34" s="2139">
        <f t="shared" si="2"/>
        <v>3004297</v>
      </c>
      <c r="BB34" s="1606">
        <f t="shared" si="3"/>
        <v>110000</v>
      </c>
      <c r="BC34" s="1606"/>
      <c r="BD34" s="1610"/>
      <c r="BE34" s="1611"/>
      <c r="BF34" s="2152"/>
      <c r="BG34" s="2138"/>
      <c r="BH34" s="2138"/>
      <c r="BI34" s="2138"/>
      <c r="BJ34" s="2138"/>
      <c r="BK34" s="2138"/>
      <c r="BL34" s="2153"/>
      <c r="BM34" s="2154">
        <v>992503</v>
      </c>
      <c r="BN34" s="2155">
        <f t="shared" si="5"/>
        <v>992503</v>
      </c>
      <c r="BP34" s="1606">
        <f t="shared" si="6"/>
        <v>-2011794</v>
      </c>
      <c r="BQ34" s="1606">
        <f t="shared" si="14"/>
        <v>110000</v>
      </c>
      <c r="BR34" s="1617"/>
      <c r="BS34" s="1618">
        <f t="shared" si="15"/>
        <v>0</v>
      </c>
      <c r="BT34" s="1617"/>
      <c r="BU34" s="1618">
        <f t="shared" si="16"/>
        <v>92430000</v>
      </c>
      <c r="BV34" s="1619">
        <f t="shared" si="17"/>
        <v>92430000</v>
      </c>
      <c r="BW34" s="2148">
        <f>ROUND(BS33*BW$10,0)</f>
        <v>0</v>
      </c>
      <c r="BX34" s="2149"/>
      <c r="BY34" s="2149">
        <f t="shared" si="7"/>
        <v>0</v>
      </c>
      <c r="BZ34" s="1568"/>
      <c r="CA34" s="559"/>
    </row>
    <row r="35" spans="1:81" ht="15.75" thickBot="1">
      <c r="A35" s="1635" t="s">
        <v>2505</v>
      </c>
      <c r="B35" s="1455"/>
      <c r="F35" s="1568"/>
      <c r="G35" s="2098"/>
      <c r="H35" s="2098"/>
      <c r="I35" s="1568"/>
      <c r="J35" s="1568"/>
      <c r="K35" s="1568"/>
      <c r="N35" s="559"/>
      <c r="O35" s="559"/>
      <c r="P35" s="559"/>
      <c r="Q35" s="559"/>
      <c r="R35" s="559"/>
      <c r="S35" s="559"/>
      <c r="T35" s="1745" t="s">
        <v>2506</v>
      </c>
      <c r="U35" s="1746"/>
      <c r="V35" s="1746"/>
      <c r="W35" s="1746"/>
      <c r="X35" s="1747"/>
      <c r="Y35" s="559"/>
      <c r="Z35" s="559"/>
      <c r="AA35" s="559"/>
      <c r="AB35" s="1733" t="s">
        <v>2507</v>
      </c>
      <c r="AC35" s="1733" t="s">
        <v>2457</v>
      </c>
      <c r="AD35" s="1733"/>
      <c r="AE35" s="1733"/>
      <c r="AF35" s="1733"/>
      <c r="AG35" s="1735">
        <v>2000</v>
      </c>
      <c r="AH35" s="1735">
        <f>ROUND(AG35*12,0)</f>
        <v>24000</v>
      </c>
      <c r="AI35" s="559"/>
      <c r="AJ35" s="559"/>
      <c r="AK35" s="559"/>
      <c r="AL35" s="559"/>
      <c r="AN35" s="2129"/>
      <c r="AO35" s="2130">
        <f t="shared" si="9"/>
        <v>34</v>
      </c>
      <c r="AP35" s="2131">
        <f t="shared" si="10"/>
        <v>45291</v>
      </c>
      <c r="AQ35" s="2133"/>
      <c r="AR35" s="2134"/>
      <c r="AS35" s="2134"/>
      <c r="AT35" s="2134"/>
      <c r="AU35" s="2134"/>
      <c r="AV35" s="2135"/>
      <c r="AW35" s="2136"/>
      <c r="AX35" s="2137"/>
      <c r="AY35" s="2134"/>
      <c r="AZ35" s="2138"/>
      <c r="BA35" s="2139">
        <f t="shared" si="2"/>
        <v>0</v>
      </c>
      <c r="BB35" s="1606">
        <f t="shared" si="3"/>
        <v>110000</v>
      </c>
      <c r="BC35" s="1606"/>
      <c r="BD35" s="1610"/>
      <c r="BE35" s="1611"/>
      <c r="BF35" s="2152"/>
      <c r="BG35" s="2138"/>
      <c r="BH35" s="2138"/>
      <c r="BI35" s="2138"/>
      <c r="BJ35" s="2138"/>
      <c r="BK35" s="2138"/>
      <c r="BL35" s="2153"/>
      <c r="BM35" s="2154">
        <v>0</v>
      </c>
      <c r="BN35" s="2155">
        <f t="shared" si="5"/>
        <v>0</v>
      </c>
      <c r="BP35" s="1606">
        <f t="shared" si="6"/>
        <v>0</v>
      </c>
      <c r="BQ35" s="1606">
        <f t="shared" si="14"/>
        <v>110000</v>
      </c>
      <c r="BR35" s="1617"/>
      <c r="BS35" s="1618">
        <f t="shared" si="15"/>
        <v>0</v>
      </c>
      <c r="BT35" s="1617"/>
      <c r="BU35" s="1618">
        <f t="shared" si="16"/>
        <v>92430000</v>
      </c>
      <c r="BV35" s="1619">
        <f t="shared" si="17"/>
        <v>92430000</v>
      </c>
      <c r="BW35" s="2148"/>
      <c r="BX35" s="2149"/>
      <c r="BY35" s="2149"/>
      <c r="BZ35" s="1568"/>
      <c r="CA35" s="559"/>
    </row>
    <row r="36" spans="1:81" ht="30">
      <c r="A36" s="1748" t="s">
        <v>2466</v>
      </c>
      <c r="B36" s="1749" t="s">
        <v>2420</v>
      </c>
      <c r="C36" s="1749" t="s">
        <v>2468</v>
      </c>
      <c r="D36" s="1639" t="s">
        <v>2421</v>
      </c>
      <c r="E36" s="1639" t="s">
        <v>2422</v>
      </c>
      <c r="F36" s="1708" t="s">
        <v>2469</v>
      </c>
      <c r="G36" s="2090" t="s">
        <v>2470</v>
      </c>
      <c r="H36" s="2090" t="s">
        <v>2471</v>
      </c>
      <c r="I36" s="1708" t="s">
        <v>2472</v>
      </c>
      <c r="J36" s="1708" t="s">
        <v>2473</v>
      </c>
      <c r="K36" s="1709" t="s">
        <v>2474</v>
      </c>
      <c r="N36" s="1645" t="s">
        <v>2508</v>
      </c>
      <c r="O36" s="1645"/>
      <c r="P36" s="1645"/>
      <c r="Q36" s="1645"/>
      <c r="R36" s="1645"/>
      <c r="S36" s="559"/>
      <c r="T36" s="1750"/>
      <c r="U36" s="1751"/>
      <c r="V36" s="2159" t="s">
        <v>2666</v>
      </c>
      <c r="W36" s="2159" t="s">
        <v>2509</v>
      </c>
      <c r="X36" s="2160" t="s">
        <v>2510</v>
      </c>
      <c r="Y36" s="559"/>
      <c r="Z36" s="559"/>
      <c r="AA36" s="559"/>
      <c r="AB36" s="1733" t="s">
        <v>2511</v>
      </c>
      <c r="AC36" s="1733" t="s">
        <v>2457</v>
      </c>
      <c r="AD36" s="1733"/>
      <c r="AE36" s="1733"/>
      <c r="AF36" s="1733"/>
      <c r="AG36" s="1735">
        <v>1000</v>
      </c>
      <c r="AH36" s="1735">
        <f>ROUND(AG36*12,0)</f>
        <v>12000</v>
      </c>
      <c r="AI36" s="559"/>
      <c r="AJ36" s="559"/>
      <c r="AK36" s="559"/>
      <c r="AL36" s="559"/>
      <c r="AN36" s="2129"/>
      <c r="AO36" s="2130">
        <f t="shared" si="9"/>
        <v>35</v>
      </c>
      <c r="AP36" s="2131">
        <f t="shared" si="10"/>
        <v>45322</v>
      </c>
      <c r="AQ36" s="2133"/>
      <c r="AR36" s="2134"/>
      <c r="AS36" s="2134"/>
      <c r="AT36" s="2134"/>
      <c r="AU36" s="2134"/>
      <c r="AV36" s="2135"/>
      <c r="AW36" s="2136"/>
      <c r="AX36" s="2137"/>
      <c r="AY36" s="2134"/>
      <c r="AZ36" s="2138"/>
      <c r="BA36" s="2139">
        <f t="shared" si="2"/>
        <v>0</v>
      </c>
      <c r="BB36" s="1606">
        <f t="shared" si="3"/>
        <v>110000</v>
      </c>
      <c r="BC36" s="1606"/>
      <c r="BD36" s="1610"/>
      <c r="BE36" s="1611"/>
      <c r="BF36" s="2152"/>
      <c r="BG36" s="2138"/>
      <c r="BH36" s="2138"/>
      <c r="BI36" s="2138"/>
      <c r="BJ36" s="2138"/>
      <c r="BK36" s="2138"/>
      <c r="BL36" s="2153"/>
      <c r="BM36" s="2154">
        <v>0</v>
      </c>
      <c r="BN36" s="2155">
        <f t="shared" si="5"/>
        <v>0</v>
      </c>
      <c r="BP36" s="1606">
        <f t="shared" si="6"/>
        <v>0</v>
      </c>
      <c r="BQ36" s="1606">
        <f t="shared" si="14"/>
        <v>110000</v>
      </c>
      <c r="BR36" s="1617"/>
      <c r="BS36" s="1618">
        <f t="shared" si="15"/>
        <v>0</v>
      </c>
      <c r="BT36" s="1617"/>
      <c r="BU36" s="1618">
        <f t="shared" si="16"/>
        <v>92430000</v>
      </c>
      <c r="BV36" s="1619">
        <f t="shared" si="17"/>
        <v>92430000</v>
      </c>
      <c r="BW36" s="2148"/>
      <c r="BX36" s="2149"/>
      <c r="BY36" s="2149"/>
      <c r="BZ36" s="1568"/>
      <c r="CA36" s="559"/>
    </row>
    <row r="37" spans="1:81">
      <c r="A37" s="1752" t="s">
        <v>2427</v>
      </c>
      <c r="B37" s="1753">
        <v>400</v>
      </c>
      <c r="C37" s="1754">
        <v>0.7</v>
      </c>
      <c r="D37" s="1755">
        <v>307</v>
      </c>
      <c r="E37" s="1756">
        <f t="shared" ref="E37:E40" si="26">B37*D37</f>
        <v>122800</v>
      </c>
      <c r="F37" s="1715">
        <v>1569</v>
      </c>
      <c r="G37" s="2091">
        <v>36</v>
      </c>
      <c r="H37" s="2091"/>
      <c r="I37" s="1715">
        <f t="shared" ref="I37:I40" si="27">+F37-G37-H37</f>
        <v>1533</v>
      </c>
      <c r="J37" s="1715">
        <f>+D37*I37</f>
        <v>470631</v>
      </c>
      <c r="K37" s="1716">
        <f>+J37*12</f>
        <v>5647572</v>
      </c>
      <c r="N37" s="1664" t="s">
        <v>2386</v>
      </c>
      <c r="O37" s="1665"/>
      <c r="P37" s="1665"/>
      <c r="Q37" s="1665"/>
      <c r="R37" s="1665"/>
      <c r="S37" s="559"/>
      <c r="T37" s="1757" t="s">
        <v>2512</v>
      </c>
      <c r="U37" s="1758"/>
      <c r="V37" s="1759">
        <f>+X4</f>
        <v>5114942</v>
      </c>
      <c r="W37" s="1759">
        <f>X13</f>
        <v>92430000</v>
      </c>
      <c r="X37" s="1760">
        <f>X16</f>
        <v>4298176</v>
      </c>
      <c r="Y37" s="559"/>
      <c r="Z37" s="559"/>
      <c r="AA37" s="1761" t="s">
        <v>2513</v>
      </c>
      <c r="AB37" s="1762" t="s">
        <v>2514</v>
      </c>
      <c r="AC37" s="1763"/>
      <c r="AD37" s="1763"/>
      <c r="AE37" s="1764"/>
      <c r="AF37" s="1764"/>
      <c r="AG37" s="1765">
        <f>SUM(AG32:AG36)</f>
        <v>16175</v>
      </c>
      <c r="AH37" s="1766">
        <f>SUM(AH32:AH36)</f>
        <v>194100</v>
      </c>
      <c r="AI37" s="559"/>
      <c r="AJ37" s="559"/>
      <c r="AK37" s="559"/>
      <c r="AL37" s="559"/>
      <c r="AN37" s="2129" t="s">
        <v>2588</v>
      </c>
      <c r="AO37" s="2130">
        <f t="shared" si="9"/>
        <v>36</v>
      </c>
      <c r="AP37" s="2131">
        <f t="shared" si="10"/>
        <v>45351</v>
      </c>
      <c r="AQ37" s="2133"/>
      <c r="AR37" s="2134"/>
      <c r="AS37" s="2134"/>
      <c r="AT37" s="2134"/>
      <c r="AU37" s="2134"/>
      <c r="AV37" s="2135"/>
      <c r="AW37" s="2136"/>
      <c r="AX37" s="2137"/>
      <c r="AY37" s="2134">
        <f>AY9</f>
        <v>110000</v>
      </c>
      <c r="AZ37" s="2138"/>
      <c r="BA37" s="2139">
        <f t="shared" si="2"/>
        <v>110000</v>
      </c>
      <c r="BB37" s="1606">
        <f t="shared" si="3"/>
        <v>0</v>
      </c>
      <c r="BC37" s="1606"/>
      <c r="BD37" s="1610"/>
      <c r="BE37" s="1611"/>
      <c r="BF37" s="2152"/>
      <c r="BG37" s="2138"/>
      <c r="BH37" s="2138"/>
      <c r="BI37" s="2138"/>
      <c r="BJ37" s="2138"/>
      <c r="BK37" s="2138"/>
      <c r="BL37" s="2153"/>
      <c r="BM37" s="2154">
        <v>0</v>
      </c>
      <c r="BN37" s="2155">
        <f t="shared" si="5"/>
        <v>0</v>
      </c>
      <c r="BP37" s="1606">
        <f t="shared" si="6"/>
        <v>-110000</v>
      </c>
      <c r="BQ37" s="1606">
        <f t="shared" si="14"/>
        <v>0</v>
      </c>
      <c r="BR37" s="1617"/>
      <c r="BS37" s="1618">
        <f t="shared" si="15"/>
        <v>0</v>
      </c>
      <c r="BT37" s="1617"/>
      <c r="BU37" s="1618">
        <f t="shared" si="16"/>
        <v>92430000</v>
      </c>
      <c r="BV37" s="1619">
        <f t="shared" si="17"/>
        <v>92430000</v>
      </c>
      <c r="BW37" s="2148"/>
      <c r="BX37" s="2149"/>
      <c r="BY37" s="2149"/>
      <c r="BZ37" s="1568"/>
    </row>
    <row r="38" spans="1:81" ht="15.75" thickBot="1">
      <c r="A38" s="1767" t="s">
        <v>2427</v>
      </c>
      <c r="B38" s="1768">
        <v>400</v>
      </c>
      <c r="C38" s="1769">
        <v>0.8</v>
      </c>
      <c r="D38" s="1682">
        <v>89</v>
      </c>
      <c r="E38" s="1770">
        <f t="shared" si="26"/>
        <v>35600</v>
      </c>
      <c r="F38" s="1771">
        <v>1794</v>
      </c>
      <c r="G38" s="2094">
        <v>36</v>
      </c>
      <c r="H38" s="2094">
        <v>218</v>
      </c>
      <c r="I38" s="1771">
        <f t="shared" si="27"/>
        <v>1540</v>
      </c>
      <c r="J38" s="1771">
        <f t="shared" ref="J38:J40" si="28">+D38*I38</f>
        <v>137060</v>
      </c>
      <c r="K38" s="1772">
        <f t="shared" ref="K38:K40" si="29">+J38*12</f>
        <v>1644720</v>
      </c>
      <c r="N38" s="1665"/>
      <c r="O38" s="1665"/>
      <c r="P38" s="1773" t="s">
        <v>2515</v>
      </c>
      <c r="Q38" s="1774" t="s">
        <v>2390</v>
      </c>
      <c r="R38" s="1774" t="s">
        <v>2391</v>
      </c>
      <c r="S38" s="559"/>
      <c r="T38" s="1775" t="s">
        <v>2516</v>
      </c>
      <c r="U38" s="1776"/>
      <c r="V38" s="1777">
        <f>X20</f>
        <v>0</v>
      </c>
      <c r="W38" s="1777">
        <f>X29</f>
        <v>0</v>
      </c>
      <c r="X38" s="1778">
        <f>X32</f>
        <v>0</v>
      </c>
      <c r="Y38" s="559"/>
      <c r="Z38" s="559"/>
      <c r="AA38" s="1761"/>
      <c r="AB38" s="559"/>
      <c r="AC38" s="559"/>
      <c r="AD38" s="559"/>
      <c r="AE38" s="559"/>
      <c r="AF38" s="559"/>
      <c r="AG38" s="559"/>
      <c r="AH38" s="559"/>
      <c r="AI38" s="559"/>
      <c r="AJ38" s="559"/>
      <c r="AK38" s="559"/>
      <c r="AL38" s="559"/>
      <c r="AN38" s="2129"/>
      <c r="AO38" s="2130"/>
      <c r="AP38" s="2131"/>
      <c r="AQ38" s="2133"/>
      <c r="AR38" s="2134"/>
      <c r="AS38" s="2134"/>
      <c r="AT38" s="2134"/>
      <c r="AU38" s="2134"/>
      <c r="AV38" s="2135"/>
      <c r="AW38" s="2134"/>
      <c r="AX38" s="2137"/>
      <c r="AY38" s="2130"/>
      <c r="AZ38" s="2138"/>
      <c r="BA38" s="2139"/>
      <c r="BB38" s="1606">
        <f>+BB37-AY39</f>
        <v>0</v>
      </c>
      <c r="BC38" s="1606"/>
      <c r="BD38" s="1610"/>
      <c r="BE38" s="1611"/>
      <c r="BF38" s="2152"/>
      <c r="BG38" s="2138"/>
      <c r="BH38" s="2138"/>
      <c r="BI38" s="2138"/>
      <c r="BJ38" s="2138"/>
      <c r="BK38" s="2138"/>
      <c r="BL38" s="2153"/>
      <c r="BM38" s="2154"/>
      <c r="BN38" s="2155"/>
      <c r="BP38" s="1606">
        <f t="shared" si="6"/>
        <v>0</v>
      </c>
      <c r="BQ38" s="1606">
        <f t="shared" si="14"/>
        <v>0</v>
      </c>
      <c r="BR38" s="1617"/>
      <c r="BS38" s="1618">
        <f t="shared" si="15"/>
        <v>0</v>
      </c>
      <c r="BT38" s="1617"/>
      <c r="BU38" s="1618">
        <f t="shared" si="16"/>
        <v>92430000</v>
      </c>
      <c r="BV38" s="1619">
        <f t="shared" si="17"/>
        <v>92430000</v>
      </c>
      <c r="BW38" s="2148"/>
      <c r="BX38" s="2149"/>
      <c r="BY38" s="2149"/>
      <c r="BZ38" s="1568"/>
    </row>
    <row r="39" spans="1:81" ht="15.75" thickBot="1">
      <c r="A39" s="1779"/>
      <c r="B39" s="1754"/>
      <c r="C39" s="1780"/>
      <c r="D39" s="1660">
        <v>0</v>
      </c>
      <c r="E39" s="1781">
        <f t="shared" si="26"/>
        <v>0</v>
      </c>
      <c r="F39" s="1722"/>
      <c r="G39" s="2092"/>
      <c r="H39" s="2092"/>
      <c r="I39" s="1722">
        <f t="shared" si="27"/>
        <v>0</v>
      </c>
      <c r="J39" s="1722">
        <f t="shared" si="28"/>
        <v>0</v>
      </c>
      <c r="K39" s="1723">
        <f t="shared" si="29"/>
        <v>0</v>
      </c>
      <c r="N39" s="1665"/>
      <c r="O39" s="1782">
        <f>E49</f>
        <v>0</v>
      </c>
      <c r="P39" s="1783">
        <f>24/12</f>
        <v>2</v>
      </c>
      <c r="Q39" s="1666">
        <f>+O39*P39</f>
        <v>0</v>
      </c>
      <c r="R39" s="1666">
        <f>+Q39*12</f>
        <v>0</v>
      </c>
      <c r="S39" s="559"/>
      <c r="T39" s="1784" t="s">
        <v>983</v>
      </c>
      <c r="U39" s="1785"/>
      <c r="V39" s="1785"/>
      <c r="W39" s="1786">
        <f>SUM(W37:W38)</f>
        <v>92430000</v>
      </c>
      <c r="X39" s="1787">
        <f>SUM(X37:X38)</f>
        <v>4298176</v>
      </c>
      <c r="Y39" s="559"/>
      <c r="Z39" s="559"/>
      <c r="AA39" s="1761" t="s">
        <v>2513</v>
      </c>
      <c r="AB39" s="1584" t="s">
        <v>2517</v>
      </c>
      <c r="AC39" s="1788">
        <v>0.04</v>
      </c>
      <c r="AD39" s="1788">
        <v>0.95</v>
      </c>
      <c r="AE39" s="1585"/>
      <c r="AF39" s="1585"/>
      <c r="AG39" s="1586">
        <f>ROUND(MAX(AC39*AD39*AG9,45*AD3),0)</f>
        <v>27320</v>
      </c>
      <c r="AH39" s="1587">
        <f>ROUND(AG39*12,0)</f>
        <v>327840</v>
      </c>
      <c r="AI39" s="515"/>
      <c r="AJ39" s="559"/>
      <c r="AK39" s="559"/>
      <c r="AL39" s="559"/>
      <c r="AN39" s="2129"/>
      <c r="AO39" s="2130"/>
      <c r="AP39" s="2131"/>
      <c r="AQ39" s="2133"/>
      <c r="AR39" s="2134"/>
      <c r="AS39" s="2134"/>
      <c r="AT39" s="2134"/>
      <c r="AU39" s="2134"/>
      <c r="AV39" s="2135"/>
      <c r="AW39" s="2134"/>
      <c r="AX39" s="2137"/>
      <c r="AY39" s="2134"/>
      <c r="AZ39" s="2138"/>
      <c r="BA39" s="2139"/>
      <c r="BB39" s="1606" t="e">
        <f>+BB38-#REF!</f>
        <v>#REF!</v>
      </c>
      <c r="BC39" s="1606"/>
      <c r="BD39" s="1610"/>
      <c r="BE39" s="1611"/>
      <c r="BF39" s="2152"/>
      <c r="BG39" s="2138"/>
      <c r="BH39" s="2138"/>
      <c r="BI39" s="2138"/>
      <c r="BJ39" s="2138"/>
      <c r="BK39" s="2138"/>
      <c r="BL39" s="2153"/>
      <c r="BM39" s="2154"/>
      <c r="BN39" s="2155"/>
      <c r="BP39" s="1606">
        <f t="shared" si="6"/>
        <v>0</v>
      </c>
      <c r="BQ39" s="1606">
        <f t="shared" si="14"/>
        <v>0</v>
      </c>
      <c r="BR39" s="1617"/>
      <c r="BS39" s="1618">
        <f t="shared" si="15"/>
        <v>0</v>
      </c>
      <c r="BT39" s="1617"/>
      <c r="BU39" s="1618">
        <f t="shared" si="16"/>
        <v>92430000</v>
      </c>
      <c r="BV39" s="1619">
        <f t="shared" si="17"/>
        <v>92430000</v>
      </c>
      <c r="BW39" s="2148"/>
      <c r="BX39" s="2149"/>
      <c r="BY39" s="2149"/>
      <c r="BZ39" s="1568"/>
    </row>
    <row r="40" spans="1:81" ht="15.75" thickBot="1">
      <c r="A40" s="1767"/>
      <c r="B40" s="1789"/>
      <c r="C40" s="1769"/>
      <c r="D40" s="1682">
        <v>0</v>
      </c>
      <c r="E40" s="1770">
        <f t="shared" si="26"/>
        <v>0</v>
      </c>
      <c r="F40" s="1771"/>
      <c r="G40" s="2094"/>
      <c r="H40" s="2094"/>
      <c r="I40" s="1771">
        <f t="shared" si="27"/>
        <v>0</v>
      </c>
      <c r="J40" s="1771">
        <f t="shared" si="28"/>
        <v>0</v>
      </c>
      <c r="K40" s="1772">
        <f t="shared" si="29"/>
        <v>0</v>
      </c>
      <c r="N40" s="1688"/>
      <c r="O40" s="1688"/>
      <c r="P40" s="1688"/>
      <c r="Q40" s="1790"/>
      <c r="R40" s="1790"/>
      <c r="S40" s="559"/>
      <c r="Y40" s="559"/>
      <c r="Z40" s="559"/>
      <c r="AA40" s="1761"/>
      <c r="AB40" s="1733" t="s">
        <v>2518</v>
      </c>
      <c r="AC40" s="1791">
        <v>7</v>
      </c>
      <c r="AD40" s="1733"/>
      <c r="AE40" s="1733">
        <f>AE$3</f>
        <v>500</v>
      </c>
      <c r="AF40" s="1733"/>
      <c r="AG40" s="1735">
        <f>AC40*AE40</f>
        <v>3500</v>
      </c>
      <c r="AH40" s="1735">
        <f>ROUND(AG40*12,0)</f>
        <v>42000</v>
      </c>
      <c r="AI40" s="559"/>
      <c r="AJ40" s="559"/>
      <c r="AK40" s="559"/>
      <c r="AL40" s="559"/>
      <c r="AN40" s="2129"/>
      <c r="AO40" s="2130"/>
      <c r="AP40" s="2131"/>
      <c r="AQ40" s="2133"/>
      <c r="AR40" s="2134"/>
      <c r="AS40" s="2134"/>
      <c r="AT40" s="2134"/>
      <c r="AU40" s="2134"/>
      <c r="AV40" s="2135"/>
      <c r="AW40" s="2134"/>
      <c r="AX40" s="2137"/>
      <c r="AY40" s="2134"/>
      <c r="AZ40" s="2138"/>
      <c r="BA40" s="2139"/>
      <c r="BB40" s="1606" t="e">
        <f t="shared" si="3"/>
        <v>#REF!</v>
      </c>
      <c r="BC40" s="1606"/>
      <c r="BD40" s="1792"/>
      <c r="BE40" s="1611"/>
      <c r="BF40" s="2152"/>
      <c r="BG40" s="2138"/>
      <c r="BH40" s="2138"/>
      <c r="BI40" s="2138"/>
      <c r="BJ40" s="2138"/>
      <c r="BK40" s="2138"/>
      <c r="BL40" s="2153"/>
      <c r="BM40" s="2154"/>
      <c r="BN40" s="2155"/>
      <c r="BP40" s="1606">
        <f t="shared" si="6"/>
        <v>0</v>
      </c>
      <c r="BQ40" s="1606">
        <f t="shared" si="14"/>
        <v>0</v>
      </c>
      <c r="BR40" s="1617"/>
      <c r="BS40" s="1618">
        <f t="shared" si="15"/>
        <v>0</v>
      </c>
      <c r="BT40" s="1617"/>
      <c r="BU40" s="1618">
        <f t="shared" si="16"/>
        <v>92430000</v>
      </c>
      <c r="BV40" s="1619">
        <f t="shared" si="17"/>
        <v>92430000</v>
      </c>
      <c r="BW40" s="2148"/>
      <c r="BX40" s="2149"/>
      <c r="BY40" s="2149"/>
      <c r="BZ40" s="1568"/>
    </row>
    <row r="41" spans="1:81" ht="30.75" thickBot="1">
      <c r="A41" s="1793" t="s">
        <v>2519</v>
      </c>
      <c r="B41" s="1794"/>
      <c r="C41" s="1795"/>
      <c r="D41" s="2088">
        <f>SUM(D37:D40)</f>
        <v>396</v>
      </c>
      <c r="E41" s="1796">
        <f>SUM(E37:E40)</f>
        <v>158400</v>
      </c>
      <c r="F41" s="1797"/>
      <c r="G41" s="2095"/>
      <c r="H41" s="2095"/>
      <c r="I41" s="1797">
        <f>SUMPRODUCT(D37:D40,I37:I40)/D41</f>
        <v>1534.5732323232323</v>
      </c>
      <c r="J41" s="1797">
        <f>SUM(J37:J40)</f>
        <v>607691</v>
      </c>
      <c r="K41" s="1798">
        <f>SUM(K37:K40)</f>
        <v>7292292</v>
      </c>
      <c r="N41" s="1664" t="s">
        <v>2411</v>
      </c>
      <c r="O41" s="1664"/>
      <c r="P41" s="1664"/>
      <c r="Q41" s="1799">
        <f>SUM(Q39:Q40)</f>
        <v>0</v>
      </c>
      <c r="R41" s="1799">
        <f>SUM(R39:R40)</f>
        <v>0</v>
      </c>
      <c r="S41" s="559"/>
      <c r="T41" s="1800" t="s">
        <v>2520</v>
      </c>
      <c r="U41" s="1801"/>
      <c r="V41" s="1801"/>
      <c r="W41" s="1802">
        <v>0.01</v>
      </c>
      <c r="X41" s="1803">
        <f>ROUND(W41*W$39,0)</f>
        <v>924300</v>
      </c>
      <c r="Y41" s="559"/>
      <c r="Z41" s="559"/>
      <c r="AA41" s="559"/>
      <c r="AB41" s="1733" t="s">
        <v>2521</v>
      </c>
      <c r="AC41" s="1791">
        <v>42</v>
      </c>
      <c r="AD41" s="1733"/>
      <c r="AE41" s="1733">
        <f>AE$3</f>
        <v>500</v>
      </c>
      <c r="AF41" s="1733"/>
      <c r="AG41" s="1735">
        <f>AC41*AE41</f>
        <v>21000</v>
      </c>
      <c r="AH41" s="1735">
        <f>ROUND(AG41*12,0)</f>
        <v>252000</v>
      </c>
      <c r="AI41" s="559"/>
      <c r="AJ41" s="559"/>
      <c r="AK41" s="559"/>
      <c r="AL41" s="559"/>
      <c r="AN41" s="2132"/>
      <c r="AO41" s="2130"/>
      <c r="AP41" s="2131"/>
      <c r="AQ41" s="2133"/>
      <c r="AR41" s="2134"/>
      <c r="AS41" s="2134"/>
      <c r="AT41" s="2134"/>
      <c r="AU41" s="2134"/>
      <c r="AV41" s="2135"/>
      <c r="AW41" s="2134"/>
      <c r="AX41" s="2137"/>
      <c r="AY41" s="2134"/>
      <c r="AZ41" s="2138"/>
      <c r="BA41" s="2139"/>
      <c r="BB41" s="1606"/>
      <c r="BC41" s="1606"/>
      <c r="BD41" s="1804"/>
      <c r="BE41" s="1611"/>
      <c r="BF41" s="2152"/>
      <c r="BG41" s="2138"/>
      <c r="BH41" s="2138"/>
      <c r="BI41" s="2138"/>
      <c r="BJ41" s="2138"/>
      <c r="BK41" s="2138"/>
      <c r="BL41" s="2153"/>
      <c r="BM41" s="2154"/>
      <c r="BN41" s="2155"/>
      <c r="BP41" s="1606">
        <f t="shared" si="6"/>
        <v>0</v>
      </c>
      <c r="BQ41" s="1805">
        <f t="shared" si="14"/>
        <v>0</v>
      </c>
      <c r="BR41" s="1617"/>
      <c r="BS41" s="1618">
        <f t="shared" si="15"/>
        <v>0</v>
      </c>
      <c r="BT41" s="1617"/>
      <c r="BU41" s="1618">
        <f t="shared" si="16"/>
        <v>92430000</v>
      </c>
      <c r="BV41" s="1619">
        <f t="shared" si="17"/>
        <v>92430000</v>
      </c>
      <c r="BW41" s="2148"/>
      <c r="BX41" s="2149"/>
      <c r="BY41" s="2149"/>
      <c r="BZ41" s="1568"/>
    </row>
    <row r="42" spans="1:81" ht="15.75" thickBot="1">
      <c r="A42" s="1566"/>
      <c r="B42" s="501"/>
      <c r="C42" s="501"/>
      <c r="E42" s="1806"/>
      <c r="G42" s="2100"/>
      <c r="H42" s="2100"/>
      <c r="N42" s="1688" t="s">
        <v>2415</v>
      </c>
      <c r="O42" s="1724"/>
      <c r="P42" s="1807">
        <v>-0.2</v>
      </c>
      <c r="Q42" s="1808">
        <f>P42*Q41</f>
        <v>0</v>
      </c>
      <c r="R42" s="1808">
        <f>+P42*R41</f>
        <v>0</v>
      </c>
      <c r="S42" s="559"/>
      <c r="T42" s="1809" t="s">
        <v>2522</v>
      </c>
      <c r="W42" s="1810">
        <v>3.0000000000000001E-3</v>
      </c>
      <c r="X42" s="1811">
        <f>ROUND(W42*W$39,0)</f>
        <v>277290</v>
      </c>
      <c r="Y42" s="559"/>
      <c r="Z42" s="559"/>
      <c r="AA42" s="559"/>
      <c r="AB42" s="1733" t="s">
        <v>2523</v>
      </c>
      <c r="AC42" s="1791">
        <v>38</v>
      </c>
      <c r="AD42" s="1733"/>
      <c r="AE42" s="1733">
        <f>AE$3</f>
        <v>500</v>
      </c>
      <c r="AF42" s="1733"/>
      <c r="AG42" s="1735">
        <f>AC42*AE42</f>
        <v>19000</v>
      </c>
      <c r="AH42" s="1735">
        <f>ROUND(AG42*12,0)</f>
        <v>228000</v>
      </c>
      <c r="AI42" s="559"/>
      <c r="AJ42" s="559"/>
      <c r="AK42" s="559"/>
      <c r="AL42" s="559"/>
      <c r="AN42" s="1812"/>
      <c r="AO42" s="1813"/>
      <c r="AP42" s="1814"/>
      <c r="AQ42" s="1815"/>
      <c r="AR42" s="1816">
        <f t="shared" ref="AR42:AY42" si="30">SUM(AR12:AR41)</f>
        <v>6640000</v>
      </c>
      <c r="AS42" s="1816">
        <f t="shared" si="30"/>
        <v>89371890</v>
      </c>
      <c r="AT42" s="1816">
        <f t="shared" si="30"/>
        <v>4468595</v>
      </c>
      <c r="AU42" s="1816">
        <f t="shared" si="30"/>
        <v>5276948</v>
      </c>
      <c r="AV42" s="1816">
        <f t="shared" si="30"/>
        <v>2160890</v>
      </c>
      <c r="AW42" s="1816">
        <f t="shared" si="30"/>
        <v>2753273</v>
      </c>
      <c r="AX42" s="1816"/>
      <c r="AY42" s="1816">
        <f t="shared" si="30"/>
        <v>2200000</v>
      </c>
      <c r="AZ42" s="1817">
        <f>SUM(AZ12:AZ41)</f>
        <v>1800874</v>
      </c>
      <c r="BA42" s="1818">
        <f>SUM(AQ42:AZ42)</f>
        <v>114672470</v>
      </c>
      <c r="BB42" s="1819"/>
      <c r="BC42" s="1819"/>
      <c r="BD42" s="1820">
        <f>SUM(BD12:BD40)</f>
        <v>1</v>
      </c>
      <c r="BF42" s="1822">
        <f>SUM(BF12:BF40)</f>
        <v>21249967</v>
      </c>
      <c r="BG42" s="1816">
        <f>SUM(BG12:BG40)</f>
        <v>0</v>
      </c>
      <c r="BH42" s="1816">
        <f>SUM(BH12:BH40)</f>
        <v>0</v>
      </c>
      <c r="BI42" s="1816">
        <f>SUM(BI12:BI40)</f>
        <v>0</v>
      </c>
      <c r="BJ42" s="1816">
        <f t="shared" ref="BJ42:BL42" si="31">SUM(BJ12:BJ40)</f>
        <v>0</v>
      </c>
      <c r="BK42" s="1816">
        <f t="shared" si="31"/>
        <v>0</v>
      </c>
      <c r="BL42" s="1816">
        <f t="shared" si="31"/>
        <v>92430000</v>
      </c>
      <c r="BM42" s="1816">
        <f>SUM(BM12:BM40)</f>
        <v>992503</v>
      </c>
      <c r="BN42" s="1823">
        <f>SUM(BF42:BM42)</f>
        <v>114672470</v>
      </c>
      <c r="BP42" s="1805">
        <f>SUM(BP12:BP41)</f>
        <v>0</v>
      </c>
      <c r="BQ42" s="1606"/>
      <c r="BR42" s="1824">
        <f>SUM(BR12:BR41)</f>
        <v>0</v>
      </c>
      <c r="BS42" s="1824"/>
      <c r="BT42" s="1824">
        <f>SUM(BT12:BT41)</f>
        <v>92430000</v>
      </c>
      <c r="BU42" s="1825"/>
      <c r="BV42" s="1825"/>
      <c r="BW42" s="1826">
        <f>ROUND(SUM(BW12:BW40),0)</f>
        <v>2753273</v>
      </c>
      <c r="BX42" s="1826">
        <f>ROUND(SUM(BX12:BX40),0)</f>
        <v>0</v>
      </c>
      <c r="BY42" s="1826">
        <f>ROUND(SUM(BY12:BY40),0)</f>
        <v>2753273</v>
      </c>
    </row>
    <row r="43" spans="1:81" ht="15.75">
      <c r="A43" s="1827" t="s">
        <v>2524</v>
      </c>
      <c r="B43" s="1828"/>
      <c r="C43" s="1829"/>
      <c r="D43" s="2101">
        <f>+D26+D33+D41</f>
        <v>500</v>
      </c>
      <c r="E43" s="1830">
        <f>+E26+E33+E41</f>
        <v>200300</v>
      </c>
      <c r="F43" s="1831"/>
      <c r="G43" s="2096"/>
      <c r="H43" s="2096"/>
      <c r="I43" s="1831"/>
      <c r="J43" s="1831">
        <f t="shared" ref="J43:K43" si="32">+J26+J33+J41</f>
        <v>714445</v>
      </c>
      <c r="K43" s="1832">
        <f t="shared" si="32"/>
        <v>8573340</v>
      </c>
      <c r="N43" s="1833" t="s">
        <v>2423</v>
      </c>
      <c r="O43" s="1833"/>
      <c r="P43" s="1833"/>
      <c r="Q43" s="1834">
        <f>SUM(Q41:Q42)</f>
        <v>0</v>
      </c>
      <c r="R43" s="1834">
        <f>SUM(R41:R42)</f>
        <v>0</v>
      </c>
      <c r="S43" s="559"/>
      <c r="T43" s="1809" t="s">
        <v>2525</v>
      </c>
      <c r="W43" s="1810">
        <v>5.0000000000000001E-3</v>
      </c>
      <c r="X43" s="1811">
        <f>ROUND(W43*W$39,0)</f>
        <v>462150</v>
      </c>
      <c r="Y43" s="559"/>
      <c r="Z43" s="559"/>
      <c r="AA43" s="1761" t="s">
        <v>2513</v>
      </c>
      <c r="AB43" s="1762" t="s">
        <v>2526</v>
      </c>
      <c r="AC43" s="1835"/>
      <c r="AD43" s="1764"/>
      <c r="AE43" s="1764"/>
      <c r="AF43" s="1764"/>
      <c r="AG43" s="1765">
        <f>SUM(AG40:AG42)</f>
        <v>43500</v>
      </c>
      <c r="AH43" s="1766">
        <f>SUM(AH40:AH42)</f>
        <v>522000</v>
      </c>
      <c r="AI43" s="559"/>
      <c r="AJ43" s="559"/>
      <c r="AK43" s="559"/>
      <c r="AL43" s="559"/>
      <c r="BN43" s="1606"/>
      <c r="BX43" s="1837" t="s">
        <v>2527</v>
      </c>
      <c r="BY43" s="1568">
        <f>SUM(BY12:BY33)</f>
        <v>2753273</v>
      </c>
    </row>
    <row r="44" spans="1:81" ht="15.75">
      <c r="A44" s="1838"/>
      <c r="B44" s="1838"/>
      <c r="C44" s="1839"/>
      <c r="D44" s="1840"/>
      <c r="E44" s="1841"/>
      <c r="G44" s="2100"/>
      <c r="H44" s="2097"/>
      <c r="I44" s="1842"/>
      <c r="J44" s="1842"/>
      <c r="N44" s="1665"/>
      <c r="O44" s="1665"/>
      <c r="P44" s="1665"/>
      <c r="Q44" s="1665"/>
      <c r="R44" s="1665"/>
      <c r="S44" s="559"/>
      <c r="T44" s="1843" t="s">
        <v>2528</v>
      </c>
      <c r="U44" s="290"/>
      <c r="V44" s="290"/>
      <c r="W44" s="1844">
        <v>5.0000000000000001E-3</v>
      </c>
      <c r="X44" s="1845">
        <f>ROUND(W44*W$39,0)</f>
        <v>462150</v>
      </c>
      <c r="Y44" s="559"/>
      <c r="Z44" s="559"/>
      <c r="AA44" s="559"/>
      <c r="AB44" s="1846" t="s">
        <v>2435</v>
      </c>
      <c r="AC44" s="1547" t="s">
        <v>2529</v>
      </c>
      <c r="AD44" s="1547">
        <v>2</v>
      </c>
      <c r="AE44" s="1547">
        <v>5900</v>
      </c>
      <c r="AF44" s="1548"/>
      <c r="AG44" s="1548">
        <f>+AD44*AE44</f>
        <v>11800</v>
      </c>
      <c r="AH44" s="1548">
        <f>ROUND(AG44*12,0)</f>
        <v>141600</v>
      </c>
      <c r="AI44" s="559"/>
      <c r="AJ44" s="559">
        <f>+AE44*12</f>
        <v>70800</v>
      </c>
      <c r="AK44" s="559"/>
      <c r="AL44" s="559"/>
      <c r="AU44" s="1847"/>
      <c r="AV44" s="1606"/>
      <c r="AW44" s="1606"/>
      <c r="AZ44" s="1847"/>
      <c r="BA44" s="1848"/>
      <c r="BE44" s="1611"/>
      <c r="BM44" s="1849"/>
      <c r="BN44" s="1568"/>
    </row>
    <row r="45" spans="1:81" ht="15.75">
      <c r="A45" s="3253" t="s">
        <v>2530</v>
      </c>
      <c r="B45" s="3254"/>
      <c r="C45" s="3254"/>
      <c r="D45" s="3254"/>
      <c r="E45" s="1850">
        <f>+E41+E26</f>
        <v>198400</v>
      </c>
      <c r="F45" s="1851"/>
      <c r="G45" s="1852"/>
      <c r="H45" s="1852"/>
      <c r="I45" s="1852"/>
      <c r="J45" s="1853"/>
      <c r="K45" s="1433"/>
      <c r="L45" s="1433"/>
      <c r="M45" s="1433"/>
      <c r="N45" s="1664" t="s">
        <v>2433</v>
      </c>
      <c r="O45" s="1665"/>
      <c r="P45" s="1665"/>
      <c r="Q45" s="1665"/>
      <c r="R45" s="1665"/>
      <c r="S45" s="559"/>
      <c r="X45" s="1568"/>
      <c r="Y45" s="559"/>
      <c r="Z45" s="559"/>
      <c r="AA45" s="559"/>
      <c r="AB45" s="1547" t="s">
        <v>2435</v>
      </c>
      <c r="AC45" s="1547" t="s">
        <v>2531</v>
      </c>
      <c r="AD45" s="1547">
        <v>2</v>
      </c>
      <c r="AE45" s="1547">
        <v>5900</v>
      </c>
      <c r="AF45" s="1548"/>
      <c r="AG45" s="1548">
        <f>+AD45*AE45</f>
        <v>11800</v>
      </c>
      <c r="AH45" s="1548">
        <f>ROUND(AG45*12,0)</f>
        <v>141600</v>
      </c>
      <c r="AI45" s="559"/>
      <c r="AJ45" s="559"/>
      <c r="AK45" s="559"/>
      <c r="AL45" s="559"/>
      <c r="AU45" s="1847"/>
      <c r="AV45" s="1606"/>
      <c r="AW45" s="1606"/>
      <c r="AX45" s="1608"/>
      <c r="BA45" s="1606"/>
      <c r="BE45" s="1611"/>
      <c r="BL45" s="1854"/>
      <c r="BM45" s="1606"/>
      <c r="CB45" s="1433"/>
      <c r="CC45" s="515"/>
    </row>
    <row r="46" spans="1:81" ht="15.75">
      <c r="A46" s="3250" t="s">
        <v>2532</v>
      </c>
      <c r="B46" s="3251"/>
      <c r="C46" s="3251"/>
      <c r="D46" s="3251"/>
      <c r="E46" s="2103">
        <f>+E26</f>
        <v>40000</v>
      </c>
      <c r="F46" s="1856"/>
      <c r="G46" s="1857"/>
      <c r="H46" s="1857"/>
      <c r="I46" s="1857"/>
      <c r="J46" s="1858"/>
      <c r="K46" s="1433"/>
      <c r="L46" s="1433"/>
      <c r="M46" s="1433"/>
      <c r="N46" s="1859"/>
      <c r="O46" s="1860" t="s">
        <v>2435</v>
      </c>
      <c r="P46" s="1859"/>
      <c r="Q46" s="1861">
        <v>0</v>
      </c>
      <c r="R46" s="1861">
        <f>+Q46*12</f>
        <v>0</v>
      </c>
      <c r="S46" s="559"/>
      <c r="T46" s="9" t="s">
        <v>2533</v>
      </c>
      <c r="U46" s="10"/>
      <c r="V46" s="10"/>
      <c r="W46" s="1862">
        <v>0.04</v>
      </c>
      <c r="X46" s="1803">
        <f>ROUND(W46*W39,0)</f>
        <v>3697200</v>
      </c>
      <c r="Y46" s="559"/>
      <c r="Z46" s="559"/>
      <c r="AA46" s="559"/>
      <c r="AB46" s="1547" t="s">
        <v>2435</v>
      </c>
      <c r="AC46" s="1547" t="s">
        <v>2534</v>
      </c>
      <c r="AD46" s="2108">
        <v>3</v>
      </c>
      <c r="AE46" s="1547">
        <v>3800</v>
      </c>
      <c r="AF46" s="1548"/>
      <c r="AG46" s="1548">
        <f>+AD46*AE46</f>
        <v>11400</v>
      </c>
      <c r="AH46" s="1548">
        <f>ROUND(AG46*12,0)</f>
        <v>136800</v>
      </c>
      <c r="AI46" s="559"/>
      <c r="AJ46" s="559">
        <f>+AE46*12</f>
        <v>45600</v>
      </c>
      <c r="AK46" s="559"/>
      <c r="AL46" s="559"/>
      <c r="AU46" s="1847"/>
      <c r="AV46" s="1568"/>
      <c r="AW46" s="1568"/>
      <c r="BE46" s="1611"/>
      <c r="BL46" s="1854"/>
      <c r="BM46" s="1606"/>
      <c r="CB46" s="1433"/>
      <c r="CC46" s="515"/>
    </row>
    <row r="47" spans="1:81" ht="39">
      <c r="A47" s="3250" t="s">
        <v>2535</v>
      </c>
      <c r="B47" s="3251"/>
      <c r="C47" s="3251"/>
      <c r="D47" s="3251"/>
      <c r="E47" s="1855">
        <f>SUM(F48:J48)</f>
        <v>7400</v>
      </c>
      <c r="F47" s="1863" t="s">
        <v>2673</v>
      </c>
      <c r="G47" s="1864" t="s">
        <v>2536</v>
      </c>
      <c r="H47" s="1864" t="s">
        <v>2647</v>
      </c>
      <c r="I47" s="1864" t="s">
        <v>2674</v>
      </c>
      <c r="J47" s="1864" t="s">
        <v>2537</v>
      </c>
      <c r="K47" s="1433"/>
      <c r="L47" s="1433"/>
      <c r="M47" s="1433"/>
      <c r="N47" s="1859"/>
      <c r="O47" s="1860" t="s">
        <v>2448</v>
      </c>
      <c r="P47" s="1865">
        <v>0.4</v>
      </c>
      <c r="Q47" s="1861">
        <f>ROUND($O$39*P47,0)</f>
        <v>0</v>
      </c>
      <c r="R47" s="1861">
        <f>+Q47*12</f>
        <v>0</v>
      </c>
      <c r="S47" s="559"/>
      <c r="T47" s="1843" t="s">
        <v>2538</v>
      </c>
      <c r="U47" s="290"/>
      <c r="V47" s="290"/>
      <c r="W47" s="2161" t="s">
        <v>2671</v>
      </c>
      <c r="X47" s="1866">
        <f>IF(W39&lt;75000000,W39*0.03,X39)</f>
        <v>4298176</v>
      </c>
      <c r="Y47" s="559"/>
      <c r="Z47" s="559"/>
      <c r="AA47" s="559"/>
      <c r="AB47" s="1867" t="s">
        <v>2539</v>
      </c>
      <c r="AC47" s="1867"/>
      <c r="AD47" s="1867"/>
      <c r="AE47" s="1867"/>
      <c r="AF47" s="1868"/>
      <c r="AG47" s="1868">
        <f>SUM(AG44:AG46)</f>
        <v>35000</v>
      </c>
      <c r="AH47" s="1868">
        <f>SUM(AH44:AH46)</f>
        <v>420000</v>
      </c>
      <c r="AI47" s="1869" t="s">
        <v>802</v>
      </c>
      <c r="AJ47" s="559"/>
      <c r="AK47" s="559"/>
      <c r="AL47" s="559"/>
      <c r="AN47" s="1870"/>
      <c r="AV47" s="1606"/>
      <c r="AW47" s="1606"/>
      <c r="BE47" s="1611"/>
      <c r="BL47" s="1854"/>
      <c r="BM47" s="1606"/>
      <c r="CB47" s="1433"/>
      <c r="CC47" s="515"/>
    </row>
    <row r="48" spans="1:81" ht="15.75">
      <c r="A48" s="1871"/>
      <c r="B48" s="1872"/>
      <c r="C48" s="1872"/>
      <c r="D48" s="1872"/>
      <c r="E48" s="1855"/>
      <c r="F48" s="1873">
        <f>25*40*2</f>
        <v>2000</v>
      </c>
      <c r="G48" s="1873">
        <f>60*40</f>
        <v>2400</v>
      </c>
      <c r="H48" s="1873">
        <f>50*40</f>
        <v>2000</v>
      </c>
      <c r="I48" s="1873"/>
      <c r="J48" s="1873">
        <f>25*40</f>
        <v>1000</v>
      </c>
      <c r="K48" s="1433"/>
      <c r="L48" s="1433"/>
      <c r="M48" s="1433"/>
      <c r="N48" s="1859"/>
      <c r="O48" s="1860" t="s">
        <v>808</v>
      </c>
      <c r="P48" s="1859" t="s">
        <v>2540</v>
      </c>
      <c r="Q48" s="1861"/>
      <c r="R48" s="1861"/>
      <c r="S48" s="559"/>
      <c r="T48" s="1874" t="s">
        <v>2541</v>
      </c>
      <c r="U48" s="1875"/>
      <c r="V48" s="1875"/>
      <c r="W48" s="1875"/>
      <c r="X48" s="1876">
        <f>X46+X47</f>
        <v>7995376</v>
      </c>
      <c r="Y48" s="559"/>
      <c r="Z48" s="559"/>
      <c r="AA48" s="559"/>
      <c r="AB48" s="1877" t="s">
        <v>2542</v>
      </c>
      <c r="AC48" s="1878">
        <v>0.1</v>
      </c>
      <c r="AD48" s="1877"/>
      <c r="AE48" s="1877"/>
      <c r="AF48" s="1879"/>
      <c r="AG48" s="1879">
        <f>+AC48*AG$47</f>
        <v>3500</v>
      </c>
      <c r="AH48" s="1879">
        <f>ROUND(AG48*12,0)</f>
        <v>42000</v>
      </c>
      <c r="AI48" s="1880"/>
      <c r="AJ48" s="559"/>
      <c r="AK48" s="559"/>
      <c r="AL48" s="559"/>
      <c r="AN48" s="1870"/>
      <c r="AV48" s="1848"/>
      <c r="AW48" s="1848"/>
      <c r="AX48" s="1819"/>
      <c r="BE48" s="1611"/>
      <c r="BL48" s="1854"/>
      <c r="BM48" s="1606"/>
      <c r="CB48" s="1433"/>
      <c r="CC48" s="515"/>
    </row>
    <row r="49" spans="1:80" ht="47.25">
      <c r="A49" s="1881" t="s">
        <v>2543</v>
      </c>
      <c r="B49" s="1882"/>
      <c r="C49" s="1883">
        <f>E52/(E45+E49)</f>
        <v>0</v>
      </c>
      <c r="D49" s="1882"/>
      <c r="E49" s="2102">
        <f>IF(D14="N/A",0,D14)</f>
        <v>0</v>
      </c>
      <c r="F49" s="3255" t="s">
        <v>2544</v>
      </c>
      <c r="G49" s="3255"/>
      <c r="H49" s="3255"/>
      <c r="I49" s="3255"/>
      <c r="J49" s="3256"/>
      <c r="N49" s="1859"/>
      <c r="O49" s="1860" t="s">
        <v>1219</v>
      </c>
      <c r="P49" s="1859"/>
      <c r="Q49" s="1861"/>
      <c r="R49" s="1861"/>
      <c r="S49" s="559"/>
      <c r="Y49" s="559"/>
      <c r="Z49" s="559"/>
      <c r="AA49" s="559"/>
      <c r="AB49" s="1877" t="s">
        <v>2545</v>
      </c>
      <c r="AC49" s="1878">
        <v>2.5000000000000001E-2</v>
      </c>
      <c r="AD49" s="1877"/>
      <c r="AE49" s="1877"/>
      <c r="AF49" s="1879"/>
      <c r="AG49" s="1879">
        <f>+AC49*AG$47</f>
        <v>875</v>
      </c>
      <c r="AH49" s="1879">
        <f>ROUND(AG49*12,0)</f>
        <v>10500</v>
      </c>
      <c r="AI49" s="1880"/>
      <c r="AJ49" s="559"/>
      <c r="AK49" s="559"/>
      <c r="AL49" s="559"/>
      <c r="BE49" s="1611"/>
      <c r="BL49" s="1854"/>
      <c r="BM49" s="1606"/>
      <c r="CB49" s="1433"/>
    </row>
    <row r="50" spans="1:80" ht="25.5">
      <c r="A50" s="3250" t="s">
        <v>2546</v>
      </c>
      <c r="B50" s="3251"/>
      <c r="C50" s="3251"/>
      <c r="D50" s="3251"/>
      <c r="E50" s="1855">
        <f>F51</f>
        <v>1900</v>
      </c>
      <c r="F50" s="1884" t="s">
        <v>2547</v>
      </c>
      <c r="G50" s="1864" t="s">
        <v>2548</v>
      </c>
      <c r="H50" s="1864" t="s">
        <v>2549</v>
      </c>
      <c r="I50" s="1864" t="s">
        <v>2550</v>
      </c>
      <c r="J50" s="1864" t="s">
        <v>2551</v>
      </c>
      <c r="N50" s="1859"/>
      <c r="O50" s="1885" t="s">
        <v>2454</v>
      </c>
      <c r="P50" s="1885"/>
      <c r="Q50" s="1886"/>
      <c r="R50" s="1886">
        <f>Q50*12</f>
        <v>0</v>
      </c>
      <c r="S50" s="559"/>
      <c r="T50" s="1887" t="s">
        <v>2552</v>
      </c>
      <c r="U50" s="1888"/>
      <c r="V50" s="1888"/>
      <c r="W50" s="1888"/>
      <c r="X50" s="1889">
        <f>ROUND(AH86/12*3+X16/12*3,0)</f>
        <v>1800874</v>
      </c>
      <c r="Y50" s="559"/>
      <c r="Z50" s="559"/>
      <c r="AA50" s="559"/>
      <c r="AB50" s="1877" t="s">
        <v>2553</v>
      </c>
      <c r="AC50" s="1878">
        <v>0.02</v>
      </c>
      <c r="AD50" s="1877"/>
      <c r="AE50" s="1877"/>
      <c r="AF50" s="1879"/>
      <c r="AG50" s="1879">
        <f>+AC50*AG$47</f>
        <v>700</v>
      </c>
      <c r="AH50" s="1879">
        <f>ROUND(AG50*12,0)</f>
        <v>8400</v>
      </c>
      <c r="AI50" s="1880"/>
      <c r="AJ50" s="559"/>
      <c r="AK50" s="559"/>
      <c r="AL50" s="559"/>
      <c r="BE50" s="1611"/>
    </row>
    <row r="51" spans="1:80" ht="15.75">
      <c r="A51" s="1871"/>
      <c r="B51" s="1872"/>
      <c r="C51" s="1872"/>
      <c r="D51" s="1872"/>
      <c r="E51" s="1855"/>
      <c r="F51" s="1890">
        <f>E33</f>
        <v>1900</v>
      </c>
      <c r="G51" s="1873">
        <v>600</v>
      </c>
      <c r="H51" s="1873">
        <v>1000</v>
      </c>
      <c r="I51" s="1873">
        <v>1400</v>
      </c>
      <c r="J51" s="1873">
        <v>1800</v>
      </c>
      <c r="N51" s="1891" t="s">
        <v>2460</v>
      </c>
      <c r="O51" s="1891"/>
      <c r="P51" s="1664"/>
      <c r="Q51" s="1799">
        <f>SUM(Q46:Q50)</f>
        <v>0</v>
      </c>
      <c r="R51" s="1799">
        <f>SUM(R46:R50)</f>
        <v>0</v>
      </c>
      <c r="S51" s="559"/>
      <c r="T51" s="1892" t="s">
        <v>2554</v>
      </c>
      <c r="U51" s="1893"/>
      <c r="V51" s="1893"/>
      <c r="W51" s="1893"/>
      <c r="X51" s="1894">
        <f>+X48-X50</f>
        <v>6194502</v>
      </c>
      <c r="Y51" s="559"/>
      <c r="Z51" s="559"/>
      <c r="AA51" s="559"/>
      <c r="AB51" s="1877" t="s">
        <v>2555</v>
      </c>
      <c r="AC51" s="1878">
        <v>2.4E-2</v>
      </c>
      <c r="AD51" s="1877"/>
      <c r="AE51" s="1877"/>
      <c r="AF51" s="1879"/>
      <c r="AG51" s="1879">
        <f>+AC51*AG$47</f>
        <v>840</v>
      </c>
      <c r="AH51" s="1879">
        <f>ROUND(AG51*12,0)</f>
        <v>10080</v>
      </c>
      <c r="AI51" s="1880"/>
      <c r="AJ51" s="559"/>
      <c r="AK51" s="559"/>
      <c r="AL51" s="559"/>
      <c r="BE51" s="1611"/>
    </row>
    <row r="52" spans="1:80" ht="15.75">
      <c r="A52" s="1871"/>
      <c r="B52" s="1872"/>
      <c r="C52" s="1872"/>
      <c r="D52" s="1872"/>
      <c r="E52" s="1855"/>
      <c r="F52" s="1895"/>
      <c r="G52" s="1896"/>
      <c r="H52" s="1896"/>
      <c r="I52" s="1896"/>
      <c r="J52" s="1897"/>
      <c r="N52" s="1664" t="s">
        <v>2462</v>
      </c>
      <c r="O52" s="1891"/>
      <c r="P52" s="1664"/>
      <c r="Q52" s="1799"/>
      <c r="R52" s="1799">
        <f>Q52*12</f>
        <v>0</v>
      </c>
      <c r="S52" s="559"/>
      <c r="Y52" s="559"/>
      <c r="Z52" s="559"/>
      <c r="AA52" s="559"/>
      <c r="AB52" s="1877" t="s">
        <v>2556</v>
      </c>
      <c r="AC52" s="1898" t="s">
        <v>2557</v>
      </c>
      <c r="AD52" s="1877"/>
      <c r="AE52" s="1877"/>
      <c r="AF52" s="1879"/>
      <c r="AG52" s="1879">
        <v>0</v>
      </c>
      <c r="AH52" s="1879">
        <f>ROUND(AG52*12,0)</f>
        <v>0</v>
      </c>
      <c r="AI52" s="1880"/>
      <c r="AJ52" s="559"/>
      <c r="AK52" s="559"/>
      <c r="AL52" s="559"/>
      <c r="AP52" s="1899"/>
      <c r="BE52" s="1611"/>
    </row>
    <row r="53" spans="1:80" ht="25.5">
      <c r="A53" s="3250" t="s">
        <v>2558</v>
      </c>
      <c r="B53" s="3251"/>
      <c r="C53" s="3251"/>
      <c r="D53" s="3251"/>
      <c r="E53" s="1855">
        <f>+F54*J54</f>
        <v>54000</v>
      </c>
      <c r="F53" s="1884" t="s">
        <v>2559</v>
      </c>
      <c r="G53" s="1900" t="s">
        <v>2560</v>
      </c>
      <c r="H53" s="1900" t="s">
        <v>801</v>
      </c>
      <c r="I53" s="1900" t="s">
        <v>2561</v>
      </c>
      <c r="J53" s="1900" t="s">
        <v>2562</v>
      </c>
      <c r="N53" s="1699"/>
      <c r="O53" s="1699"/>
      <c r="P53" s="1699"/>
      <c r="Q53" s="1699"/>
      <c r="R53" s="1699"/>
      <c r="S53" s="559"/>
      <c r="Y53" s="559"/>
      <c r="Z53" s="559"/>
      <c r="AA53" s="559"/>
      <c r="AB53" s="1867" t="s">
        <v>2563</v>
      </c>
      <c r="AC53" s="1867"/>
      <c r="AD53" s="1867"/>
      <c r="AE53" s="1867"/>
      <c r="AF53" s="1868"/>
      <c r="AG53" s="1868">
        <f>SUM(AG48:AG52)</f>
        <v>5915</v>
      </c>
      <c r="AH53" s="1868">
        <f>SUM(AH48:AH52)</f>
        <v>70980</v>
      </c>
      <c r="AI53" s="1869" t="s">
        <v>207</v>
      </c>
      <c r="AJ53" s="559"/>
      <c r="AK53" s="559"/>
      <c r="AL53" s="559"/>
      <c r="AP53" s="1901"/>
    </row>
    <row r="54" spans="1:80" ht="15.75">
      <c r="A54" s="3250"/>
      <c r="B54" s="3251"/>
      <c r="C54" s="3251"/>
      <c r="D54" s="3251"/>
      <c r="E54" s="1902"/>
      <c r="F54" s="1903">
        <v>250</v>
      </c>
      <c r="G54" s="1903">
        <v>18</v>
      </c>
      <c r="H54" s="1903">
        <v>6</v>
      </c>
      <c r="I54" s="1904">
        <f>+G54*H54</f>
        <v>108</v>
      </c>
      <c r="J54" s="1904">
        <f>+I54*2</f>
        <v>216</v>
      </c>
      <c r="N54" s="1905"/>
      <c r="O54" s="1906" t="s">
        <v>2482</v>
      </c>
      <c r="P54" s="1906"/>
      <c r="Q54" s="1906">
        <f>AG123+AG124</f>
        <v>0</v>
      </c>
      <c r="R54" s="1906">
        <f>AH123+AH124</f>
        <v>0</v>
      </c>
      <c r="S54" s="559"/>
      <c r="Y54" s="559"/>
      <c r="Z54" s="559"/>
      <c r="AA54" s="559"/>
      <c r="AB54" s="1907" t="s">
        <v>2564</v>
      </c>
      <c r="AC54" s="1907"/>
      <c r="AD54" s="1907"/>
      <c r="AE54" s="1907"/>
      <c r="AF54" s="1908"/>
      <c r="AG54" s="1908">
        <f>+AG47+AG53</f>
        <v>40915</v>
      </c>
      <c r="AH54" s="1908">
        <f>ROUND(AH47+AH53,0)</f>
        <v>490980</v>
      </c>
      <c r="AI54" s="1761" t="s">
        <v>2565</v>
      </c>
      <c r="AJ54" s="559"/>
      <c r="AK54" s="559"/>
      <c r="AL54" s="559"/>
      <c r="AP54" s="1901"/>
      <c r="AR54" s="1909"/>
    </row>
    <row r="55" spans="1:80" ht="31.5">
      <c r="A55" s="1910"/>
      <c r="B55" s="1911"/>
      <c r="C55" s="1912"/>
      <c r="D55" s="1912" t="s">
        <v>2648</v>
      </c>
      <c r="E55" s="1913">
        <f>SUM(E45:E54)-E46-E49</f>
        <v>261700</v>
      </c>
      <c r="F55" s="1914"/>
      <c r="G55" s="1915"/>
      <c r="H55" s="1915"/>
      <c r="I55" s="1915"/>
      <c r="J55" s="1916"/>
      <c r="N55" s="1917" t="s">
        <v>2485</v>
      </c>
      <c r="O55" s="1917"/>
      <c r="P55" s="1917"/>
      <c r="Q55" s="1918">
        <f>SUM(Q54:Q54)</f>
        <v>0</v>
      </c>
      <c r="R55" s="1918">
        <f>SUM(R54:R54)</f>
        <v>0</v>
      </c>
      <c r="S55" s="559"/>
      <c r="Y55" s="559"/>
      <c r="Z55" s="559"/>
      <c r="AA55" s="559"/>
      <c r="AB55" s="1919" t="s">
        <v>2566</v>
      </c>
      <c r="AC55" s="1920">
        <v>9.8000000000000004E-2</v>
      </c>
      <c r="AD55" s="1919"/>
      <c r="AE55" s="1919"/>
      <c r="AF55" s="1921"/>
      <c r="AG55" s="1921">
        <f>+AC55*AG$47</f>
        <v>3430</v>
      </c>
      <c r="AH55" s="1921">
        <f>ROUND(AG55*12,0)</f>
        <v>41160</v>
      </c>
      <c r="AI55" s="559"/>
      <c r="AJ55" s="559"/>
      <c r="AK55" s="559"/>
      <c r="AL55" s="559"/>
      <c r="AP55" s="1922"/>
    </row>
    <row r="56" spans="1:80">
      <c r="A56" s="1923" t="s">
        <v>2567</v>
      </c>
      <c r="B56" s="1455"/>
      <c r="E56" s="1923" t="s">
        <v>2568</v>
      </c>
      <c r="F56" s="1924"/>
      <c r="G56" s="1925"/>
      <c r="N56" s="1699"/>
      <c r="O56" s="1699"/>
      <c r="P56" s="1699"/>
      <c r="Q56" s="1699"/>
      <c r="R56" s="1699"/>
      <c r="S56" s="559"/>
      <c r="Y56" s="559"/>
      <c r="Z56" s="559"/>
      <c r="AA56" s="559"/>
      <c r="AB56" s="1919" t="s">
        <v>2569</v>
      </c>
      <c r="AC56" s="1920">
        <v>7.1999999999999995E-2</v>
      </c>
      <c r="AD56" s="1919"/>
      <c r="AE56" s="1919"/>
      <c r="AF56" s="1921"/>
      <c r="AG56" s="1921">
        <f>+AC56*AG$47</f>
        <v>2520</v>
      </c>
      <c r="AH56" s="1921">
        <f>ROUND(AG56*12,0)</f>
        <v>30240</v>
      </c>
      <c r="AI56" s="559"/>
      <c r="AJ56" s="559"/>
      <c r="AK56" s="559"/>
      <c r="AL56" s="559"/>
    </row>
    <row r="57" spans="1:80" ht="15.75" thickBot="1">
      <c r="A57" s="1847" t="s">
        <v>486</v>
      </c>
      <c r="B57" s="1455" t="s">
        <v>931</v>
      </c>
      <c r="E57" s="1926"/>
      <c r="F57" s="1924"/>
      <c r="G57" s="1925"/>
      <c r="N57" s="1833" t="s">
        <v>1221</v>
      </c>
      <c r="O57" s="1833"/>
      <c r="P57" s="1833"/>
      <c r="Q57" s="1834">
        <f>+Q51+Q52+Q55</f>
        <v>0</v>
      </c>
      <c r="R57" s="1834">
        <f>+R51+R52+R55</f>
        <v>0</v>
      </c>
      <c r="S57" s="559"/>
      <c r="Y57" s="559"/>
      <c r="Z57" s="559"/>
      <c r="AA57" s="559"/>
      <c r="AB57" s="1927" t="s">
        <v>2570</v>
      </c>
      <c r="AC57" s="1927"/>
      <c r="AD57" s="1927"/>
      <c r="AE57" s="1927"/>
      <c r="AF57" s="1928"/>
      <c r="AG57" s="1928">
        <f>SUM(AG55:AG56)</f>
        <v>5950</v>
      </c>
      <c r="AH57" s="1928">
        <f>SUM(AH55:AH56)</f>
        <v>71400</v>
      </c>
      <c r="AI57" s="1929" t="s">
        <v>208</v>
      </c>
      <c r="AJ57" s="559"/>
      <c r="AK57" s="559"/>
      <c r="AL57" s="559"/>
    </row>
    <row r="58" spans="1:80">
      <c r="A58" s="1930"/>
      <c r="B58" s="1931" t="s">
        <v>2468</v>
      </c>
      <c r="C58" s="1932" t="s">
        <v>2571</v>
      </c>
      <c r="E58" s="1933" t="s">
        <v>2572</v>
      </c>
      <c r="F58" s="1934"/>
      <c r="G58" s="1935"/>
      <c r="H58" s="1936"/>
      <c r="I58" s="1937" t="s">
        <v>2678</v>
      </c>
      <c r="N58" s="1665"/>
      <c r="O58" s="1665"/>
      <c r="P58" s="1665"/>
      <c r="Q58" s="1665"/>
      <c r="R58" s="1665"/>
      <c r="S58" s="559"/>
      <c r="Y58" s="559"/>
      <c r="Z58" s="559"/>
      <c r="AA58" s="1761" t="s">
        <v>2513</v>
      </c>
      <c r="AB58" s="1762" t="s">
        <v>2573</v>
      </c>
      <c r="AC58" s="1938"/>
      <c r="AD58" s="1938"/>
      <c r="AE58" s="1938"/>
      <c r="AF58" s="1939"/>
      <c r="AG58" s="1765">
        <f>+AG54+AG57</f>
        <v>46865</v>
      </c>
      <c r="AH58" s="1766">
        <f>+AH54+AH57</f>
        <v>562380</v>
      </c>
      <c r="AI58" s="1761" t="s">
        <v>2574</v>
      </c>
      <c r="AJ58" s="1940"/>
      <c r="AK58" s="559"/>
      <c r="AL58" s="559"/>
    </row>
    <row r="59" spans="1:80">
      <c r="A59" s="1941"/>
      <c r="B59" s="1942">
        <v>1</v>
      </c>
      <c r="C59" s="1943">
        <v>2242</v>
      </c>
      <c r="E59" s="1944" t="s">
        <v>2575</v>
      </c>
      <c r="F59" s="1945"/>
      <c r="G59" s="1946"/>
      <c r="H59" s="1947"/>
      <c r="I59" s="1948">
        <v>44227</v>
      </c>
      <c r="N59" s="1833" t="s">
        <v>2503</v>
      </c>
      <c r="O59" s="1833"/>
      <c r="P59" s="1833"/>
      <c r="Q59" s="1834">
        <f>Q43-Q57</f>
        <v>0</v>
      </c>
      <c r="R59" s="1834">
        <f>R43-R57</f>
        <v>0</v>
      </c>
      <c r="S59" s="559"/>
      <c r="Y59" s="559"/>
      <c r="Z59" s="559"/>
      <c r="AA59" s="1761" t="s">
        <v>2513</v>
      </c>
      <c r="AB59" s="1762" t="s">
        <v>2462</v>
      </c>
      <c r="AC59" s="1835">
        <v>35</v>
      </c>
      <c r="AD59" s="1764"/>
      <c r="AE59" s="1764">
        <f t="shared" ref="AE59:AE76" si="33">AE$3</f>
        <v>500</v>
      </c>
      <c r="AF59" s="1764"/>
      <c r="AG59" s="1765">
        <f t="shared" ref="AG59:AG76" si="34">AC59*AE59</f>
        <v>17500</v>
      </c>
      <c r="AH59" s="1766">
        <f t="shared" ref="AH59:AH76" si="35">ROUND(AG59*12,0)</f>
        <v>210000</v>
      </c>
      <c r="AI59" s="559"/>
      <c r="AJ59" s="559"/>
      <c r="AK59" s="559"/>
      <c r="AL59" s="559"/>
    </row>
    <row r="60" spans="1:80">
      <c r="A60" s="1941"/>
      <c r="B60" s="1942">
        <v>0.8</v>
      </c>
      <c r="C60" s="1943">
        <v>1794</v>
      </c>
      <c r="E60" s="1944" t="s">
        <v>2576</v>
      </c>
      <c r="F60" s="1945"/>
      <c r="G60" s="1946"/>
      <c r="H60" s="1947"/>
      <c r="I60" s="1948">
        <v>44227</v>
      </c>
      <c r="N60" s="1665"/>
      <c r="O60" s="1699"/>
      <c r="P60" s="1699"/>
      <c r="Q60" s="1665"/>
      <c r="R60" s="1665"/>
      <c r="S60" s="559"/>
      <c r="Y60" s="559"/>
      <c r="Z60" s="559"/>
      <c r="AA60" s="559"/>
      <c r="AB60" s="1927" t="s">
        <v>2577</v>
      </c>
      <c r="AC60" s="1949">
        <v>1.5</v>
      </c>
      <c r="AD60" s="1927"/>
      <c r="AE60" s="1927">
        <f t="shared" si="33"/>
        <v>500</v>
      </c>
      <c r="AF60" s="1927"/>
      <c r="AG60" s="1928">
        <f t="shared" si="34"/>
        <v>750</v>
      </c>
      <c r="AH60" s="1928">
        <f t="shared" si="35"/>
        <v>9000</v>
      </c>
      <c r="AI60" s="1761" t="s">
        <v>2393</v>
      </c>
      <c r="AJ60" s="559"/>
      <c r="AK60" s="559"/>
      <c r="AL60" s="559"/>
    </row>
    <row r="61" spans="1:80">
      <c r="A61" s="1941"/>
      <c r="B61" s="1942">
        <v>0.7</v>
      </c>
      <c r="C61" s="1943">
        <v>1569</v>
      </c>
      <c r="E61" s="1944" t="s">
        <v>810</v>
      </c>
      <c r="F61" s="1945"/>
      <c r="G61" s="1946"/>
      <c r="H61" s="1947"/>
      <c r="I61" s="1948">
        <v>44256</v>
      </c>
      <c r="S61" s="559"/>
      <c r="Y61" s="559"/>
      <c r="Z61" s="559"/>
      <c r="AA61" s="559"/>
      <c r="AB61" s="1547" t="s">
        <v>2578</v>
      </c>
      <c r="AC61" s="1629">
        <v>2.5</v>
      </c>
      <c r="AD61" s="1547"/>
      <c r="AE61" s="1547">
        <f t="shared" si="33"/>
        <v>500</v>
      </c>
      <c r="AF61" s="1547"/>
      <c r="AG61" s="1548">
        <f t="shared" si="34"/>
        <v>1250</v>
      </c>
      <c r="AH61" s="1548">
        <f t="shared" si="35"/>
        <v>15000</v>
      </c>
      <c r="AI61" s="559"/>
      <c r="AJ61" s="559"/>
      <c r="AK61" s="559"/>
      <c r="AL61" s="559"/>
    </row>
    <row r="62" spans="1:80">
      <c r="A62" s="1941"/>
      <c r="B62" s="1942">
        <v>0.6</v>
      </c>
      <c r="C62" s="1943">
        <v>1345</v>
      </c>
      <c r="E62" s="1944" t="s">
        <v>2499</v>
      </c>
      <c r="F62" s="1945"/>
      <c r="G62" s="1946"/>
      <c r="H62" s="1947"/>
      <c r="I62" s="1948">
        <v>44895</v>
      </c>
      <c r="S62" s="559"/>
      <c r="Y62" s="559"/>
      <c r="Z62" s="559"/>
      <c r="AA62" s="559"/>
      <c r="AB62" s="1547" t="s">
        <v>2579</v>
      </c>
      <c r="AC62" s="1629">
        <v>3.5</v>
      </c>
      <c r="AD62" s="1547"/>
      <c r="AE62" s="1547">
        <f t="shared" si="33"/>
        <v>500</v>
      </c>
      <c r="AF62" s="1547"/>
      <c r="AG62" s="1548">
        <f t="shared" si="34"/>
        <v>1750</v>
      </c>
      <c r="AH62" s="1548">
        <f t="shared" si="35"/>
        <v>21000</v>
      </c>
      <c r="AI62" s="559"/>
      <c r="AJ62" s="559"/>
      <c r="AK62" s="559"/>
      <c r="AL62" s="559"/>
    </row>
    <row r="63" spans="1:80">
      <c r="A63" s="1941"/>
      <c r="B63" s="1942">
        <v>0.55000000000000004</v>
      </c>
      <c r="C63" s="1943">
        <v>1233</v>
      </c>
      <c r="E63" s="1950" t="s">
        <v>2580</v>
      </c>
      <c r="F63" s="1951"/>
      <c r="G63" s="1952"/>
      <c r="H63" s="1953"/>
      <c r="I63" s="1954">
        <v>20</v>
      </c>
      <c r="S63" s="559"/>
      <c r="Y63" s="559"/>
      <c r="Z63" s="559"/>
      <c r="AA63" s="559"/>
      <c r="AB63" s="1547" t="s">
        <v>2581</v>
      </c>
      <c r="AC63" s="1629">
        <v>9</v>
      </c>
      <c r="AD63" s="1547"/>
      <c r="AE63" s="1547">
        <f t="shared" si="33"/>
        <v>500</v>
      </c>
      <c r="AF63" s="1547"/>
      <c r="AG63" s="1548">
        <f t="shared" si="34"/>
        <v>4500</v>
      </c>
      <c r="AH63" s="1548">
        <f t="shared" si="35"/>
        <v>54000</v>
      </c>
      <c r="AI63" s="559"/>
      <c r="AJ63" s="559"/>
      <c r="AK63" s="559"/>
      <c r="AL63" s="559"/>
    </row>
    <row r="64" spans="1:80">
      <c r="A64" s="1941"/>
      <c r="B64" s="1942">
        <v>0.5</v>
      </c>
      <c r="C64" s="1943">
        <v>1121</v>
      </c>
      <c r="E64" s="1944" t="s">
        <v>2582</v>
      </c>
      <c r="F64" s="1945"/>
      <c r="G64" s="1946"/>
      <c r="H64" s="1947"/>
      <c r="I64" s="1948">
        <v>44896</v>
      </c>
      <c r="S64" s="559"/>
      <c r="Y64" s="559"/>
      <c r="Z64" s="559"/>
      <c r="AA64" s="559"/>
      <c r="AB64" s="1547" t="s">
        <v>2583</v>
      </c>
      <c r="AC64" s="1629">
        <v>2</v>
      </c>
      <c r="AD64" s="1547"/>
      <c r="AE64" s="1547">
        <f t="shared" si="33"/>
        <v>500</v>
      </c>
      <c r="AF64" s="1547"/>
      <c r="AG64" s="1548">
        <f t="shared" si="34"/>
        <v>1000</v>
      </c>
      <c r="AH64" s="1548">
        <f t="shared" si="35"/>
        <v>12000</v>
      </c>
      <c r="AI64" s="559"/>
      <c r="AJ64" s="559"/>
      <c r="AK64" s="559"/>
      <c r="AL64" s="559"/>
    </row>
    <row r="65" spans="1:79">
      <c r="A65" s="1941"/>
      <c r="B65" s="1942">
        <v>0.45</v>
      </c>
      <c r="C65" s="1943">
        <v>1009</v>
      </c>
      <c r="E65" s="1944" t="s">
        <v>2584</v>
      </c>
      <c r="F65" s="1945"/>
      <c r="G65" s="1946"/>
      <c r="H65" s="1955">
        <v>0.95</v>
      </c>
      <c r="I65" s="1948">
        <v>45260</v>
      </c>
      <c r="S65" s="559"/>
      <c r="Y65" s="559"/>
      <c r="Z65" s="559"/>
      <c r="AA65" s="559"/>
      <c r="AB65" s="1547" t="s">
        <v>2585</v>
      </c>
      <c r="AC65" s="1629">
        <v>2</v>
      </c>
      <c r="AD65" s="1547"/>
      <c r="AE65" s="1547">
        <f t="shared" si="33"/>
        <v>500</v>
      </c>
      <c r="AF65" s="1548"/>
      <c r="AG65" s="1548">
        <f t="shared" si="34"/>
        <v>1000</v>
      </c>
      <c r="AH65" s="1548">
        <f t="shared" si="35"/>
        <v>12000</v>
      </c>
      <c r="AI65" s="559"/>
      <c r="AJ65" s="559"/>
      <c r="AK65" s="559"/>
      <c r="AL65" s="559"/>
    </row>
    <row r="66" spans="1:79">
      <c r="A66" s="1941"/>
      <c r="B66" s="1942">
        <v>0.4</v>
      </c>
      <c r="C66" s="1943">
        <v>897</v>
      </c>
      <c r="E66" s="1950" t="s">
        <v>2586</v>
      </c>
      <c r="F66" s="1951"/>
      <c r="G66" s="1952"/>
      <c r="H66" s="1953"/>
      <c r="I66" s="1954">
        <v>12</v>
      </c>
      <c r="N66" s="1956" t="s">
        <v>2661</v>
      </c>
      <c r="O66" s="559"/>
      <c r="P66" s="559"/>
      <c r="Q66" s="559"/>
      <c r="R66" s="1509"/>
      <c r="S66" s="559"/>
      <c r="Y66" s="559"/>
      <c r="Z66" s="559"/>
      <c r="AA66" s="559"/>
      <c r="AB66" s="1547" t="s">
        <v>2587</v>
      </c>
      <c r="AC66" s="1629">
        <v>11</v>
      </c>
      <c r="AD66" s="1547"/>
      <c r="AE66" s="1547">
        <f t="shared" si="33"/>
        <v>500</v>
      </c>
      <c r="AF66" s="1548"/>
      <c r="AG66" s="1548">
        <f t="shared" si="34"/>
        <v>5500</v>
      </c>
      <c r="AH66" s="1548">
        <f t="shared" si="35"/>
        <v>66000</v>
      </c>
      <c r="AI66" s="559"/>
      <c r="AJ66" s="559"/>
      <c r="AK66" s="559"/>
      <c r="AL66" s="559"/>
    </row>
    <row r="67" spans="1:79" ht="15.75" thickBot="1">
      <c r="A67" s="1941"/>
      <c r="B67" s="1942">
        <v>0.35</v>
      </c>
      <c r="C67" s="1943">
        <v>784</v>
      </c>
      <c r="E67" s="1957" t="s">
        <v>2588</v>
      </c>
      <c r="F67" s="1958"/>
      <c r="G67" s="1959"/>
      <c r="H67" s="1960"/>
      <c r="I67" s="1961">
        <v>45351</v>
      </c>
      <c r="N67" s="1962" t="str">
        <f>T3</f>
        <v>Est. encumbered value (at 4.5% CAP RATE)</v>
      </c>
      <c r="O67" s="1963"/>
      <c r="P67" s="1964"/>
      <c r="Q67" s="1964"/>
      <c r="R67" s="1965">
        <f>X3</f>
        <v>113665377.77777778</v>
      </c>
      <c r="S67" s="559"/>
      <c r="Y67" s="559"/>
      <c r="Z67" s="559"/>
      <c r="AA67" s="559"/>
      <c r="AB67" s="1547" t="s">
        <v>2589</v>
      </c>
      <c r="AC67" s="1629">
        <v>11</v>
      </c>
      <c r="AD67" s="1547"/>
      <c r="AE67" s="1547">
        <f t="shared" si="33"/>
        <v>500</v>
      </c>
      <c r="AF67" s="1548"/>
      <c r="AG67" s="1548">
        <f t="shared" si="34"/>
        <v>5500</v>
      </c>
      <c r="AH67" s="1548">
        <f t="shared" si="35"/>
        <v>66000</v>
      </c>
      <c r="AI67" s="559"/>
      <c r="AJ67" s="559"/>
      <c r="AK67" s="559"/>
      <c r="AL67" s="559"/>
    </row>
    <row r="68" spans="1:79">
      <c r="A68" s="1941"/>
      <c r="B68" s="1942">
        <v>0.3</v>
      </c>
      <c r="C68" s="1943">
        <v>672</v>
      </c>
      <c r="N68" s="1474" t="s">
        <v>2590</v>
      </c>
      <c r="O68" s="559"/>
      <c r="P68" s="559"/>
      <c r="Q68" s="1531">
        <v>0.2</v>
      </c>
      <c r="R68" s="1509">
        <f>+Q68*R67</f>
        <v>22733075.555555556</v>
      </c>
      <c r="S68" s="559"/>
      <c r="Y68" s="559"/>
      <c r="Z68" s="559"/>
      <c r="AA68" s="559"/>
      <c r="AB68" s="1547" t="s">
        <v>2591</v>
      </c>
      <c r="AC68" s="1629">
        <v>11</v>
      </c>
      <c r="AD68" s="1547"/>
      <c r="AE68" s="1547">
        <f t="shared" si="33"/>
        <v>500</v>
      </c>
      <c r="AF68" s="1548"/>
      <c r="AG68" s="1548">
        <f t="shared" si="34"/>
        <v>5500</v>
      </c>
      <c r="AH68" s="1548">
        <f t="shared" si="35"/>
        <v>66000</v>
      </c>
      <c r="AI68" s="559"/>
      <c r="AJ68" s="559"/>
      <c r="AK68" s="559"/>
      <c r="AL68" s="559"/>
    </row>
    <row r="69" spans="1:79">
      <c r="A69" s="1966"/>
      <c r="B69" s="1967">
        <v>0.2</v>
      </c>
      <c r="C69" s="1968">
        <v>448</v>
      </c>
      <c r="N69" s="1969" t="s">
        <v>2663</v>
      </c>
      <c r="O69" s="1970"/>
      <c r="P69" s="1971"/>
      <c r="Q69" s="1971"/>
      <c r="R69" s="1972">
        <f>ROUND(SUM(Q70:Q72),4)</f>
        <v>5.5E-2</v>
      </c>
      <c r="S69" s="559"/>
      <c r="Y69" s="559"/>
      <c r="Z69" s="559"/>
      <c r="AA69" s="559"/>
      <c r="AB69" s="1547" t="s">
        <v>2592</v>
      </c>
      <c r="AC69" s="1629">
        <v>2.5</v>
      </c>
      <c r="AD69" s="1547"/>
      <c r="AE69" s="1547">
        <f t="shared" si="33"/>
        <v>500</v>
      </c>
      <c r="AF69" s="1548"/>
      <c r="AG69" s="1548">
        <f t="shared" si="34"/>
        <v>1250</v>
      </c>
      <c r="AH69" s="1548">
        <f t="shared" si="35"/>
        <v>15000</v>
      </c>
      <c r="AI69" s="559"/>
      <c r="AJ69" s="559"/>
      <c r="AK69" s="559"/>
      <c r="AL69" s="559"/>
    </row>
    <row r="70" spans="1:79">
      <c r="A70" s="1566"/>
      <c r="B70" s="501"/>
      <c r="C70" s="501"/>
      <c r="N70" s="1973"/>
      <c r="O70" s="1974"/>
      <c r="P70" s="1974" t="s">
        <v>2416</v>
      </c>
      <c r="Q70" s="1975">
        <f>W7</f>
        <v>6.9499999999999996E-3</v>
      </c>
      <c r="R70" s="1976"/>
      <c r="S70" s="559"/>
      <c r="Y70" s="559"/>
      <c r="Z70" s="559"/>
      <c r="AA70" s="559"/>
      <c r="AB70" s="1547" t="s">
        <v>2593</v>
      </c>
      <c r="AC70" s="1629">
        <v>8</v>
      </c>
      <c r="AD70" s="1547"/>
      <c r="AE70" s="1547">
        <f t="shared" si="33"/>
        <v>500</v>
      </c>
      <c r="AF70" s="1548"/>
      <c r="AG70" s="1548">
        <f t="shared" si="34"/>
        <v>4000</v>
      </c>
      <c r="AH70" s="1548">
        <f t="shared" si="35"/>
        <v>48000</v>
      </c>
      <c r="AI70" s="559"/>
      <c r="AJ70" s="559"/>
      <c r="AK70" s="559"/>
      <c r="AL70" s="559"/>
    </row>
    <row r="71" spans="1:79">
      <c r="A71" s="1923" t="s">
        <v>2594</v>
      </c>
      <c r="B71" s="1455"/>
      <c r="N71" s="1973"/>
      <c r="O71" s="1974"/>
      <c r="P71" s="1974" t="s">
        <v>2424</v>
      </c>
      <c r="Q71" s="1975">
        <v>4.8000000000000001E-2</v>
      </c>
      <c r="R71" s="1976"/>
      <c r="S71" s="559"/>
      <c r="Y71" s="559"/>
      <c r="Z71" s="559"/>
      <c r="AA71" s="559"/>
      <c r="AB71" s="1547" t="s">
        <v>2595</v>
      </c>
      <c r="AC71" s="1629">
        <v>5</v>
      </c>
      <c r="AD71" s="1547"/>
      <c r="AE71" s="1547">
        <f t="shared" si="33"/>
        <v>500</v>
      </c>
      <c r="AF71" s="1548"/>
      <c r="AG71" s="1548">
        <f t="shared" si="34"/>
        <v>2500</v>
      </c>
      <c r="AH71" s="1548">
        <f t="shared" si="35"/>
        <v>30000</v>
      </c>
      <c r="AI71" s="559"/>
      <c r="AJ71" s="559"/>
      <c r="AK71" s="559"/>
      <c r="AL71" s="559"/>
    </row>
    <row r="72" spans="1:79">
      <c r="A72" s="1847" t="s">
        <v>2596</v>
      </c>
      <c r="B72" s="1455"/>
      <c r="C72" s="1977" t="s">
        <v>2700</v>
      </c>
      <c r="N72" s="1978"/>
      <c r="O72" s="1979"/>
      <c r="P72" s="1979" t="s">
        <v>2428</v>
      </c>
      <c r="Q72" s="1980"/>
      <c r="R72" s="1981"/>
      <c r="S72" s="559"/>
      <c r="Y72" s="559"/>
      <c r="Z72" s="559"/>
      <c r="AA72" s="559"/>
      <c r="AB72" s="1547" t="s">
        <v>2597</v>
      </c>
      <c r="AC72" s="1629">
        <v>1.5</v>
      </c>
      <c r="AD72" s="1547"/>
      <c r="AE72" s="1547">
        <f t="shared" si="33"/>
        <v>500</v>
      </c>
      <c r="AF72" s="1548"/>
      <c r="AG72" s="1548">
        <f t="shared" si="34"/>
        <v>750</v>
      </c>
      <c r="AH72" s="1548">
        <f t="shared" si="35"/>
        <v>9000</v>
      </c>
      <c r="AI72" s="559"/>
      <c r="AJ72" s="559"/>
      <c r="AK72" s="559"/>
      <c r="AL72" s="559"/>
    </row>
    <row r="73" spans="1:79">
      <c r="A73" s="1982"/>
      <c r="B73" s="1983"/>
      <c r="C73" s="1984"/>
      <c r="E73" s="3252"/>
      <c r="F73" s="3252"/>
      <c r="G73" s="3252"/>
      <c r="H73" s="3252"/>
      <c r="I73" s="3252"/>
      <c r="S73" s="559"/>
      <c r="Y73" s="559"/>
      <c r="Z73" s="559"/>
      <c r="AA73" s="559"/>
      <c r="AB73" s="1547" t="s">
        <v>2598</v>
      </c>
      <c r="AC73" s="1629">
        <v>5</v>
      </c>
      <c r="AD73" s="1547"/>
      <c r="AE73" s="1547">
        <f t="shared" si="33"/>
        <v>500</v>
      </c>
      <c r="AF73" s="1548"/>
      <c r="AG73" s="1548">
        <f t="shared" si="34"/>
        <v>2500</v>
      </c>
      <c r="AH73" s="1548">
        <f t="shared" si="35"/>
        <v>30000</v>
      </c>
      <c r="AI73" s="559"/>
      <c r="AJ73" s="559"/>
      <c r="AK73" s="559"/>
      <c r="AL73" s="559"/>
    </row>
    <row r="74" spans="1:79">
      <c r="A74" s="1985" t="s">
        <v>2599</v>
      </c>
      <c r="B74" s="1986"/>
      <c r="C74" s="1987">
        <v>43862</v>
      </c>
      <c r="E74" s="3252"/>
      <c r="F74" s="3252"/>
      <c r="G74" s="3252"/>
      <c r="H74" s="3252"/>
      <c r="I74" s="3252"/>
      <c r="N74" s="1474" t="s">
        <v>2436</v>
      </c>
      <c r="O74" s="559"/>
      <c r="P74" s="559"/>
      <c r="Q74" s="1988">
        <v>30</v>
      </c>
      <c r="R74" s="1989" t="s">
        <v>2600</v>
      </c>
      <c r="S74" s="559"/>
      <c r="Y74" s="559"/>
      <c r="Z74" s="559"/>
      <c r="AA74" s="559"/>
      <c r="AB74" s="1547" t="s">
        <v>2601</v>
      </c>
      <c r="AC74" s="1629">
        <v>10</v>
      </c>
      <c r="AD74" s="1547"/>
      <c r="AE74" s="1547">
        <f t="shared" si="33"/>
        <v>500</v>
      </c>
      <c r="AF74" s="1548"/>
      <c r="AG74" s="1548">
        <f t="shared" si="34"/>
        <v>5000</v>
      </c>
      <c r="AH74" s="1548">
        <f t="shared" si="35"/>
        <v>60000</v>
      </c>
      <c r="AI74" s="559"/>
      <c r="AJ74" s="559"/>
      <c r="AK74" s="559"/>
      <c r="AL74" s="559"/>
    </row>
    <row r="75" spans="1:79" ht="15.75" thickBot="1">
      <c r="A75" s="1990"/>
      <c r="B75" s="1991"/>
      <c r="C75" s="1992" t="s">
        <v>2571</v>
      </c>
      <c r="E75" s="3252"/>
      <c r="F75" s="3252"/>
      <c r="G75" s="3252"/>
      <c r="H75" s="3252"/>
      <c r="I75" s="3252"/>
      <c r="P75" s="1568">
        <f>BA3</f>
        <v>114672470</v>
      </c>
      <c r="S75" s="515" t="s">
        <v>2669</v>
      </c>
      <c r="Y75" s="559"/>
      <c r="Z75" s="559"/>
      <c r="AA75" s="559"/>
      <c r="AB75" s="1547" t="s">
        <v>2602</v>
      </c>
      <c r="AC75" s="1629">
        <v>10</v>
      </c>
      <c r="AD75" s="1547"/>
      <c r="AE75" s="1547">
        <f t="shared" si="33"/>
        <v>500</v>
      </c>
      <c r="AF75" s="1548"/>
      <c r="AG75" s="1548">
        <f t="shared" si="34"/>
        <v>5000</v>
      </c>
      <c r="AH75" s="1548">
        <f t="shared" si="35"/>
        <v>60000</v>
      </c>
      <c r="AI75" s="559"/>
      <c r="AJ75" s="559"/>
      <c r="AK75" s="559"/>
      <c r="AL75" s="559"/>
    </row>
    <row r="76" spans="1:79">
      <c r="A76" s="1993" t="s">
        <v>2603</v>
      </c>
      <c r="B76" s="1994" t="s">
        <v>2604</v>
      </c>
      <c r="C76" s="1995">
        <v>0</v>
      </c>
      <c r="E76" s="3252"/>
      <c r="F76" s="3252"/>
      <c r="G76" s="3252"/>
      <c r="H76" s="3252"/>
      <c r="I76" s="3252"/>
      <c r="N76" s="1969" t="s">
        <v>2658</v>
      </c>
      <c r="O76" s="1996"/>
      <c r="P76" s="2126">
        <v>0.15</v>
      </c>
      <c r="Q76" s="1996"/>
      <c r="R76" s="1997">
        <f>IF(S76="N",0,ROUNDUP(BA3*P76/1000,0)*1000)</f>
        <v>0</v>
      </c>
      <c r="S76" s="515" t="s">
        <v>2670</v>
      </c>
      <c r="Y76" s="559"/>
      <c r="Z76" s="559"/>
      <c r="AA76" s="559"/>
      <c r="AB76" s="1547" t="s">
        <v>2605</v>
      </c>
      <c r="AC76" s="1629">
        <v>10</v>
      </c>
      <c r="AD76" s="1547"/>
      <c r="AE76" s="1547">
        <f t="shared" si="33"/>
        <v>500</v>
      </c>
      <c r="AF76" s="1547"/>
      <c r="AG76" s="1548">
        <f t="shared" si="34"/>
        <v>5000</v>
      </c>
      <c r="AH76" s="1548">
        <f t="shared" si="35"/>
        <v>60000</v>
      </c>
      <c r="AI76" s="559"/>
      <c r="AJ76" s="559"/>
      <c r="AK76" s="559"/>
      <c r="AL76" s="559"/>
      <c r="CA76" s="559"/>
    </row>
    <row r="77" spans="1:79" ht="15.75" thickBot="1">
      <c r="A77" s="1998"/>
      <c r="B77" s="1999" t="s">
        <v>2518</v>
      </c>
      <c r="C77" s="2000">
        <v>9</v>
      </c>
      <c r="E77" s="3252"/>
      <c r="F77" s="3252"/>
      <c r="G77" s="3252"/>
      <c r="H77" s="3252"/>
      <c r="I77" s="3252"/>
      <c r="N77" s="2001"/>
      <c r="O77" s="2002"/>
      <c r="P77" s="2002"/>
      <c r="Q77" s="2003"/>
      <c r="R77" s="2004"/>
      <c r="S77" s="559"/>
      <c r="Y77" s="559"/>
      <c r="Z77" s="559"/>
      <c r="AA77" s="1761"/>
      <c r="AB77" s="2005" t="s">
        <v>2606</v>
      </c>
      <c r="AC77" s="2006"/>
      <c r="AD77" s="2005"/>
      <c r="AE77" s="2005"/>
      <c r="AF77" s="2005"/>
      <c r="AG77" s="2007">
        <f>SUM(AG61:AG76)</f>
        <v>52000</v>
      </c>
      <c r="AH77" s="2007">
        <f>SUM(AH61:AH76)</f>
        <v>624000</v>
      </c>
      <c r="AI77" s="1761" t="s">
        <v>2394</v>
      </c>
      <c r="AJ77" s="559"/>
      <c r="AK77" s="559"/>
      <c r="AL77" s="559"/>
      <c r="CA77" s="559"/>
    </row>
    <row r="78" spans="1:79">
      <c r="A78" s="1993" t="s">
        <v>2607</v>
      </c>
      <c r="B78" s="1994" t="s">
        <v>2604</v>
      </c>
      <c r="C78" s="1995">
        <v>0</v>
      </c>
      <c r="E78" s="3252"/>
      <c r="F78" s="3252"/>
      <c r="G78" s="3252"/>
      <c r="H78" s="3252"/>
      <c r="I78" s="3252"/>
      <c r="N78" s="2008" t="s">
        <v>2664</v>
      </c>
      <c r="O78" s="1541"/>
      <c r="P78" s="1541"/>
      <c r="Q78" s="1541"/>
      <c r="R78" s="2009">
        <f>ROUND(PMT(R69/2,Q74*2,-R76)*2,0)</f>
        <v>0</v>
      </c>
      <c r="S78" s="559"/>
      <c r="Y78" s="559"/>
      <c r="Z78" s="559"/>
      <c r="AA78" s="1761"/>
      <c r="AB78" s="2005" t="s">
        <v>2608</v>
      </c>
      <c r="AC78" s="2006">
        <v>10</v>
      </c>
      <c r="AD78" s="2005"/>
      <c r="AE78" s="2005">
        <f>AE$3</f>
        <v>500</v>
      </c>
      <c r="AF78" s="2007"/>
      <c r="AG78" s="2007">
        <f>AC78*AE78</f>
        <v>5000</v>
      </c>
      <c r="AH78" s="2007">
        <f>ROUND(AG78*12,0)</f>
        <v>60000</v>
      </c>
      <c r="AI78" s="1761" t="s">
        <v>2609</v>
      </c>
      <c r="AJ78" s="559"/>
      <c r="AK78" s="559"/>
      <c r="AL78" s="559"/>
      <c r="CA78" s="559"/>
    </row>
    <row r="79" spans="1:79" ht="15.75" thickBot="1">
      <c r="A79" s="1998"/>
      <c r="B79" s="1999" t="s">
        <v>2518</v>
      </c>
      <c r="C79" s="2000">
        <v>3</v>
      </c>
      <c r="E79" s="3252"/>
      <c r="F79" s="3252"/>
      <c r="G79" s="3252"/>
      <c r="H79" s="3252"/>
      <c r="I79" s="3252"/>
      <c r="N79" s="1978" t="s">
        <v>2664</v>
      </c>
      <c r="O79" s="2010"/>
      <c r="P79" s="2010"/>
      <c r="Q79" s="2010"/>
      <c r="R79" s="2011">
        <f>+R77+R78</f>
        <v>0</v>
      </c>
      <c r="S79" s="559"/>
      <c r="T79" s="559"/>
      <c r="U79" s="559"/>
      <c r="V79" s="559"/>
      <c r="W79" s="559"/>
      <c r="X79" s="559"/>
      <c r="Y79" s="559"/>
      <c r="Z79" s="559"/>
      <c r="AA79" s="1761"/>
      <c r="AB79" s="2005" t="s">
        <v>2610</v>
      </c>
      <c r="AC79" s="2006">
        <v>6</v>
      </c>
      <c r="AD79" s="2005"/>
      <c r="AE79" s="2005">
        <f>AE$3</f>
        <v>500</v>
      </c>
      <c r="AF79" s="2007"/>
      <c r="AG79" s="2007">
        <f>AC79*AE79</f>
        <v>3000</v>
      </c>
      <c r="AH79" s="2007">
        <f>ROUND(AG79*12,0)</f>
        <v>36000</v>
      </c>
      <c r="AI79" s="1761" t="s">
        <v>2611</v>
      </c>
      <c r="AJ79" s="559"/>
      <c r="AK79" s="559"/>
      <c r="AL79" s="559"/>
      <c r="CA79" s="559"/>
    </row>
    <row r="80" spans="1:79">
      <c r="A80" s="1993" t="s">
        <v>2612</v>
      </c>
      <c r="B80" s="1994" t="s">
        <v>2604</v>
      </c>
      <c r="C80" s="1995">
        <v>0</v>
      </c>
      <c r="E80" s="3252"/>
      <c r="F80" s="3252"/>
      <c r="G80" s="3252"/>
      <c r="H80" s="3252"/>
      <c r="I80" s="3252"/>
      <c r="S80" s="559"/>
      <c r="Y80" s="559"/>
      <c r="Z80" s="559"/>
      <c r="AA80" s="559"/>
      <c r="AB80" s="1877" t="s">
        <v>2613</v>
      </c>
      <c r="AC80" s="2012">
        <v>9</v>
      </c>
      <c r="AD80" s="1877"/>
      <c r="AE80" s="1877">
        <f>AE$3</f>
        <v>500</v>
      </c>
      <c r="AF80" s="1877"/>
      <c r="AG80" s="1879">
        <f>AC80*AE80</f>
        <v>4500</v>
      </c>
      <c r="AH80" s="1879">
        <f>ROUND(AG80*12,0)</f>
        <v>54000</v>
      </c>
      <c r="AI80" s="559"/>
      <c r="AJ80" s="559"/>
      <c r="AK80" s="559"/>
      <c r="AL80" s="559"/>
      <c r="CA80" s="559"/>
    </row>
    <row r="81" spans="1:79" ht="15.75" thickBot="1">
      <c r="A81" s="1998"/>
      <c r="B81" s="1999" t="s">
        <v>2518</v>
      </c>
      <c r="C81" s="2000">
        <v>5</v>
      </c>
      <c r="E81" s="3252"/>
      <c r="F81" s="3252"/>
      <c r="G81" s="3252"/>
      <c r="H81" s="3252"/>
      <c r="I81" s="3252"/>
      <c r="N81" s="515" t="s">
        <v>2660</v>
      </c>
      <c r="O81" s="559"/>
      <c r="P81" s="559"/>
      <c r="Q81" s="2156">
        <v>2.5000000000000001E-2</v>
      </c>
      <c r="R81" s="1509">
        <f>ROUND(Q81*R76,0)</f>
        <v>0</v>
      </c>
      <c r="S81" s="559"/>
      <c r="Y81" s="559"/>
      <c r="Z81" s="559"/>
      <c r="AA81" s="559"/>
      <c r="AB81" s="1877" t="s">
        <v>2614</v>
      </c>
      <c r="AC81" s="2012">
        <v>6</v>
      </c>
      <c r="AD81" s="1877"/>
      <c r="AE81" s="1877">
        <f>AE$3</f>
        <v>500</v>
      </c>
      <c r="AF81" s="1877"/>
      <c r="AG81" s="1879">
        <f>AC81*AE81</f>
        <v>3000</v>
      </c>
      <c r="AH81" s="1879">
        <f>ROUND(AG81*12,0)</f>
        <v>36000</v>
      </c>
      <c r="AI81" s="559"/>
      <c r="AJ81" s="559"/>
      <c r="AK81" s="559"/>
      <c r="AL81" s="559"/>
      <c r="CA81" s="559"/>
    </row>
    <row r="82" spans="1:79">
      <c r="A82" s="1993" t="s">
        <v>2615</v>
      </c>
      <c r="B82" s="1994" t="s">
        <v>2616</v>
      </c>
      <c r="C82" s="1995">
        <v>0</v>
      </c>
      <c r="E82" s="3252"/>
      <c r="F82" s="3252"/>
      <c r="G82" s="3252"/>
      <c r="H82" s="3252"/>
      <c r="I82" s="3252"/>
      <c r="N82" s="559"/>
      <c r="O82" s="559"/>
      <c r="P82" s="559"/>
      <c r="Q82" s="559"/>
      <c r="R82" s="559"/>
      <c r="S82" s="559"/>
      <c r="Y82" s="559"/>
      <c r="Z82" s="559"/>
      <c r="AA82" s="1761"/>
      <c r="AB82" s="2005" t="s">
        <v>2617</v>
      </c>
      <c r="AC82" s="2006"/>
      <c r="AD82" s="2005"/>
      <c r="AE82" s="2005"/>
      <c r="AF82" s="2005"/>
      <c r="AG82" s="2007">
        <f>SUM(AG80:AG81)</f>
        <v>7500</v>
      </c>
      <c r="AH82" s="2007">
        <f>SUM(AH80:AH81)</f>
        <v>90000</v>
      </c>
      <c r="AI82" s="1761" t="s">
        <v>2618</v>
      </c>
      <c r="AJ82" s="559"/>
      <c r="AK82" s="559"/>
      <c r="AL82" s="559"/>
      <c r="CA82" s="559"/>
    </row>
    <row r="83" spans="1:79" ht="15.75" thickBot="1">
      <c r="A83" s="1998"/>
      <c r="B83" s="1999" t="s">
        <v>2518</v>
      </c>
      <c r="C83" s="2000">
        <v>4</v>
      </c>
      <c r="E83" s="3252"/>
      <c r="F83" s="3252"/>
      <c r="G83" s="3252"/>
      <c r="H83" s="3252"/>
      <c r="I83" s="3252"/>
      <c r="Y83" s="559"/>
      <c r="Z83" s="559"/>
      <c r="AA83" s="1761"/>
      <c r="AB83" s="2005" t="s">
        <v>2619</v>
      </c>
      <c r="AC83" s="2006">
        <v>45</v>
      </c>
      <c r="AD83" s="2005"/>
      <c r="AE83" s="2005">
        <f>AE$3</f>
        <v>500</v>
      </c>
      <c r="AF83" s="2007"/>
      <c r="AG83" s="2007">
        <f>AC83*AE83</f>
        <v>22500</v>
      </c>
      <c r="AH83" s="2007">
        <f>ROUND(AG83*12,0)</f>
        <v>270000</v>
      </c>
      <c r="AI83" s="1761" t="s">
        <v>2620</v>
      </c>
      <c r="AJ83" s="559"/>
      <c r="AK83" s="559"/>
      <c r="AL83" s="559"/>
      <c r="CA83" s="559"/>
    </row>
    <row r="84" spans="1:79" ht="15.75" thickBot="1">
      <c r="A84" s="1993" t="s">
        <v>2621</v>
      </c>
      <c r="B84" s="1994" t="s">
        <v>2604</v>
      </c>
      <c r="C84" s="1995">
        <v>15</v>
      </c>
      <c r="E84" s="3252"/>
      <c r="F84" s="3252"/>
      <c r="G84" s="3252"/>
      <c r="H84" s="3252"/>
      <c r="I84" s="3252"/>
      <c r="Y84" s="559"/>
      <c r="Z84" s="559"/>
      <c r="AA84" s="1761" t="s">
        <v>2513</v>
      </c>
      <c r="AB84" s="1762" t="s">
        <v>2622</v>
      </c>
      <c r="AC84" s="1938"/>
      <c r="AD84" s="1938"/>
      <c r="AE84" s="1938"/>
      <c r="AF84" s="1939"/>
      <c r="AG84" s="1765">
        <f>+AG60+AG77+AG78+AG79+AG82+AG83</f>
        <v>90750</v>
      </c>
      <c r="AH84" s="1766">
        <f>+AH60+AH77+AH78+AH79+AH82+AH83</f>
        <v>1089000</v>
      </c>
      <c r="AI84" s="1761" t="s">
        <v>2623</v>
      </c>
      <c r="AJ84" s="559"/>
      <c r="AK84" s="559"/>
      <c r="AL84" s="559"/>
      <c r="CA84" s="559"/>
    </row>
    <row r="85" spans="1:79" ht="15.75" thickBot="1">
      <c r="A85" s="2013" t="s">
        <v>2624</v>
      </c>
      <c r="B85" s="2014" t="s">
        <v>2604</v>
      </c>
      <c r="C85" s="2015">
        <v>0</v>
      </c>
      <c r="E85" s="3252"/>
      <c r="F85" s="3252"/>
      <c r="G85" s="3252"/>
      <c r="H85" s="3252"/>
      <c r="I85" s="3252"/>
      <c r="Y85" s="559"/>
      <c r="Z85" s="559"/>
      <c r="AA85" s="559"/>
      <c r="AB85" s="559"/>
      <c r="AC85" s="559"/>
      <c r="AD85" s="559"/>
      <c r="AE85" s="559"/>
      <c r="AF85" s="559"/>
      <c r="AG85" s="559"/>
      <c r="AH85" s="559"/>
      <c r="AI85" s="559"/>
      <c r="AJ85" s="559"/>
      <c r="AK85" s="559"/>
      <c r="AL85" s="559"/>
      <c r="CA85" s="559"/>
    </row>
    <row r="86" spans="1:79" ht="15.75" thickBot="1">
      <c r="A86" s="2016" t="s">
        <v>2625</v>
      </c>
      <c r="B86" s="2017"/>
      <c r="C86" s="2018">
        <f>SUM(C76:C85)</f>
        <v>36</v>
      </c>
      <c r="E86" s="3252"/>
      <c r="F86" s="3252"/>
      <c r="G86" s="3252"/>
      <c r="H86" s="3252"/>
      <c r="I86" s="3252"/>
      <c r="Y86" s="559"/>
      <c r="Z86" s="559"/>
      <c r="AA86" s="559"/>
      <c r="AB86" s="2019" t="s">
        <v>2626</v>
      </c>
      <c r="AC86" s="2020"/>
      <c r="AD86" s="2020"/>
      <c r="AE86" s="2020"/>
      <c r="AF86" s="2020"/>
      <c r="AG86" s="2021">
        <f>SUMIF($AA14:$AA84,"subtotal",AG14:AG84)</f>
        <v>242110</v>
      </c>
      <c r="AH86" s="2022">
        <f>ROUND(SUMIF($AA14:$AA84,"subtotal",AH14:AH84),0)</f>
        <v>2905320</v>
      </c>
      <c r="AI86" s="1940">
        <f>AH86/AE3</f>
        <v>5810.64</v>
      </c>
      <c r="AJ86" s="559" t="str">
        <f>IF(AI86&gt;4500,"Min OpEx Test: OK","Increase OpEx")</f>
        <v>Min OpEx Test: OK</v>
      </c>
      <c r="CA86" s="559"/>
    </row>
    <row r="87" spans="1:79">
      <c r="Y87" s="559"/>
      <c r="Z87" s="559"/>
      <c r="AA87" s="559"/>
      <c r="AB87" s="559"/>
      <c r="AC87" s="559"/>
      <c r="AD87" s="559"/>
      <c r="AE87" s="559"/>
      <c r="AF87" s="559"/>
      <c r="AG87" s="559"/>
      <c r="AH87" s="559"/>
      <c r="AI87" s="2164" t="str">
        <f>N19</f>
        <v>TCAC Min. OpEx OC Sr w Elev - 2019</v>
      </c>
      <c r="AJ87" s="1509">
        <f>Q19</f>
        <v>4300</v>
      </c>
      <c r="CA87" s="559"/>
    </row>
    <row r="88" spans="1:79">
      <c r="A88" s="2023" t="s">
        <v>582</v>
      </c>
      <c r="B88" s="2024"/>
      <c r="N88" s="559"/>
      <c r="O88" s="559"/>
      <c r="P88" s="559"/>
      <c r="Q88" s="559"/>
      <c r="R88" s="559"/>
      <c r="S88" s="559"/>
      <c r="Y88" s="559"/>
      <c r="Z88" s="559"/>
      <c r="AA88" s="559"/>
      <c r="AB88" s="2025" t="s">
        <v>2482</v>
      </c>
      <c r="AC88" s="2025" t="s">
        <v>2627</v>
      </c>
      <c r="AD88" s="2025"/>
      <c r="AE88" s="2025"/>
      <c r="AF88" s="2025"/>
      <c r="AG88" s="2026">
        <f>AH88/12</f>
        <v>0</v>
      </c>
      <c r="AH88" s="2026">
        <v>0</v>
      </c>
      <c r="AI88" s="2164" t="str">
        <f t="shared" ref="AI88:AI89" si="36">N20</f>
        <v>TCAC Min. OpEx OC Family w Elev - 2019)</v>
      </c>
      <c r="AJ88" s="1509">
        <f t="shared" ref="AJ88:AJ89" si="37">Q20</f>
        <v>5000</v>
      </c>
      <c r="CA88" s="559"/>
    </row>
    <row r="89" spans="1:79">
      <c r="Y89" s="559"/>
      <c r="Z89" s="559"/>
      <c r="AA89" s="559"/>
      <c r="AB89" s="2025" t="s">
        <v>2628</v>
      </c>
      <c r="AC89" s="2025" t="s">
        <v>2629</v>
      </c>
      <c r="AD89" s="2025"/>
      <c r="AE89" s="2025"/>
      <c r="AF89" s="2025"/>
      <c r="AG89" s="2026">
        <f>AH89/12</f>
        <v>59.25</v>
      </c>
      <c r="AH89" s="2026">
        <f>Application!AG386</f>
        <v>711</v>
      </c>
      <c r="AI89" s="2164" t="str">
        <f t="shared" si="36"/>
        <v>TCAC Min. OpEx OC non-targeted w Elev - 2019</v>
      </c>
      <c r="AJ89" s="1509">
        <f t="shared" si="37"/>
        <v>5300</v>
      </c>
      <c r="AK89" s="559"/>
      <c r="AL89" s="559"/>
      <c r="CA89" s="559"/>
    </row>
    <row r="90" spans="1:79">
      <c r="A90" s="2027"/>
      <c r="B90" s="2028"/>
      <c r="C90" s="2029" t="s">
        <v>2515</v>
      </c>
      <c r="D90" s="2029" t="s">
        <v>2630</v>
      </c>
      <c r="E90" s="2029" t="s">
        <v>2631</v>
      </c>
      <c r="F90" s="2029" t="s">
        <v>2632</v>
      </c>
      <c r="G90" s="10"/>
      <c r="H90" s="353"/>
      <c r="Y90" s="559"/>
      <c r="Z90" s="559"/>
      <c r="AA90" s="559"/>
      <c r="AB90" s="2030" t="s">
        <v>2665</v>
      </c>
      <c r="AC90" s="2030" t="s">
        <v>2659</v>
      </c>
      <c r="AD90" s="2030"/>
      <c r="AE90" s="2030"/>
      <c r="AF90" s="2030"/>
      <c r="AG90" s="2031">
        <f>+AH90/12</f>
        <v>0</v>
      </c>
      <c r="AH90" s="2031">
        <f>R79</f>
        <v>0</v>
      </c>
      <c r="AI90" s="559"/>
      <c r="AJ90" s="559"/>
      <c r="AK90" s="559"/>
      <c r="AL90" s="559"/>
      <c r="CA90" s="559"/>
    </row>
    <row r="91" spans="1:79">
      <c r="A91" s="2032" t="s">
        <v>2633</v>
      </c>
      <c r="B91" s="2033" t="s">
        <v>2634</v>
      </c>
      <c r="C91" s="2034">
        <v>3.79</v>
      </c>
      <c r="D91" s="2035">
        <f>E43</f>
        <v>200300</v>
      </c>
      <c r="E91" s="2036"/>
      <c r="F91" s="1686">
        <f>C91*D91</f>
        <v>759137</v>
      </c>
      <c r="H91" s="2165" t="s">
        <v>2683</v>
      </c>
      <c r="Y91" s="559"/>
      <c r="Z91" s="559"/>
      <c r="AA91" s="559"/>
      <c r="AB91" s="2037"/>
      <c r="AC91" s="2037"/>
      <c r="AD91" s="2037"/>
      <c r="AE91" s="2037"/>
      <c r="AF91" s="2037"/>
      <c r="AG91" s="2038"/>
      <c r="AH91" s="2038"/>
      <c r="AI91" s="559"/>
      <c r="AJ91" s="559"/>
      <c r="AK91" s="559"/>
      <c r="AL91" s="559"/>
      <c r="CA91" s="559"/>
    </row>
    <row r="92" spans="1:79">
      <c r="A92" s="1874"/>
      <c r="B92" s="2039" t="s">
        <v>2508</v>
      </c>
      <c r="C92" s="2040">
        <v>0</v>
      </c>
      <c r="D92" s="2041">
        <f>IF(E49="N/A",0,E49)</f>
        <v>0</v>
      </c>
      <c r="E92" s="1875"/>
      <c r="F92" s="2042">
        <f>C92*D92</f>
        <v>0</v>
      </c>
      <c r="H92" s="2165" t="s">
        <v>2707</v>
      </c>
      <c r="Y92" s="559"/>
      <c r="Z92" s="559"/>
      <c r="AA92" s="559"/>
      <c r="AB92" s="2043" t="s">
        <v>2485</v>
      </c>
      <c r="AC92" s="2044"/>
      <c r="AD92" s="2045"/>
      <c r="AE92" s="2045"/>
      <c r="AF92" s="2045"/>
      <c r="AG92" s="2046">
        <f>SUM(AG88:AG91)</f>
        <v>59.25</v>
      </c>
      <c r="AH92" s="2047">
        <f>+AG92*12</f>
        <v>711</v>
      </c>
      <c r="AI92" s="559"/>
      <c r="AJ92" s="559"/>
      <c r="AK92" s="559"/>
      <c r="AL92" s="559"/>
      <c r="CA92" s="559"/>
    </row>
    <row r="93" spans="1:79">
      <c r="A93" s="1874"/>
      <c r="B93" s="2039"/>
      <c r="C93" s="1875"/>
      <c r="D93" s="1875"/>
      <c r="E93" s="1875"/>
      <c r="F93" s="2042">
        <f>ROUND(SUM(F91:F92),0)</f>
        <v>759137</v>
      </c>
      <c r="G93" s="290"/>
      <c r="H93" s="2166" t="s">
        <v>2708</v>
      </c>
      <c r="Y93" s="559"/>
      <c r="Z93" s="559"/>
      <c r="AA93" s="559"/>
      <c r="AB93" s="1494"/>
      <c r="AC93" s="2048"/>
      <c r="AD93" s="1494"/>
      <c r="AE93" s="1494"/>
      <c r="AF93" s="1494"/>
      <c r="AG93" s="1511"/>
      <c r="AH93" s="1511"/>
      <c r="AI93" s="559"/>
      <c r="AJ93" s="559"/>
      <c r="AK93" s="559"/>
      <c r="AL93" s="559"/>
      <c r="CA93" s="559"/>
    </row>
    <row r="94" spans="1:79">
      <c r="N94" s="559"/>
      <c r="O94" s="559"/>
      <c r="P94" s="559"/>
      <c r="Q94" s="559"/>
      <c r="R94" s="559"/>
      <c r="S94" s="559"/>
      <c r="Y94" s="559"/>
      <c r="Z94" s="559"/>
      <c r="AA94" s="559"/>
      <c r="AB94" s="1762" t="s">
        <v>2635</v>
      </c>
      <c r="AC94" s="1764" t="s">
        <v>135</v>
      </c>
      <c r="AD94" s="1764"/>
      <c r="AE94" s="1764"/>
      <c r="AF94" s="1764"/>
      <c r="AG94" s="1765">
        <f>AH94/12</f>
        <v>0</v>
      </c>
      <c r="AH94" s="1766">
        <v>0</v>
      </c>
      <c r="AI94" s="559"/>
      <c r="AJ94" s="559"/>
      <c r="AK94" s="559"/>
      <c r="AL94" s="559"/>
      <c r="CA94" s="559"/>
    </row>
    <row r="95" spans="1:79">
      <c r="N95" s="559"/>
      <c r="O95" s="559"/>
      <c r="P95" s="559"/>
      <c r="Q95" s="559"/>
      <c r="R95" s="559"/>
      <c r="S95" s="559"/>
      <c r="Y95" s="559"/>
      <c r="Z95" s="559"/>
      <c r="AB95" s="2049"/>
      <c r="AC95" s="2049"/>
      <c r="AD95" s="2049"/>
      <c r="AE95" s="2049"/>
      <c r="AF95" s="2049"/>
      <c r="AG95" s="2049"/>
      <c r="AH95" s="2049"/>
      <c r="AI95" s="559"/>
      <c r="AJ95" s="559"/>
      <c r="AK95" s="559"/>
      <c r="AL95" s="559"/>
      <c r="CA95" s="559"/>
    </row>
    <row r="96" spans="1:79" ht="15.75">
      <c r="A96" s="2050" t="s">
        <v>2636</v>
      </c>
      <c r="Y96" s="559"/>
      <c r="Z96" s="559"/>
      <c r="AA96" s="2051" t="s">
        <v>2637</v>
      </c>
      <c r="AB96" s="1762" t="s">
        <v>2638</v>
      </c>
      <c r="AC96" s="1835">
        <v>350</v>
      </c>
      <c r="AD96" s="1764" t="s">
        <v>2639</v>
      </c>
      <c r="AE96" s="1764">
        <f>AE$3</f>
        <v>500</v>
      </c>
      <c r="AF96" s="1764"/>
      <c r="AG96" s="1765">
        <f>+AC96*AE96/12</f>
        <v>14583.333333333334</v>
      </c>
      <c r="AH96" s="1766">
        <f>+AG96*12</f>
        <v>175000</v>
      </c>
      <c r="AI96" s="559"/>
      <c r="AJ96" s="559"/>
      <c r="AK96" s="559"/>
      <c r="AL96" s="559"/>
      <c r="CA96" s="559"/>
    </row>
    <row r="97" spans="1:79" ht="15.75" thickBot="1">
      <c r="AB97" s="559"/>
      <c r="AC97" s="559"/>
      <c r="AD97" s="559"/>
      <c r="AE97" s="559"/>
      <c r="AF97" s="1512" t="s">
        <v>164</v>
      </c>
      <c r="AG97" s="1512"/>
      <c r="AH97" s="2052">
        <f>AH86+AH92+AH94+AH96</f>
        <v>3081031</v>
      </c>
      <c r="AI97" s="559"/>
      <c r="AJ97" s="559"/>
      <c r="AK97" s="559"/>
      <c r="AL97" s="559"/>
      <c r="CA97" s="559"/>
    </row>
    <row r="98" spans="1:79" ht="15.75" thickBot="1">
      <c r="A98" s="2053" t="s">
        <v>2640</v>
      </c>
      <c r="B98" s="2054"/>
      <c r="C98" s="2055"/>
      <c r="D98" s="10"/>
      <c r="E98" s="2055"/>
      <c r="F98" s="10"/>
      <c r="G98" s="2053" t="s">
        <v>2430</v>
      </c>
      <c r="H98" s="353"/>
      <c r="AA98" s="2056" t="s">
        <v>1225</v>
      </c>
      <c r="AB98" s="2057"/>
      <c r="AC98" s="2057"/>
      <c r="AD98" s="2057"/>
      <c r="AE98" s="2057"/>
      <c r="AF98" s="2057"/>
      <c r="AG98" s="2057"/>
      <c r="AH98" s="2058">
        <f>+AH11-AH86-AH92-AH94-AH96</f>
        <v>5114942</v>
      </c>
      <c r="AI98" s="559"/>
      <c r="AJ98" s="559"/>
      <c r="AK98" s="559"/>
      <c r="AL98" s="559"/>
      <c r="CA98" s="559"/>
    </row>
    <row r="99" spans="1:79">
      <c r="A99" s="354"/>
      <c r="B99" s="1540" t="s">
        <v>2515</v>
      </c>
      <c r="C99" s="1433" t="s">
        <v>2641</v>
      </c>
      <c r="D99" s="1433"/>
      <c r="F99" s="2059"/>
      <c r="G99" s="1809" t="s">
        <v>2642</v>
      </c>
      <c r="H99" s="2060"/>
      <c r="AA99" s="2112"/>
      <c r="AB99" s="2113"/>
      <c r="AC99" s="2113"/>
      <c r="AD99" s="2113"/>
      <c r="AE99" s="2113"/>
      <c r="AF99" s="2113"/>
      <c r="AG99" s="2113"/>
      <c r="AH99" s="2113"/>
    </row>
    <row r="100" spans="1:79">
      <c r="A100" s="2061">
        <f>E43</f>
        <v>200300</v>
      </c>
      <c r="B100" s="2062">
        <v>144</v>
      </c>
      <c r="C100" s="1848">
        <f>A100*B100</f>
        <v>28843200</v>
      </c>
      <c r="D100" s="1848">
        <v>100000</v>
      </c>
      <c r="E100" s="1848">
        <v>1488</v>
      </c>
      <c r="F100" s="1848"/>
      <c r="G100" s="2063"/>
      <c r="H100" s="2064">
        <f>+E100</f>
        <v>1488</v>
      </c>
      <c r="AA100" s="1"/>
      <c r="AB100" s="2114"/>
      <c r="AC100" s="2115"/>
      <c r="AD100" s="2116"/>
      <c r="AE100" s="2117"/>
      <c r="AF100" s="2114"/>
      <c r="AG100" s="1"/>
      <c r="AH100" s="1"/>
    </row>
    <row r="101" spans="1:79">
      <c r="A101" s="354"/>
      <c r="B101" s="2065"/>
      <c r="C101" s="1848"/>
      <c r="D101" s="2066" t="s">
        <v>2643</v>
      </c>
      <c r="E101" s="1848">
        <f>+(C100-100000)/1000</f>
        <v>28743.200000000001</v>
      </c>
      <c r="F101" s="1848">
        <v>7.7</v>
      </c>
      <c r="G101" s="2063"/>
      <c r="H101" s="2064">
        <f>+E101*F101</f>
        <v>221322.64</v>
      </c>
      <c r="AA101" s="1"/>
      <c r="AB101" s="2117"/>
      <c r="AC101" s="2116"/>
      <c r="AD101" s="1"/>
      <c r="AE101" s="2118"/>
      <c r="AF101" s="2117"/>
      <c r="AG101" s="1"/>
      <c r="AH101" s="1"/>
    </row>
    <row r="102" spans="1:79">
      <c r="A102" s="1809" t="s">
        <v>2644</v>
      </c>
      <c r="B102" s="2065"/>
      <c r="C102" s="1848"/>
      <c r="D102" s="1848"/>
      <c r="E102" s="1848"/>
      <c r="F102" s="1848"/>
      <c r="G102" s="2063"/>
      <c r="H102" s="2064">
        <f>150000</f>
        <v>150000</v>
      </c>
      <c r="AA102" s="1"/>
      <c r="AB102" s="2119"/>
      <c r="AC102" s="2120"/>
      <c r="AD102" s="2121"/>
      <c r="AE102" s="2122"/>
      <c r="AF102" s="2119"/>
      <c r="AG102" s="1"/>
      <c r="AH102" s="1"/>
    </row>
    <row r="103" spans="1:79">
      <c r="A103" s="354"/>
      <c r="B103" s="2065"/>
      <c r="C103" s="1848"/>
      <c r="D103" s="1848"/>
      <c r="E103" s="1848"/>
      <c r="F103" s="1848"/>
      <c r="G103" s="2063"/>
      <c r="H103" s="2064"/>
      <c r="AA103" s="1"/>
      <c r="AB103" s="2119"/>
      <c r="AC103" s="2120"/>
      <c r="AD103" s="2121"/>
      <c r="AE103" s="2122"/>
      <c r="AF103" s="2119"/>
      <c r="AG103" s="1"/>
      <c r="AH103" s="1"/>
    </row>
    <row r="104" spans="1:79">
      <c r="A104" s="354"/>
      <c r="B104" s="2065"/>
      <c r="C104" s="1848"/>
      <c r="D104" s="1848"/>
      <c r="E104" s="1848"/>
      <c r="F104" s="1848"/>
      <c r="G104" s="2063"/>
      <c r="H104" s="2064"/>
      <c r="AA104" s="1"/>
      <c r="AB104" s="1"/>
      <c r="AC104" s="2120"/>
      <c r="AD104" s="2121"/>
      <c r="AE104" s="2122"/>
      <c r="AF104" s="1"/>
      <c r="AG104" s="1"/>
      <c r="AH104" s="1"/>
    </row>
    <row r="105" spans="1:79">
      <c r="A105" s="289"/>
      <c r="B105" s="2067"/>
      <c r="C105" s="2068"/>
      <c r="D105" s="2068"/>
      <c r="E105" s="2068"/>
      <c r="F105" s="2068"/>
      <c r="G105" s="2069"/>
      <c r="H105" s="2070"/>
      <c r="AA105" s="1"/>
      <c r="AB105" s="1"/>
      <c r="AC105" s="2120"/>
      <c r="AD105" s="2121"/>
      <c r="AE105" s="2122"/>
      <c r="AF105" s="1"/>
      <c r="AG105" s="1"/>
      <c r="AH105" s="1"/>
    </row>
    <row r="106" spans="1:79">
      <c r="A106" s="6"/>
      <c r="B106" s="2071"/>
      <c r="C106" s="6"/>
      <c r="D106" s="6"/>
      <c r="E106" s="6"/>
      <c r="F106" s="6"/>
      <c r="G106" s="2072"/>
      <c r="H106" s="2073"/>
      <c r="AA106" s="1"/>
      <c r="AB106" s="1"/>
      <c r="AC106" s="2120"/>
      <c r="AD106" s="2121"/>
      <c r="AE106" s="2122"/>
      <c r="AF106" s="1"/>
      <c r="AG106" s="1"/>
      <c r="AH106" s="1"/>
    </row>
    <row r="107" spans="1:79">
      <c r="A107" s="7" t="s">
        <v>2645</v>
      </c>
      <c r="B107" s="1540" t="s">
        <v>2646</v>
      </c>
      <c r="G107" s="2074" t="s">
        <v>2430</v>
      </c>
      <c r="H107" s="2075">
        <f>ROUND(SUM(H100:H105),0)</f>
        <v>372811</v>
      </c>
      <c r="AA107" s="1"/>
      <c r="AB107" s="1"/>
      <c r="AC107" s="2120"/>
      <c r="AD107" s="2123"/>
      <c r="AE107" s="2124"/>
      <c r="AF107" s="2124"/>
      <c r="AG107" s="1"/>
      <c r="AH107" s="1"/>
    </row>
    <row r="108" spans="1:79" ht="15.75">
      <c r="A108" s="2076">
        <f>'Sources and Uses Budget'!B36+'Sources and Uses Budget'!B75</f>
        <v>93840485</v>
      </c>
      <c r="B108" s="2076">
        <f>+A108/E43</f>
        <v>468.49967548676983</v>
      </c>
      <c r="AA108" s="1"/>
      <c r="AB108" s="2125"/>
      <c r="AC108" s="2120"/>
      <c r="AD108" s="2122"/>
      <c r="AE108" s="2122"/>
      <c r="AF108" s="2122"/>
      <c r="AG108" s="1"/>
      <c r="AH108" s="1"/>
    </row>
    <row r="109" spans="1:79">
      <c r="AA109" s="1"/>
      <c r="AB109" s="1"/>
      <c r="AC109" s="1"/>
      <c r="AD109" s="1"/>
      <c r="AE109" s="1"/>
      <c r="AF109" s="1"/>
      <c r="AG109" s="1"/>
      <c r="AH109" s="1"/>
    </row>
    <row r="110" spans="1:79">
      <c r="A110" s="1433" t="s">
        <v>2675</v>
      </c>
      <c r="C110" s="1433" t="s">
        <v>2676</v>
      </c>
      <c r="AA110" s="1"/>
      <c r="AB110" s="1"/>
      <c r="AC110" s="1"/>
      <c r="AD110" s="1"/>
      <c r="AE110" s="1"/>
      <c r="AF110" s="1"/>
      <c r="AG110" s="1"/>
      <c r="AH110" s="1"/>
    </row>
    <row r="111" spans="1:79">
      <c r="A111" s="2163">
        <v>15000</v>
      </c>
      <c r="B111" s="2162">
        <f>+F54</f>
        <v>250</v>
      </c>
      <c r="C111" s="2163">
        <f>+A111*B111</f>
        <v>3750000</v>
      </c>
      <c r="AA111" s="1"/>
      <c r="AB111" s="1"/>
      <c r="AC111" s="1"/>
      <c r="AD111" s="1"/>
      <c r="AE111" s="1"/>
      <c r="AF111" s="1"/>
      <c r="AG111" s="1"/>
      <c r="AH111" s="1"/>
    </row>
    <row r="112" spans="1:79">
      <c r="AA112" s="1"/>
      <c r="AB112" s="1"/>
      <c r="AC112" s="1"/>
      <c r="AD112" s="1"/>
      <c r="AE112" s="1"/>
      <c r="AF112" s="1"/>
      <c r="AG112" s="1"/>
      <c r="AH112" s="1"/>
    </row>
    <row r="113" spans="27:34">
      <c r="AA113" s="1"/>
      <c r="AB113" s="1"/>
      <c r="AC113" s="1"/>
      <c r="AD113" s="1"/>
      <c r="AE113" s="1"/>
      <c r="AF113" s="1"/>
      <c r="AG113" s="1"/>
      <c r="AH113" s="1"/>
    </row>
    <row r="114" spans="27:34">
      <c r="AA114" s="1"/>
      <c r="AB114" s="1"/>
      <c r="AC114" s="1"/>
      <c r="AD114" s="1"/>
      <c r="AE114" s="1"/>
      <c r="AF114" s="1"/>
      <c r="AG114" s="1"/>
      <c r="AH114" s="1"/>
    </row>
    <row r="115" spans="27:34">
      <c r="AA115" s="1"/>
      <c r="AB115" s="1"/>
      <c r="AC115" s="1"/>
      <c r="AD115" s="1"/>
      <c r="AE115" s="1"/>
      <c r="AF115" s="1"/>
      <c r="AG115" s="1"/>
      <c r="AH115" s="1"/>
    </row>
    <row r="137" spans="20:24">
      <c r="T137" s="559"/>
      <c r="U137" s="559"/>
      <c r="V137" s="559"/>
      <c r="W137" s="559"/>
      <c r="X137" s="559"/>
    </row>
    <row r="138" spans="20:24">
      <c r="T138" s="559"/>
      <c r="U138" s="559"/>
      <c r="V138" s="559"/>
      <c r="W138" s="559"/>
      <c r="X138" s="559"/>
    </row>
    <row r="139" spans="20:24">
      <c r="T139" s="559"/>
      <c r="U139" s="559"/>
      <c r="V139" s="559"/>
      <c r="W139" s="559"/>
      <c r="X139" s="559"/>
    </row>
    <row r="140" spans="20:24">
      <c r="T140" s="559"/>
      <c r="U140" s="559"/>
      <c r="V140" s="559"/>
      <c r="W140" s="559"/>
      <c r="X140" s="559"/>
    </row>
    <row r="141" spans="20:24">
      <c r="T141" s="559"/>
      <c r="U141" s="559"/>
      <c r="V141" s="559"/>
      <c r="W141" s="559"/>
      <c r="X141" s="559"/>
    </row>
    <row r="142" spans="20:24">
      <c r="T142" s="559"/>
      <c r="U142" s="559"/>
      <c r="V142" s="559"/>
      <c r="W142" s="559"/>
      <c r="X142" s="559"/>
    </row>
    <row r="165" spans="14:79">
      <c r="N165" s="559"/>
      <c r="O165" s="559"/>
      <c r="P165" s="559"/>
      <c r="Q165" s="559"/>
      <c r="R165" s="559"/>
      <c r="S165" s="559"/>
    </row>
    <row r="166" spans="14:79">
      <c r="N166" s="559"/>
      <c r="O166" s="559"/>
      <c r="P166" s="559"/>
      <c r="Q166" s="559"/>
      <c r="R166" s="559"/>
      <c r="S166" s="559"/>
      <c r="Y166" s="559"/>
      <c r="Z166" s="559"/>
    </row>
    <row r="167" spans="14:79">
      <c r="N167" s="559"/>
      <c r="O167" s="559"/>
      <c r="P167" s="559"/>
      <c r="Q167" s="559"/>
      <c r="R167" s="559"/>
      <c r="S167" s="559"/>
      <c r="Y167" s="559"/>
      <c r="Z167" s="559"/>
    </row>
    <row r="168" spans="14:79">
      <c r="N168" s="559"/>
      <c r="O168" s="559"/>
      <c r="P168" s="559"/>
      <c r="Q168" s="559"/>
      <c r="R168" s="559"/>
      <c r="S168" s="559"/>
      <c r="Y168" s="559"/>
      <c r="Z168" s="559"/>
      <c r="AA168" s="559"/>
      <c r="AI168" s="559"/>
      <c r="AJ168" s="559"/>
      <c r="AK168" s="559"/>
      <c r="AL168" s="2077"/>
      <c r="CA168" s="559"/>
    </row>
    <row r="169" spans="14:79">
      <c r="N169" s="559"/>
      <c r="O169" s="559"/>
      <c r="P169" s="559"/>
      <c r="Q169" s="559"/>
      <c r="R169" s="559"/>
      <c r="S169" s="559"/>
      <c r="Y169" s="559"/>
      <c r="Z169" s="559"/>
      <c r="AA169" s="559"/>
      <c r="AB169" s="559"/>
      <c r="AC169" s="559"/>
      <c r="AD169" s="559"/>
      <c r="AE169" s="559"/>
      <c r="AF169" s="559"/>
      <c r="AG169" s="559"/>
      <c r="AH169" s="559"/>
      <c r="AI169" s="559"/>
      <c r="AJ169" s="559"/>
      <c r="AK169" s="559"/>
      <c r="AL169" s="2077"/>
      <c r="CA169" s="559"/>
    </row>
    <row r="170" spans="14:79">
      <c r="N170" s="559"/>
      <c r="O170" s="559"/>
      <c r="P170" s="559"/>
      <c r="Q170" s="559"/>
      <c r="R170" s="559"/>
      <c r="S170" s="559"/>
      <c r="Y170" s="559"/>
      <c r="Z170" s="559"/>
      <c r="AA170" s="559"/>
      <c r="AB170" s="559"/>
      <c r="AC170" s="559"/>
      <c r="AD170" s="559"/>
      <c r="AE170" s="559"/>
      <c r="AF170" s="559"/>
      <c r="AG170" s="559"/>
      <c r="AH170" s="559"/>
      <c r="AI170" s="559"/>
      <c r="AJ170" s="559"/>
      <c r="AK170" s="559"/>
      <c r="AL170" s="559"/>
      <c r="CA170" s="559"/>
    </row>
    <row r="171" spans="14:79">
      <c r="Y171" s="559"/>
      <c r="Z171" s="559"/>
      <c r="AA171" s="559"/>
      <c r="AB171" s="559"/>
      <c r="AC171" s="559"/>
      <c r="AD171" s="559"/>
      <c r="AE171" s="559"/>
      <c r="AF171" s="559"/>
      <c r="AG171" s="559"/>
      <c r="AH171" s="559"/>
      <c r="AI171" s="559"/>
      <c r="AJ171" s="559"/>
      <c r="AK171" s="559"/>
      <c r="AL171" s="559"/>
      <c r="CA171" s="559"/>
    </row>
    <row r="172" spans="14:79">
      <c r="AA172" s="559"/>
      <c r="AB172" s="559"/>
      <c r="AC172" s="559"/>
      <c r="AD172" s="559"/>
      <c r="AE172" s="559"/>
      <c r="AF172" s="559"/>
      <c r="AG172" s="559"/>
      <c r="AH172" s="559"/>
      <c r="AI172" s="559"/>
      <c r="AJ172" s="559"/>
      <c r="AK172" s="559"/>
      <c r="AL172" s="559"/>
      <c r="CA172" s="559"/>
    </row>
    <row r="173" spans="14:79">
      <c r="AA173" s="559"/>
      <c r="AB173" s="559"/>
      <c r="AC173" s="559"/>
      <c r="AD173" s="559"/>
      <c r="AE173" s="559"/>
      <c r="AF173" s="559"/>
      <c r="AG173" s="559"/>
      <c r="AH173" s="559"/>
      <c r="AI173" s="559"/>
      <c r="AJ173" s="559"/>
      <c r="AK173" s="559"/>
      <c r="AL173" s="559"/>
      <c r="CA173" s="559"/>
    </row>
    <row r="174" spans="14:79">
      <c r="AB174" s="559"/>
      <c r="AC174" s="559"/>
      <c r="AD174" s="559"/>
      <c r="AE174" s="559"/>
      <c r="AF174" s="559"/>
      <c r="AG174" s="559"/>
      <c r="AH174" s="559"/>
    </row>
  </sheetData>
  <sheetProtection algorithmName="SHA-512" hashValue="6ld71DisHTsGvL4Y9N3we6yVsAtwlQr/NwGy60ROxZK5fYUdegYmVCvu9DibyAV0Hkqdi0zLPiAvPfxUx2E4aw==" saltValue="5kpumzt1zfQLXMXNvBQskw==" spinCount="100000" sheet="1" objects="1" scenarios="1"/>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54:D54"/>
    <mergeCell ref="E73:I86"/>
    <mergeCell ref="A45:D45"/>
    <mergeCell ref="A46:D46"/>
    <mergeCell ref="A47:D47"/>
    <mergeCell ref="F49:J49"/>
    <mergeCell ref="A50:D50"/>
    <mergeCell ref="A53:D53"/>
  </mergeCells>
  <phoneticPr fontId="10" type="noConversion"/>
  <printOptions horizontalCentered="1"/>
  <pageMargins left="0.15" right="0.15" top="0.5" bottom="0.5" header="0.3" footer="0.3"/>
  <pageSetup scale="61" orientation="portrait" r:id="rId2"/>
  <colBreaks count="3" manualBreakCount="3">
    <brk id="11" max="1048575" man="1"/>
    <brk id="53" max="43" man="1"/>
    <brk id="69" max="4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55" t="s">
        <v>1241</v>
      </c>
      <c r="B1" s="2856"/>
      <c r="C1" s="2856"/>
      <c r="D1" s="2856"/>
      <c r="E1" s="2856"/>
      <c r="F1" s="2856"/>
      <c r="G1" s="2856"/>
      <c r="H1" s="2856"/>
      <c r="I1" s="2856"/>
      <c r="J1" s="2856"/>
      <c r="K1" s="2856"/>
      <c r="L1" s="2856"/>
      <c r="M1" s="2856"/>
      <c r="N1" s="2856"/>
      <c r="O1" s="2856"/>
      <c r="P1" s="2856"/>
      <c r="Q1" s="2856"/>
      <c r="R1" s="2856"/>
      <c r="S1" s="2856"/>
      <c r="T1" s="2856"/>
      <c r="U1" s="2856"/>
      <c r="V1" s="2856"/>
      <c r="W1" s="2856"/>
      <c r="X1" s="2856"/>
      <c r="Y1" s="2856"/>
      <c r="Z1" s="2856"/>
      <c r="AA1" s="2856"/>
      <c r="AB1" s="2856"/>
      <c r="AC1" s="2856"/>
      <c r="AD1" s="2856"/>
      <c r="AE1" s="2856"/>
      <c r="AF1" s="2856"/>
      <c r="AG1" s="2856"/>
      <c r="AH1" s="2856"/>
      <c r="AI1" s="2856"/>
      <c r="AJ1" s="2856"/>
      <c r="AK1" s="2856"/>
      <c r="AL1" s="2856"/>
      <c r="AM1" s="2856"/>
      <c r="AN1" s="2856"/>
    </row>
    <row r="2" spans="1:40" ht="13.5" thickBot="1">
      <c r="A2" s="2857"/>
      <c r="B2" s="2857"/>
      <c r="C2" s="2857"/>
      <c r="D2" s="2857"/>
      <c r="E2" s="2857"/>
      <c r="F2" s="2857"/>
      <c r="G2" s="2857"/>
      <c r="H2" s="2857"/>
      <c r="I2" s="2857"/>
      <c r="J2" s="2857"/>
      <c r="K2" s="2857"/>
      <c r="L2" s="2857"/>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35" t="s">
        <v>1853</v>
      </c>
      <c r="U7" s="2835"/>
      <c r="V7" s="2835"/>
      <c r="W7" s="2835"/>
      <c r="X7" s="2835"/>
      <c r="Y7" s="2835" t="s">
        <v>2030</v>
      </c>
      <c r="Z7" s="2835"/>
      <c r="AA7" s="2835"/>
      <c r="AB7" s="2835"/>
      <c r="AC7" s="2835"/>
      <c r="AD7" s="2835" t="s">
        <v>1540</v>
      </c>
      <c r="AE7" s="2835"/>
      <c r="AF7" s="2835"/>
      <c r="AG7" s="2835"/>
      <c r="AH7" s="2835"/>
      <c r="AI7" s="2835" t="s">
        <v>2031</v>
      </c>
      <c r="AJ7" s="2835"/>
      <c r="AK7" s="2835"/>
      <c r="AL7" s="2835"/>
      <c r="AM7" s="2835"/>
    </row>
    <row r="8" spans="1:40" ht="12.75" customHeight="1">
      <c r="B8" s="354"/>
      <c r="C8" s="1"/>
      <c r="D8" s="1"/>
      <c r="E8" s="1"/>
      <c r="F8" s="1"/>
      <c r="G8" s="1"/>
      <c r="H8" s="1"/>
      <c r="I8" s="1"/>
      <c r="J8" s="1"/>
      <c r="K8" s="1"/>
      <c r="L8" s="1"/>
      <c r="M8" s="1"/>
      <c r="N8" s="1"/>
      <c r="O8" s="1"/>
      <c r="P8" s="1"/>
      <c r="Q8" s="1"/>
      <c r="R8" s="1"/>
      <c r="S8" s="1"/>
      <c r="T8" s="2835"/>
      <c r="U8" s="2835"/>
      <c r="V8" s="2835"/>
      <c r="W8" s="2835"/>
      <c r="X8" s="2835"/>
      <c r="Y8" s="2835"/>
      <c r="Z8" s="2835"/>
      <c r="AA8" s="2835"/>
      <c r="AB8" s="2835"/>
      <c r="AC8" s="2835"/>
      <c r="AD8" s="2835"/>
      <c r="AE8" s="2835"/>
      <c r="AF8" s="2835"/>
      <c r="AG8" s="2835"/>
      <c r="AH8" s="2835"/>
      <c r="AI8" s="2835"/>
      <c r="AJ8" s="2835"/>
      <c r="AK8" s="2835"/>
      <c r="AL8" s="2835"/>
      <c r="AM8" s="2835"/>
    </row>
    <row r="9" spans="1:40" ht="12.75">
      <c r="B9" s="354"/>
      <c r="C9" s="1"/>
      <c r="D9" s="1"/>
      <c r="E9" s="1"/>
      <c r="F9" s="1"/>
      <c r="G9" s="1"/>
      <c r="H9" s="1"/>
      <c r="I9" s="1"/>
      <c r="J9" s="1"/>
      <c r="K9" s="1"/>
      <c r="L9" s="1"/>
      <c r="M9" s="1"/>
      <c r="N9" s="1"/>
      <c r="O9" s="1"/>
      <c r="P9" s="1"/>
      <c r="Q9" s="1"/>
      <c r="R9" s="1"/>
      <c r="S9" s="1"/>
      <c r="T9" s="2835"/>
      <c r="U9" s="2835"/>
      <c r="V9" s="2835"/>
      <c r="W9" s="2835"/>
      <c r="X9" s="2835"/>
      <c r="Y9" s="2835"/>
      <c r="Z9" s="2835"/>
      <c r="AA9" s="2835"/>
      <c r="AB9" s="2835"/>
      <c r="AC9" s="2835"/>
      <c r="AD9" s="2835"/>
      <c r="AE9" s="2835"/>
      <c r="AF9" s="2835"/>
      <c r="AG9" s="2835"/>
      <c r="AH9" s="2835"/>
      <c r="AI9" s="2835"/>
      <c r="AJ9" s="2835"/>
      <c r="AK9" s="2835"/>
      <c r="AL9" s="2835"/>
      <c r="AM9" s="2835"/>
    </row>
    <row r="10" spans="1:40" ht="41.45" customHeight="1">
      <c r="B10" s="289"/>
      <c r="C10" s="290"/>
      <c r="D10" s="290"/>
      <c r="E10" s="290"/>
      <c r="F10" s="290"/>
      <c r="G10" s="290"/>
      <c r="H10" s="290"/>
      <c r="I10" s="290"/>
      <c r="J10" s="290"/>
      <c r="K10" s="290"/>
      <c r="L10" s="290"/>
      <c r="M10" s="290"/>
      <c r="N10" s="290"/>
      <c r="O10" s="290"/>
      <c r="P10" s="290"/>
      <c r="Q10" s="290"/>
      <c r="R10" s="290"/>
      <c r="S10" s="290"/>
      <c r="T10" s="2835"/>
      <c r="U10" s="2835"/>
      <c r="V10" s="2835"/>
      <c r="W10" s="2835"/>
      <c r="X10" s="2835"/>
      <c r="Y10" s="2835"/>
      <c r="Z10" s="2835"/>
      <c r="AA10" s="2835"/>
      <c r="AB10" s="2835"/>
      <c r="AC10" s="2835"/>
      <c r="AD10" s="2835"/>
      <c r="AE10" s="2835"/>
      <c r="AF10" s="2835"/>
      <c r="AG10" s="2835"/>
      <c r="AH10" s="2835"/>
      <c r="AI10" s="2835"/>
      <c r="AJ10" s="2835"/>
      <c r="AK10" s="2835"/>
      <c r="AL10" s="2835"/>
      <c r="AM10" s="2835"/>
    </row>
    <row r="11" spans="1:40" ht="12.75">
      <c r="B11" s="2832" t="s">
        <v>572</v>
      </c>
      <c r="C11" s="2833"/>
      <c r="D11" s="2833"/>
      <c r="E11" s="2833"/>
      <c r="F11" s="2833"/>
      <c r="G11" s="2833"/>
      <c r="H11" s="2833"/>
      <c r="I11" s="2833"/>
      <c r="J11" s="2833"/>
      <c r="K11" s="2833"/>
      <c r="L11" s="2833"/>
      <c r="M11" s="2833"/>
      <c r="N11" s="2833"/>
      <c r="O11" s="2833"/>
      <c r="P11" s="2833"/>
      <c r="Q11" s="2833"/>
      <c r="R11" s="2833"/>
      <c r="S11" s="2834"/>
      <c r="T11" s="2874">
        <f>IF('Sources and Basis Breakdown'!F106=0,'Sources and Basis Breakdown'!E106,'Sources and Basis Breakdown'!F106)</f>
        <v>106019596</v>
      </c>
      <c r="U11" s="2860"/>
      <c r="V11" s="2860"/>
      <c r="W11" s="2860"/>
      <c r="X11" s="2860"/>
      <c r="Y11" s="2859">
        <f>IF('Sources and Basis Breakdown'!G106+'Sources and Basis Breakdown'!F106='Sources and Basis Breakdown'!E106,'Sources and Basis Breakdown'!G106,0)</f>
        <v>0</v>
      </c>
      <c r="Z11" s="2860"/>
      <c r="AA11" s="2860"/>
      <c r="AB11" s="2860"/>
      <c r="AC11" s="2860"/>
      <c r="AD11" s="2860">
        <f>IF('Sources and Basis Breakdown'!I106=0,'Sources and Basis Breakdown'!H106,'Sources and Basis Breakdown'!I106)</f>
        <v>0</v>
      </c>
      <c r="AE11" s="2860"/>
      <c r="AF11" s="2860"/>
      <c r="AG11" s="2860"/>
      <c r="AH11" s="2860"/>
      <c r="AI11" s="2860">
        <f>IF('Sources and Basis Breakdown'!I106+'Sources and Basis Breakdown'!J106='Sources and Basis Breakdown'!H106,'Sources and Basis Breakdown'!J106,0)</f>
        <v>0</v>
      </c>
      <c r="AJ11" s="2860"/>
      <c r="AK11" s="2860"/>
      <c r="AL11" s="2860"/>
      <c r="AM11" s="2860"/>
    </row>
    <row r="12" spans="1:40" ht="12.75">
      <c r="B12" s="2867" t="s">
        <v>501</v>
      </c>
      <c r="C12" s="2868"/>
      <c r="D12" s="2868"/>
      <c r="E12" s="2868"/>
      <c r="F12" s="2868"/>
      <c r="G12" s="2868"/>
      <c r="H12" s="2868"/>
      <c r="I12" s="2868"/>
      <c r="J12" s="2868"/>
      <c r="K12" s="2868"/>
      <c r="L12" s="2868"/>
      <c r="M12" s="2868"/>
      <c r="N12" s="2868"/>
      <c r="O12" s="2868"/>
      <c r="P12" s="2868"/>
      <c r="Q12" s="2868"/>
      <c r="R12" s="2868"/>
      <c r="S12" s="2869"/>
      <c r="T12" s="2862"/>
      <c r="U12" s="2863"/>
      <c r="V12" s="2863"/>
      <c r="W12" s="2863"/>
      <c r="X12" s="2864"/>
      <c r="Y12" s="2862"/>
      <c r="Z12" s="2863"/>
      <c r="AA12" s="2863"/>
      <c r="AB12" s="2863"/>
      <c r="AC12" s="2864"/>
      <c r="AD12" s="2862"/>
      <c r="AE12" s="2863"/>
      <c r="AF12" s="2863"/>
      <c r="AG12" s="2863"/>
      <c r="AH12" s="2864"/>
      <c r="AI12" s="2862"/>
      <c r="AJ12" s="2863"/>
      <c r="AK12" s="2863"/>
      <c r="AL12" s="2863"/>
      <c r="AM12" s="2864"/>
    </row>
    <row r="13" spans="1:40" ht="12.75">
      <c r="B13" s="11"/>
      <c r="C13" s="2870" t="s">
        <v>1981</v>
      </c>
      <c r="D13" s="2871"/>
      <c r="E13" s="2871"/>
      <c r="F13" s="2871"/>
      <c r="G13" s="2871"/>
      <c r="H13" s="2871"/>
      <c r="I13" s="2871"/>
      <c r="J13" s="2871"/>
      <c r="K13" s="2871"/>
      <c r="L13" s="2871"/>
      <c r="M13" s="2871"/>
      <c r="N13" s="2871"/>
      <c r="O13" s="2871"/>
      <c r="P13" s="2871"/>
      <c r="Q13" s="2871"/>
      <c r="R13" s="2871"/>
      <c r="S13" s="2872"/>
      <c r="T13" s="2861">
        <f>'Basis &amp; Credits'!T13</f>
        <v>0</v>
      </c>
      <c r="U13" s="2858"/>
      <c r="V13" s="2858"/>
      <c r="W13" s="2858"/>
      <c r="X13" s="2858"/>
      <c r="Y13" s="2861">
        <f>'Basis &amp; Credits'!Y13</f>
        <v>0</v>
      </c>
      <c r="Z13" s="2858"/>
      <c r="AA13" s="2858"/>
      <c r="AB13" s="2858"/>
      <c r="AC13" s="2858"/>
      <c r="AD13" s="2858">
        <f>'Basis &amp; Credits'!AD13</f>
        <v>0</v>
      </c>
      <c r="AE13" s="2858"/>
      <c r="AF13" s="2858"/>
      <c r="AG13" s="2858"/>
      <c r="AH13" s="2858"/>
      <c r="AI13" s="2858">
        <f>'Basis &amp; Credits'!AI13</f>
        <v>0</v>
      </c>
      <c r="AJ13" s="2858"/>
      <c r="AK13" s="2858"/>
      <c r="AL13" s="2858"/>
      <c r="AM13" s="2858"/>
    </row>
    <row r="14" spans="1:40" ht="12.75">
      <c r="B14" s="11"/>
      <c r="C14" s="2871" t="s">
        <v>848</v>
      </c>
      <c r="D14" s="2871"/>
      <c r="E14" s="2871"/>
      <c r="F14" s="2871"/>
      <c r="G14" s="2871"/>
      <c r="H14" s="2871"/>
      <c r="I14" s="2871"/>
      <c r="J14" s="2871"/>
      <c r="K14" s="2871"/>
      <c r="L14" s="2871"/>
      <c r="M14" s="2871"/>
      <c r="N14" s="2871"/>
      <c r="O14" s="2871"/>
      <c r="P14" s="2871"/>
      <c r="Q14" s="2871"/>
      <c r="R14" s="2871"/>
      <c r="S14" s="2872"/>
      <c r="T14" s="2486">
        <f>'Basis &amp; Credits'!T14</f>
        <v>0</v>
      </c>
      <c r="U14" s="2483"/>
      <c r="V14" s="2483"/>
      <c r="W14" s="2483"/>
      <c r="X14" s="2483"/>
      <c r="Y14" s="2486">
        <f>'Basis &amp; Credits'!Y14</f>
        <v>0</v>
      </c>
      <c r="Z14" s="2483"/>
      <c r="AA14" s="2483"/>
      <c r="AB14" s="2483"/>
      <c r="AC14" s="2483"/>
      <c r="AD14" s="2483">
        <f>'Basis &amp; Credits'!AD14</f>
        <v>0</v>
      </c>
      <c r="AE14" s="2483"/>
      <c r="AF14" s="2483"/>
      <c r="AG14" s="2483"/>
      <c r="AH14" s="2483"/>
      <c r="AI14" s="2483">
        <f>'Basis &amp; Credits'!AI14</f>
        <v>0</v>
      </c>
      <c r="AJ14" s="2483"/>
      <c r="AK14" s="2483"/>
      <c r="AL14" s="2483"/>
      <c r="AM14" s="2483"/>
    </row>
    <row r="15" spans="1:40" ht="12.75">
      <c r="B15" s="11"/>
      <c r="C15" s="2871" t="s">
        <v>849</v>
      </c>
      <c r="D15" s="2871"/>
      <c r="E15" s="2871"/>
      <c r="F15" s="2871"/>
      <c r="G15" s="2871"/>
      <c r="H15" s="2871"/>
      <c r="I15" s="2871"/>
      <c r="J15" s="2871"/>
      <c r="K15" s="2871"/>
      <c r="L15" s="2871"/>
      <c r="M15" s="2871"/>
      <c r="N15" s="2871"/>
      <c r="O15" s="2871"/>
      <c r="P15" s="2871"/>
      <c r="Q15" s="2871"/>
      <c r="R15" s="2871"/>
      <c r="S15" s="2872"/>
      <c r="T15" s="2486">
        <f>'Basis &amp; Credits'!T15</f>
        <v>0</v>
      </c>
      <c r="U15" s="2483"/>
      <c r="V15" s="2483"/>
      <c r="W15" s="2483"/>
      <c r="X15" s="2483"/>
      <c r="Y15" s="2486">
        <f>'Basis &amp; Credits'!Y15</f>
        <v>0</v>
      </c>
      <c r="Z15" s="2483"/>
      <c r="AA15" s="2483"/>
      <c r="AB15" s="2483"/>
      <c r="AC15" s="2483"/>
      <c r="AD15" s="2483">
        <f>'Basis &amp; Credits'!AD15</f>
        <v>0</v>
      </c>
      <c r="AE15" s="2483"/>
      <c r="AF15" s="2483"/>
      <c r="AG15" s="2483"/>
      <c r="AH15" s="2483"/>
      <c r="AI15" s="2483">
        <f>'Basis &amp; Credits'!AI15</f>
        <v>0</v>
      </c>
      <c r="AJ15" s="2483"/>
      <c r="AK15" s="2483"/>
      <c r="AL15" s="2483"/>
      <c r="AM15" s="2483"/>
    </row>
    <row r="16" spans="1:40" ht="12.75">
      <c r="B16" s="11"/>
      <c r="C16" s="2870" t="s">
        <v>1137</v>
      </c>
      <c r="D16" s="2870"/>
      <c r="E16" s="2870"/>
      <c r="F16" s="2870"/>
      <c r="G16" s="2870"/>
      <c r="H16" s="2870"/>
      <c r="I16" s="2870"/>
      <c r="J16" s="2870"/>
      <c r="K16" s="2870"/>
      <c r="L16" s="2870"/>
      <c r="M16" s="2870"/>
      <c r="N16" s="2870"/>
      <c r="O16" s="2870"/>
      <c r="P16" s="2870"/>
      <c r="Q16" s="2870"/>
      <c r="R16" s="2870"/>
      <c r="S16" s="2873"/>
      <c r="T16" s="2486">
        <f>'Basis &amp; Credits'!T16</f>
        <v>0</v>
      </c>
      <c r="U16" s="2483"/>
      <c r="V16" s="2483"/>
      <c r="W16" s="2483"/>
      <c r="X16" s="2483"/>
      <c r="Y16" s="2486">
        <f>'Basis &amp; Credits'!Y16</f>
        <v>0</v>
      </c>
      <c r="Z16" s="2483"/>
      <c r="AA16" s="2483"/>
      <c r="AB16" s="2483"/>
      <c r="AC16" s="2483"/>
      <c r="AD16" s="2483">
        <f>'Basis &amp; Credits'!AD16</f>
        <v>0</v>
      </c>
      <c r="AE16" s="2483"/>
      <c r="AF16" s="2483"/>
      <c r="AG16" s="2483"/>
      <c r="AH16" s="2483"/>
      <c r="AI16" s="2483">
        <f>'Basis &amp; Credits'!AI16</f>
        <v>0</v>
      </c>
      <c r="AJ16" s="2483"/>
      <c r="AK16" s="2483"/>
      <c r="AL16" s="2483"/>
      <c r="AM16" s="2483"/>
    </row>
    <row r="17" spans="1:39" ht="12.75">
      <c r="B17" s="11"/>
      <c r="C17" s="2871" t="s">
        <v>850</v>
      </c>
      <c r="D17" s="2871"/>
      <c r="E17" s="2871"/>
      <c r="F17" s="2871"/>
      <c r="G17" s="2871"/>
      <c r="H17" s="2871"/>
      <c r="I17" s="2871"/>
      <c r="J17" s="2871"/>
      <c r="K17" s="2871"/>
      <c r="L17" s="2871"/>
      <c r="M17" s="2871"/>
      <c r="N17" s="2871"/>
      <c r="O17" s="2871"/>
      <c r="P17" s="2871"/>
      <c r="Q17" s="2871"/>
      <c r="R17" s="2871"/>
      <c r="S17" s="2872"/>
      <c r="T17" s="2486">
        <f>'Basis &amp; Credits'!T17</f>
        <v>0</v>
      </c>
      <c r="U17" s="2483"/>
      <c r="V17" s="2483"/>
      <c r="W17" s="2483"/>
      <c r="X17" s="2483"/>
      <c r="Y17" s="2486">
        <f>'Basis &amp; Credits'!Y17</f>
        <v>0</v>
      </c>
      <c r="Z17" s="2483"/>
      <c r="AA17" s="2483"/>
      <c r="AB17" s="2483"/>
      <c r="AC17" s="2483"/>
      <c r="AD17" s="2483">
        <f>'Basis &amp; Credits'!AD17</f>
        <v>0</v>
      </c>
      <c r="AE17" s="2483"/>
      <c r="AF17" s="2483"/>
      <c r="AG17" s="2483"/>
      <c r="AH17" s="2483"/>
      <c r="AI17" s="2483">
        <f>'Basis &amp; Credits'!AI17</f>
        <v>0</v>
      </c>
      <c r="AJ17" s="2483"/>
      <c r="AK17" s="2483"/>
      <c r="AL17" s="2483"/>
      <c r="AM17" s="2483"/>
    </row>
    <row r="18" spans="1:39" ht="12.75">
      <c r="B18" s="979"/>
      <c r="C18" s="2870" t="s">
        <v>1545</v>
      </c>
      <c r="D18" s="2871"/>
      <c r="E18" s="2871"/>
      <c r="F18" s="2871"/>
      <c r="G18" s="2871"/>
      <c r="H18" s="2871"/>
      <c r="I18" s="2871"/>
      <c r="J18" s="2871"/>
      <c r="K18" s="2871"/>
      <c r="L18" s="2871"/>
      <c r="M18" s="2871"/>
      <c r="N18" s="2871"/>
      <c r="O18" s="2871"/>
      <c r="P18" s="2871"/>
      <c r="Q18" s="2871"/>
      <c r="R18" s="2871"/>
      <c r="S18" s="2872"/>
      <c r="T18" s="2484">
        <f>'Basis &amp; Credits'!T18</f>
        <v>0</v>
      </c>
      <c r="U18" s="2485"/>
      <c r="V18" s="2485"/>
      <c r="W18" s="2485"/>
      <c r="X18" s="2486"/>
      <c r="Y18" s="2486">
        <f>'Basis &amp; Credits'!Y18</f>
        <v>0</v>
      </c>
      <c r="Z18" s="2483"/>
      <c r="AA18" s="2483"/>
      <c r="AB18" s="2483"/>
      <c r="AC18" s="2483"/>
      <c r="AD18" s="2483">
        <f>'Basis &amp; Credits'!AD18</f>
        <v>0</v>
      </c>
      <c r="AE18" s="2483"/>
      <c r="AF18" s="2483"/>
      <c r="AG18" s="2483"/>
      <c r="AH18" s="2483"/>
      <c r="AI18" s="2483">
        <f>'Basis &amp; Credits'!AI18</f>
        <v>0</v>
      </c>
      <c r="AJ18" s="2483"/>
      <c r="AK18" s="2483"/>
      <c r="AL18" s="2483"/>
      <c r="AM18" s="2483"/>
    </row>
    <row r="19" spans="1:39" ht="12.75">
      <c r="B19" s="802"/>
      <c r="C19" s="2865" t="str">
        <f>'Basis &amp; Credits'!C19:S19</f>
        <v>Subtract (specify other ineligible amounts):</v>
      </c>
      <c r="D19" s="2865"/>
      <c r="E19" s="2865"/>
      <c r="F19" s="2865"/>
      <c r="G19" s="2865"/>
      <c r="H19" s="2865"/>
      <c r="I19" s="2865"/>
      <c r="J19" s="2865"/>
      <c r="K19" s="2865"/>
      <c r="L19" s="2865"/>
      <c r="M19" s="2865"/>
      <c r="N19" s="2865"/>
      <c r="O19" s="2865"/>
      <c r="P19" s="2865"/>
      <c r="Q19" s="2865"/>
      <c r="R19" s="2865"/>
      <c r="S19" s="2866"/>
      <c r="T19" s="2486">
        <f>'Basis &amp; Credits'!T19</f>
        <v>0</v>
      </c>
      <c r="U19" s="2483"/>
      <c r="V19" s="2483"/>
      <c r="W19" s="2483"/>
      <c r="X19" s="2483"/>
      <c r="Y19" s="2486">
        <f>'Basis &amp; Credits'!Y19</f>
        <v>0</v>
      </c>
      <c r="Z19" s="2483"/>
      <c r="AA19" s="2483"/>
      <c r="AB19" s="2483"/>
      <c r="AC19" s="2483"/>
      <c r="AD19" s="2483">
        <f>'Basis &amp; Credits'!AD19</f>
        <v>0</v>
      </c>
      <c r="AE19" s="2483"/>
      <c r="AF19" s="2483"/>
      <c r="AG19" s="2483"/>
      <c r="AH19" s="2483"/>
      <c r="AI19" s="2483">
        <f>'Basis &amp; Credits'!AI19</f>
        <v>0</v>
      </c>
      <c r="AJ19" s="2483"/>
      <c r="AK19" s="2483"/>
      <c r="AL19" s="2483"/>
      <c r="AM19" s="2483"/>
    </row>
    <row r="20" spans="1:39" ht="12.75">
      <c r="B20" s="2832" t="s">
        <v>851</v>
      </c>
      <c r="C20" s="2833"/>
      <c r="D20" s="2833"/>
      <c r="E20" s="2833"/>
      <c r="F20" s="2833"/>
      <c r="G20" s="2833"/>
      <c r="H20" s="2833"/>
      <c r="I20" s="2833"/>
      <c r="J20" s="2833"/>
      <c r="K20" s="2833"/>
      <c r="L20" s="2833"/>
      <c r="M20" s="2833"/>
      <c r="N20" s="2833"/>
      <c r="O20" s="2833"/>
      <c r="P20" s="2833"/>
      <c r="Q20" s="2833"/>
      <c r="R20" s="2833"/>
      <c r="S20" s="2834"/>
      <c r="T20" s="2827">
        <f>SUM(T13:X19)</f>
        <v>0</v>
      </c>
      <c r="U20" s="2828"/>
      <c r="V20" s="2828"/>
      <c r="W20" s="2828"/>
      <c r="X20" s="2828"/>
      <c r="Y20" s="2827">
        <f>SUM(Y13:AC19)</f>
        <v>0</v>
      </c>
      <c r="Z20" s="2828"/>
      <c r="AA20" s="2828"/>
      <c r="AB20" s="2828"/>
      <c r="AC20" s="2828"/>
      <c r="AD20" s="2828">
        <f>SUM(AD13:AH19)</f>
        <v>0</v>
      </c>
      <c r="AE20" s="2828"/>
      <c r="AF20" s="2828"/>
      <c r="AG20" s="2828"/>
      <c r="AH20" s="2828"/>
      <c r="AI20" s="2828">
        <f>SUM(AI13:AM19)</f>
        <v>0</v>
      </c>
      <c r="AJ20" s="2828"/>
      <c r="AK20" s="2828"/>
      <c r="AL20" s="2828"/>
      <c r="AM20" s="2828"/>
    </row>
    <row r="21" spans="1:39" ht="12.75">
      <c r="B21" s="2832" t="s">
        <v>1980</v>
      </c>
      <c r="C21" s="2833"/>
      <c r="D21" s="2833"/>
      <c r="E21" s="2833"/>
      <c r="F21" s="2833"/>
      <c r="G21" s="2833"/>
      <c r="H21" s="2833"/>
      <c r="I21" s="2833"/>
      <c r="J21" s="2833"/>
      <c r="K21" s="2833"/>
      <c r="L21" s="2833"/>
      <c r="M21" s="2833"/>
      <c r="N21" s="2833"/>
      <c r="O21" s="2833"/>
      <c r="P21" s="2833"/>
      <c r="Q21" s="2833"/>
      <c r="R21" s="2833"/>
      <c r="S21" s="2834"/>
      <c r="T21" s="2486">
        <f>'Basis &amp; Credits'!E21</f>
        <v>0</v>
      </c>
      <c r="U21" s="2483"/>
      <c r="V21" s="2483"/>
      <c r="W21" s="2483"/>
      <c r="X21" s="2483"/>
      <c r="Y21" s="2486">
        <f>'Basis &amp; Credits'!J21</f>
        <v>0</v>
      </c>
      <c r="Z21" s="2483"/>
      <c r="AA21" s="2483"/>
      <c r="AB21" s="2483"/>
      <c r="AC21" s="2483"/>
      <c r="AD21" s="2483">
        <f>'Basis &amp; Credits'!O21</f>
        <v>0</v>
      </c>
      <c r="AE21" s="2483"/>
      <c r="AF21" s="2483"/>
      <c r="AG21" s="2483"/>
      <c r="AH21" s="2483"/>
      <c r="AI21" s="2483">
        <f>'Basis &amp; Credits'!T21</f>
        <v>0</v>
      </c>
      <c r="AJ21" s="2483"/>
      <c r="AK21" s="2483"/>
      <c r="AL21" s="2483"/>
      <c r="AM21" s="2483"/>
    </row>
    <row r="22" spans="1:39" ht="12.75">
      <c r="B22" s="2832" t="s">
        <v>852</v>
      </c>
      <c r="C22" s="2833"/>
      <c r="D22" s="2833"/>
      <c r="E22" s="2833"/>
      <c r="F22" s="2833"/>
      <c r="G22" s="2833"/>
      <c r="H22" s="2833"/>
      <c r="I22" s="2833"/>
      <c r="J22" s="2833"/>
      <c r="K22" s="2833"/>
      <c r="L22" s="2833"/>
      <c r="M22" s="2833"/>
      <c r="N22" s="2833"/>
      <c r="O22" s="2833"/>
      <c r="P22" s="2833"/>
      <c r="Q22" s="2833"/>
      <c r="R22" s="2833"/>
      <c r="S22" s="2834"/>
      <c r="T22" s="2876">
        <f>(T20+T21)*-1</f>
        <v>0</v>
      </c>
      <c r="U22" s="2877"/>
      <c r="V22" s="2877"/>
      <c r="W22" s="2877"/>
      <c r="X22" s="2877"/>
      <c r="Y22" s="2876">
        <f>(Y20+Y21)*-1</f>
        <v>0</v>
      </c>
      <c r="Z22" s="2877"/>
      <c r="AA22" s="2877"/>
      <c r="AB22" s="2877"/>
      <c r="AC22" s="2877"/>
      <c r="AD22" s="2876">
        <f>(AD20+AD21)*-1</f>
        <v>0</v>
      </c>
      <c r="AE22" s="2877"/>
      <c r="AF22" s="2877"/>
      <c r="AG22" s="2877"/>
      <c r="AH22" s="2877"/>
      <c r="AI22" s="2876">
        <f>(AI20+AI21)*-1</f>
        <v>0</v>
      </c>
      <c r="AJ22" s="2877"/>
      <c r="AK22" s="2877"/>
      <c r="AL22" s="2877"/>
      <c r="AM22" s="2877"/>
    </row>
    <row r="23" spans="1:39" ht="12.75">
      <c r="A23" s="2"/>
      <c r="B23" s="2893" t="s">
        <v>853</v>
      </c>
      <c r="C23" s="2894"/>
      <c r="D23" s="2894"/>
      <c r="E23" s="2894"/>
      <c r="F23" s="2894"/>
      <c r="G23" s="2894"/>
      <c r="H23" s="2894"/>
      <c r="I23" s="2894"/>
      <c r="J23" s="2894"/>
      <c r="K23" s="2894"/>
      <c r="L23" s="2894"/>
      <c r="M23" s="2894"/>
      <c r="N23" s="2894"/>
      <c r="O23" s="2894"/>
      <c r="P23" s="2894"/>
      <c r="Q23" s="2894"/>
      <c r="R23" s="2894"/>
      <c r="S23" s="2895"/>
      <c r="T23" s="2827">
        <f>T11+T22</f>
        <v>106019596</v>
      </c>
      <c r="U23" s="2828"/>
      <c r="V23" s="2828"/>
      <c r="W23" s="2828"/>
      <c r="X23" s="2828"/>
      <c r="Y23" s="2827">
        <f>Y11+Y22</f>
        <v>0</v>
      </c>
      <c r="Z23" s="2828"/>
      <c r="AA23" s="2828"/>
      <c r="AB23" s="2828"/>
      <c r="AC23" s="2828"/>
      <c r="AD23" s="2827">
        <f>AD11+AD22</f>
        <v>0</v>
      </c>
      <c r="AE23" s="2828"/>
      <c r="AF23" s="2828"/>
      <c r="AG23" s="2828"/>
      <c r="AH23" s="2828"/>
      <c r="AI23" s="2827">
        <f>AI11+AI22</f>
        <v>0</v>
      </c>
      <c r="AJ23" s="2828"/>
      <c r="AK23" s="2828"/>
      <c r="AL23" s="2828"/>
      <c r="AM23" s="2828"/>
    </row>
    <row r="24" spans="1:39" ht="12.75">
      <c r="B24" s="2832" t="s">
        <v>1376</v>
      </c>
      <c r="C24" s="2833"/>
      <c r="D24" s="2833"/>
      <c r="E24" s="2833"/>
      <c r="F24" s="2833"/>
      <c r="G24" s="2833"/>
      <c r="H24" s="2833"/>
      <c r="I24" s="2833"/>
      <c r="J24" s="2833"/>
      <c r="K24" s="2833"/>
      <c r="L24" s="2833"/>
      <c r="M24" s="2833"/>
      <c r="N24" s="2833"/>
      <c r="O24" s="2833"/>
      <c r="P24" s="2833"/>
      <c r="Q24" s="2833"/>
      <c r="R24" s="2833"/>
      <c r="S24" s="2834"/>
      <c r="T24" s="2896">
        <f>Application!AD974</f>
        <v>158881311</v>
      </c>
      <c r="U24" s="2897"/>
      <c r="V24" s="2897"/>
      <c r="W24" s="2897"/>
      <c r="X24" s="2897"/>
      <c r="Y24" s="2897"/>
      <c r="Z24" s="2897"/>
      <c r="AA24" s="2897"/>
      <c r="AB24" s="2897"/>
      <c r="AC24" s="2897"/>
      <c r="AD24" s="2897"/>
      <c r="AE24" s="2897"/>
      <c r="AF24" s="2897"/>
      <c r="AG24" s="2897"/>
      <c r="AH24" s="2897"/>
      <c r="AI24" s="2897"/>
      <c r="AJ24" s="2897"/>
      <c r="AK24" s="2897"/>
      <c r="AL24" s="2897"/>
      <c r="AM24" s="2827"/>
    </row>
    <row r="25" spans="1:39" ht="12.75">
      <c r="B25" s="2887" t="s">
        <v>2029</v>
      </c>
      <c r="C25" s="2888"/>
      <c r="D25" s="2888"/>
      <c r="E25" s="2888"/>
      <c r="F25" s="2888"/>
      <c r="G25" s="2888"/>
      <c r="H25" s="2888"/>
      <c r="I25" s="2888"/>
      <c r="J25" s="2888"/>
      <c r="K25" s="2888"/>
      <c r="L25" s="2888"/>
      <c r="M25" s="2888"/>
      <c r="N25" s="2888"/>
      <c r="O25" s="2888"/>
      <c r="P25" s="2888"/>
      <c r="Q25" s="2888"/>
      <c r="R25" s="2888"/>
      <c r="S25" s="2889"/>
      <c r="T25" s="2878">
        <v>1</v>
      </c>
      <c r="U25" s="2879"/>
      <c r="V25" s="2879"/>
      <c r="W25" s="2879"/>
      <c r="X25" s="2882"/>
      <c r="Y25" s="2878">
        <v>1</v>
      </c>
      <c r="Z25" s="2879"/>
      <c r="AA25" s="2879"/>
      <c r="AB25" s="2879"/>
      <c r="AC25" s="2882"/>
      <c r="AD25" s="2878">
        <v>1</v>
      </c>
      <c r="AE25" s="2879"/>
      <c r="AF25" s="2879"/>
      <c r="AG25" s="2879"/>
      <c r="AH25" s="2882"/>
      <c r="AI25" s="2878">
        <v>1</v>
      </c>
      <c r="AJ25" s="2879"/>
      <c r="AK25" s="2879"/>
      <c r="AL25" s="2879"/>
      <c r="AM25" s="2882"/>
    </row>
    <row r="26" spans="1:39" ht="12.75">
      <c r="B26" s="2832" t="s">
        <v>854</v>
      </c>
      <c r="C26" s="2833"/>
      <c r="D26" s="2833"/>
      <c r="E26" s="2833"/>
      <c r="F26" s="2833"/>
      <c r="G26" s="2833"/>
      <c r="H26" s="2833"/>
      <c r="I26" s="2833"/>
      <c r="J26" s="2833"/>
      <c r="K26" s="2833"/>
      <c r="L26" s="2833"/>
      <c r="M26" s="2833"/>
      <c r="N26" s="2833"/>
      <c r="O26" s="2833"/>
      <c r="P26" s="2833"/>
      <c r="Q26" s="2833"/>
      <c r="R26" s="2833"/>
      <c r="S26" s="2834"/>
      <c r="T26" s="2883">
        <f>T23*T25</f>
        <v>106019596</v>
      </c>
      <c r="U26" s="2884"/>
      <c r="V26" s="2884"/>
      <c r="W26" s="2884"/>
      <c r="X26" s="2884"/>
      <c r="Y26" s="2883">
        <f>Y23*Y25</f>
        <v>0</v>
      </c>
      <c r="Z26" s="2884"/>
      <c r="AA26" s="2884"/>
      <c r="AB26" s="2884"/>
      <c r="AC26" s="2884"/>
      <c r="AD26" s="2883">
        <f>AD23*AD25</f>
        <v>0</v>
      </c>
      <c r="AE26" s="2884"/>
      <c r="AF26" s="2884"/>
      <c r="AG26" s="2884"/>
      <c r="AH26" s="2884"/>
      <c r="AI26" s="2883">
        <f>AI23*AI25</f>
        <v>0</v>
      </c>
      <c r="AJ26" s="2884"/>
      <c r="AK26" s="2884"/>
      <c r="AL26" s="2884"/>
      <c r="AM26" s="2884"/>
    </row>
    <row r="27" spans="1:39" ht="12.75">
      <c r="A27" s="7"/>
      <c r="B27" s="2890" t="s">
        <v>987</v>
      </c>
      <c r="C27" s="2891"/>
      <c r="D27" s="2891"/>
      <c r="E27" s="2891"/>
      <c r="F27" s="2891"/>
      <c r="G27" s="2891"/>
      <c r="H27" s="2891"/>
      <c r="I27" s="2891"/>
      <c r="J27" s="2891"/>
      <c r="K27" s="2891"/>
      <c r="L27" s="2891"/>
      <c r="M27" s="2891"/>
      <c r="N27" s="2891"/>
      <c r="O27" s="2891"/>
      <c r="P27" s="2891"/>
      <c r="Q27" s="2891"/>
      <c r="R27" s="2891"/>
      <c r="S27" s="2892"/>
      <c r="T27" s="2880">
        <f>Application!AG431</f>
        <v>0.20161290322580644</v>
      </c>
      <c r="U27" s="2881"/>
      <c r="V27" s="2881"/>
      <c r="W27" s="2881"/>
      <c r="X27" s="2881"/>
      <c r="Y27" s="2880">
        <f>Application!AG431</f>
        <v>0.20161290322580644</v>
      </c>
      <c r="Z27" s="2881"/>
      <c r="AA27" s="2881"/>
      <c r="AB27" s="2881"/>
      <c r="AC27" s="2881"/>
      <c r="AD27" s="2880">
        <f>Application!AG431</f>
        <v>0.20161290322580644</v>
      </c>
      <c r="AE27" s="2881"/>
      <c r="AF27" s="2881"/>
      <c r="AG27" s="2881"/>
      <c r="AH27" s="2881"/>
      <c r="AI27" s="2880">
        <f>Application!AG431</f>
        <v>0.20161290322580644</v>
      </c>
      <c r="AJ27" s="2881"/>
      <c r="AK27" s="2881"/>
      <c r="AL27" s="2881"/>
      <c r="AM27" s="2881"/>
    </row>
    <row r="28" spans="1:39" ht="12.75" customHeight="1">
      <c r="A28" s="6"/>
      <c r="B28" s="2832" t="s">
        <v>934</v>
      </c>
      <c r="C28" s="2833"/>
      <c r="D28" s="2833"/>
      <c r="E28" s="2833"/>
      <c r="F28" s="2833"/>
      <c r="G28" s="2833"/>
      <c r="H28" s="2833"/>
      <c r="I28" s="2833"/>
      <c r="J28" s="2833"/>
      <c r="K28" s="2833"/>
      <c r="L28" s="2833"/>
      <c r="M28" s="2833"/>
      <c r="N28" s="2833"/>
      <c r="O28" s="2833"/>
      <c r="P28" s="2833"/>
      <c r="Q28" s="2833"/>
      <c r="R28" s="2833"/>
      <c r="S28" s="2834"/>
      <c r="T28" s="2875">
        <f>IF(ISERROR((T26*T27)),0,(T26*T27))</f>
        <v>21374918.548387095</v>
      </c>
      <c r="U28" s="2849"/>
      <c r="V28" s="2849"/>
      <c r="W28" s="2849"/>
      <c r="X28" s="2849"/>
      <c r="Y28" s="2875">
        <f>IF(ISERROR((Y26*Y27)),0,(Y26*Y27))</f>
        <v>0</v>
      </c>
      <c r="Z28" s="2849"/>
      <c r="AA28" s="2849"/>
      <c r="AB28" s="2849"/>
      <c r="AC28" s="2849"/>
      <c r="AD28" s="2875">
        <f>IF(ISERROR((AD26*AD27)),0,(AD26*AD27))</f>
        <v>0</v>
      </c>
      <c r="AE28" s="2849"/>
      <c r="AF28" s="2849"/>
      <c r="AG28" s="2849"/>
      <c r="AH28" s="2849"/>
      <c r="AI28" s="2875">
        <f>IF(ISERROR((AI26*AI27)),0,(AI26*AI27))</f>
        <v>0</v>
      </c>
      <c r="AJ28" s="2849"/>
      <c r="AK28" s="2849"/>
      <c r="AL28" s="2849"/>
      <c r="AM28" s="2849"/>
    </row>
    <row r="29" spans="1:39" ht="12.75">
      <c r="B29" s="2832" t="s">
        <v>696</v>
      </c>
      <c r="C29" s="2833"/>
      <c r="D29" s="2833"/>
      <c r="E29" s="2833"/>
      <c r="F29" s="2833"/>
      <c r="G29" s="2833"/>
      <c r="H29" s="2833"/>
      <c r="I29" s="2833"/>
      <c r="J29" s="2833"/>
      <c r="K29" s="2833"/>
      <c r="L29" s="2833"/>
      <c r="M29" s="2833"/>
      <c r="N29" s="2833"/>
      <c r="O29" s="2833"/>
      <c r="P29" s="2833"/>
      <c r="Q29" s="2833"/>
      <c r="R29" s="2833"/>
      <c r="S29" s="2834"/>
      <c r="T29" s="2896">
        <f>T28+Y28+AD28+AI28</f>
        <v>21374918.548387095</v>
      </c>
      <c r="U29" s="2897"/>
      <c r="V29" s="2897"/>
      <c r="W29" s="2897"/>
      <c r="X29" s="2897"/>
      <c r="Y29" s="2897"/>
      <c r="Z29" s="2897"/>
      <c r="AA29" s="2897"/>
      <c r="AB29" s="2897"/>
      <c r="AC29" s="2897"/>
      <c r="AD29" s="2897"/>
      <c r="AE29" s="2897"/>
      <c r="AF29" s="2897"/>
      <c r="AG29" s="2897"/>
      <c r="AH29" s="2897"/>
      <c r="AI29" s="2897"/>
      <c r="AJ29" s="2897"/>
      <c r="AK29" s="2897"/>
      <c r="AL29" s="2897"/>
      <c r="AM29" s="2827"/>
    </row>
    <row r="30" spans="1:39" ht="12.75" customHeight="1">
      <c r="B30" s="3257"/>
      <c r="C30" s="3257"/>
      <c r="D30" s="3257"/>
      <c r="E30" s="3257"/>
      <c r="F30" s="3257"/>
      <c r="G30" s="3257"/>
      <c r="H30" s="3257"/>
      <c r="I30" s="3257"/>
      <c r="J30" s="3257"/>
      <c r="K30" s="3257"/>
      <c r="L30" s="3257"/>
      <c r="M30" s="3257"/>
      <c r="N30" s="3257"/>
      <c r="O30" s="3257"/>
      <c r="P30" s="3257"/>
      <c r="Q30" s="3257"/>
      <c r="R30" s="3257"/>
      <c r="S30" s="3257"/>
      <c r="T30" s="3257"/>
      <c r="U30" s="3257"/>
      <c r="V30" s="3257"/>
      <c r="W30" s="3257"/>
      <c r="X30" s="3257"/>
      <c r="Y30" s="3257"/>
      <c r="Z30" s="3257"/>
      <c r="AA30" s="3257"/>
      <c r="AB30" s="3257"/>
      <c r="AC30" s="3257"/>
      <c r="AD30" s="3257"/>
      <c r="AE30" s="3257"/>
      <c r="AF30" s="3257"/>
      <c r="AG30" s="3257"/>
      <c r="AH30" s="3257"/>
      <c r="AI30" s="3257"/>
      <c r="AJ30" s="3257"/>
      <c r="AK30" s="3257"/>
      <c r="AL30" s="3257"/>
      <c r="AM30" s="325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35" t="s">
        <v>1852</v>
      </c>
      <c r="Z35" s="2835"/>
      <c r="AA35" s="2835"/>
      <c r="AB35" s="2835"/>
      <c r="AC35" s="2835"/>
      <c r="AD35" s="2817" t="s">
        <v>46</v>
      </c>
      <c r="AE35" s="2817"/>
      <c r="AF35" s="2817"/>
      <c r="AG35" s="2817"/>
      <c r="AH35" s="281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35"/>
      <c r="Z36" s="2835"/>
      <c r="AA36" s="2835"/>
      <c r="AB36" s="2835"/>
      <c r="AC36" s="2835"/>
      <c r="AD36" s="2817"/>
      <c r="AE36" s="2817"/>
      <c r="AF36" s="2817"/>
      <c r="AG36" s="2817"/>
      <c r="AH36" s="281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35"/>
      <c r="Z37" s="2835"/>
      <c r="AA37" s="2835"/>
      <c r="AB37" s="2835"/>
      <c r="AC37" s="2835"/>
      <c r="AD37" s="2817"/>
      <c r="AE37" s="2817"/>
      <c r="AF37" s="2817"/>
      <c r="AG37" s="2817"/>
      <c r="AH37" s="2817"/>
    </row>
    <row r="38" spans="1:40" ht="12.75" customHeight="1">
      <c r="A38" s="6"/>
      <c r="B38" s="2832" t="s">
        <v>934</v>
      </c>
      <c r="C38" s="2833"/>
      <c r="D38" s="2833"/>
      <c r="E38" s="2833"/>
      <c r="F38" s="2833"/>
      <c r="G38" s="2833"/>
      <c r="H38" s="2833"/>
      <c r="I38" s="2833"/>
      <c r="J38" s="2833"/>
      <c r="K38" s="2833"/>
      <c r="L38" s="2833"/>
      <c r="M38" s="2833"/>
      <c r="N38" s="2833"/>
      <c r="O38" s="2833"/>
      <c r="P38" s="2833"/>
      <c r="Q38" s="2833"/>
      <c r="R38" s="2833"/>
      <c r="S38" s="2833"/>
      <c r="T38" s="2833"/>
      <c r="U38" s="2833"/>
      <c r="V38" s="2833"/>
      <c r="W38" s="2833"/>
      <c r="X38" s="2834"/>
      <c r="Y38" s="2828">
        <f>IF(T24&gt;=(T23+Y23+AD23+AI23),T28+Y28,0)</f>
        <v>21374918.548387095</v>
      </c>
      <c r="Z38" s="2828"/>
      <c r="AA38" s="2828"/>
      <c r="AB38" s="2828"/>
      <c r="AC38" s="2828"/>
      <c r="AD38" s="2828">
        <f>IF(T24&gt;=(T23+Y23+AD23+AI23),AD28+AI28,0)</f>
        <v>0</v>
      </c>
      <c r="AE38" s="2828"/>
      <c r="AF38" s="2828"/>
      <c r="AG38" s="2828"/>
      <c r="AH38" s="2828"/>
    </row>
    <row r="39" spans="1:40" ht="12.75">
      <c r="B39" s="2832" t="s">
        <v>844</v>
      </c>
      <c r="C39" s="2833"/>
      <c r="D39" s="2833"/>
      <c r="E39" s="2833"/>
      <c r="F39" s="2833"/>
      <c r="G39" s="2833"/>
      <c r="H39" s="2833"/>
      <c r="I39" s="2833"/>
      <c r="J39" s="2833"/>
      <c r="K39" s="2833"/>
      <c r="L39" s="2833"/>
      <c r="M39" s="2833"/>
      <c r="N39" s="2833"/>
      <c r="O39" s="2833"/>
      <c r="P39" s="2833"/>
      <c r="Q39" s="2833"/>
      <c r="R39" s="2833"/>
      <c r="S39" s="2833"/>
      <c r="T39" s="2833"/>
      <c r="U39" s="2833"/>
      <c r="V39" s="2833"/>
      <c r="W39" s="2833"/>
      <c r="X39" s="2834"/>
      <c r="Y39" s="2826">
        <v>0.09</v>
      </c>
      <c r="Z39" s="2826"/>
      <c r="AA39" s="2826"/>
      <c r="AB39" s="2826"/>
      <c r="AC39" s="2826"/>
      <c r="AD39" s="2826">
        <f>'Basis &amp; Credits'!AD39:AH39</f>
        <v>3.2399999999999998E-2</v>
      </c>
      <c r="AE39" s="2826"/>
      <c r="AF39" s="2826"/>
      <c r="AG39" s="2826"/>
      <c r="AH39" s="2826"/>
    </row>
    <row r="40" spans="1:40" ht="12.75" customHeight="1">
      <c r="A40" s="6"/>
      <c r="B40" s="2832" t="s">
        <v>26</v>
      </c>
      <c r="C40" s="2833"/>
      <c r="D40" s="2833"/>
      <c r="E40" s="2833"/>
      <c r="F40" s="2833"/>
      <c r="G40" s="2833"/>
      <c r="H40" s="2833"/>
      <c r="I40" s="2833"/>
      <c r="J40" s="2833"/>
      <c r="K40" s="2833"/>
      <c r="L40" s="2833"/>
      <c r="M40" s="2833"/>
      <c r="N40" s="2833"/>
      <c r="O40" s="2833"/>
      <c r="P40" s="2833"/>
      <c r="Q40" s="2833"/>
      <c r="R40" s="2833"/>
      <c r="S40" s="2833"/>
      <c r="T40" s="2833"/>
      <c r="U40" s="2833"/>
      <c r="V40" s="2833"/>
      <c r="W40" s="2833"/>
      <c r="X40" s="2834"/>
      <c r="Y40" s="2828">
        <f>ROUND(Y38*Y39,0)</f>
        <v>1923743</v>
      </c>
      <c r="Z40" s="2828"/>
      <c r="AA40" s="2828"/>
      <c r="AB40" s="2828"/>
      <c r="AC40" s="2828"/>
      <c r="AD40" s="2827">
        <f>ROUND(AD38*AD39,0)</f>
        <v>0</v>
      </c>
      <c r="AE40" s="2828"/>
      <c r="AF40" s="2828"/>
      <c r="AG40" s="2828"/>
      <c r="AH40" s="2828"/>
    </row>
    <row r="41" spans="1:40" ht="12.75">
      <c r="B41" s="2832" t="s">
        <v>690</v>
      </c>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4"/>
      <c r="Y41" s="2829">
        <f>IF((Y40+AD40)&gt;2500000,2500000,Y40+AD40)</f>
        <v>1923743</v>
      </c>
      <c r="Z41" s="2830"/>
      <c r="AA41" s="2830"/>
      <c r="AB41" s="2830"/>
      <c r="AC41" s="2830"/>
      <c r="AD41" s="2830"/>
      <c r="AE41" s="2830"/>
      <c r="AF41" s="2830"/>
      <c r="AG41" s="2830"/>
      <c r="AH41" s="2831"/>
    </row>
    <row r="42" spans="1:40" ht="12.75" customHeight="1">
      <c r="A42" s="6"/>
      <c r="B42" s="2848" t="s">
        <v>1315</v>
      </c>
      <c r="C42" s="2848"/>
      <c r="D42" s="2848"/>
      <c r="E42" s="2848"/>
      <c r="F42" s="2848"/>
      <c r="G42" s="2848"/>
      <c r="H42" s="2848"/>
      <c r="I42" s="2848"/>
      <c r="J42" s="2848"/>
      <c r="K42" s="2848"/>
      <c r="L42" s="2848"/>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23">
        <f>'Sources and Uses Budget'!B104-'Sources and Uses Budget'!$B$15</f>
        <v>114672470</v>
      </c>
      <c r="AC46" s="2824"/>
      <c r="AD46" s="2824"/>
      <c r="AE46" s="2824"/>
      <c r="AF46" s="2825"/>
    </row>
    <row r="47" spans="1:40" ht="12.75" customHeight="1">
      <c r="D47" s="6" t="s">
        <v>928</v>
      </c>
      <c r="AB47" s="2823">
        <f>Application!AG629-MIN('Sources and Uses Budget'!B15,Application!AG390)</f>
        <v>93422503</v>
      </c>
      <c r="AC47" s="2824"/>
      <c r="AD47" s="2824"/>
      <c r="AE47" s="2824"/>
      <c r="AF47" s="2825"/>
    </row>
    <row r="48" spans="1:40" ht="12.75">
      <c r="D48" s="6" t="s">
        <v>427</v>
      </c>
      <c r="AB48" s="2823">
        <f>AB46-AB47</f>
        <v>21249967</v>
      </c>
      <c r="AC48" s="2824"/>
      <c r="AD48" s="2824"/>
      <c r="AE48" s="2824"/>
      <c r="AF48" s="2825"/>
    </row>
    <row r="49" spans="1:40" ht="12.75">
      <c r="D49" s="6" t="s">
        <v>967</v>
      </c>
      <c r="X49" s="2"/>
      <c r="Y49" s="2"/>
      <c r="Z49" s="2"/>
      <c r="AA49" s="427"/>
      <c r="AB49" s="2842"/>
      <c r="AC49" s="2843"/>
      <c r="AD49" s="2843"/>
      <c r="AE49" s="2843"/>
      <c r="AF49" s="2844"/>
    </row>
    <row r="50" spans="1:40" s="536" customFormat="1" ht="15" customHeight="1">
      <c r="A50" s="2"/>
      <c r="B50" s="2"/>
      <c r="C50" s="2"/>
      <c r="D50" s="284"/>
      <c r="E50" s="2853" t="s">
        <v>1533</v>
      </c>
      <c r="F50" s="2853"/>
      <c r="G50" s="2853"/>
      <c r="H50" s="2853"/>
      <c r="I50" s="2853"/>
      <c r="J50" s="2853"/>
      <c r="K50" s="2853"/>
      <c r="L50" s="2853"/>
      <c r="M50" s="2853"/>
      <c r="N50" s="2853"/>
      <c r="O50" s="2853"/>
      <c r="P50" s="2853"/>
      <c r="Q50" s="2853"/>
      <c r="R50" s="2853"/>
      <c r="S50" s="2853"/>
      <c r="T50" s="2853"/>
      <c r="U50" s="2853"/>
      <c r="V50" s="2853"/>
      <c r="W50" s="2853"/>
      <c r="X50" s="2853"/>
      <c r="Y50" s="2853"/>
      <c r="Z50" s="2853"/>
      <c r="AA50" s="823"/>
      <c r="AB50" s="823"/>
      <c r="AC50" s="823"/>
      <c r="AD50" s="823"/>
      <c r="AE50" s="823"/>
      <c r="AF50" s="823"/>
      <c r="AG50" s="2"/>
      <c r="AH50" s="2"/>
      <c r="AI50" s="2"/>
      <c r="AJ50" s="2"/>
      <c r="AK50" s="2"/>
      <c r="AL50" s="2"/>
      <c r="AM50" s="2"/>
      <c r="AN50" s="2"/>
    </row>
    <row r="51" spans="1:40" s="536" customFormat="1" ht="12" customHeight="1">
      <c r="A51" s="2"/>
      <c r="B51" s="2"/>
      <c r="C51" s="2"/>
      <c r="D51" s="284"/>
      <c r="E51" s="2853"/>
      <c r="F51" s="2853"/>
      <c r="G51" s="2853"/>
      <c r="H51" s="2853"/>
      <c r="I51" s="2853"/>
      <c r="J51" s="2853"/>
      <c r="K51" s="2853"/>
      <c r="L51" s="2853"/>
      <c r="M51" s="2853"/>
      <c r="N51" s="2853"/>
      <c r="O51" s="2853"/>
      <c r="P51" s="2853"/>
      <c r="Q51" s="2853"/>
      <c r="R51" s="2853"/>
      <c r="S51" s="2853"/>
      <c r="T51" s="2853"/>
      <c r="U51" s="2853"/>
      <c r="V51" s="2853"/>
      <c r="W51" s="2853"/>
      <c r="X51" s="2853"/>
      <c r="Y51" s="2853"/>
      <c r="Z51" s="285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23">
        <f>ROUND(IF(ISERROR((AB48/AB49)),0,(AB48/AB49)),0)</f>
        <v>0</v>
      </c>
      <c r="AC53" s="2824"/>
      <c r="AD53" s="2824"/>
      <c r="AE53" s="2824"/>
      <c r="AF53" s="2825"/>
    </row>
    <row r="54" spans="1:40" ht="12.75" customHeight="1">
      <c r="D54" s="6" t="s">
        <v>628</v>
      </c>
      <c r="AB54" s="2823">
        <f>(AB53/10)</f>
        <v>0</v>
      </c>
      <c r="AC54" s="2824"/>
      <c r="AD54" s="2824"/>
      <c r="AE54" s="2824"/>
      <c r="AF54" s="2825"/>
    </row>
    <row r="55" spans="1:40" ht="12.75">
      <c r="D55" s="6" t="s">
        <v>383</v>
      </c>
      <c r="AB55" s="2850">
        <f>(IF((Y41&lt;AB54),Y41,AB54))</f>
        <v>0</v>
      </c>
      <c r="AC55" s="2851"/>
      <c r="AD55" s="2851"/>
      <c r="AE55" s="2851"/>
      <c r="AF55" s="2852"/>
    </row>
    <row r="56" spans="1:40" ht="12.75">
      <c r="D56" s="6" t="s">
        <v>117</v>
      </c>
      <c r="AB56" s="2823">
        <f>ROUND((10*AB55*AB49),0)</f>
        <v>0</v>
      </c>
      <c r="AC56" s="2824"/>
      <c r="AD56" s="2824"/>
      <c r="AE56" s="2824"/>
      <c r="AF56" s="28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21">
        <f>AB48-AB56</f>
        <v>21249967</v>
      </c>
      <c r="AC58" s="2821"/>
      <c r="AD58" s="2821"/>
      <c r="AE58" s="2821"/>
      <c r="AF58" s="282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18" t="s">
        <v>2032</v>
      </c>
      <c r="B60" s="2818"/>
      <c r="C60" s="2818"/>
      <c r="D60" s="2818"/>
      <c r="E60" s="2818"/>
      <c r="F60" s="2818"/>
      <c r="G60" s="2818"/>
      <c r="H60" s="2818"/>
      <c r="I60" s="2818"/>
      <c r="J60" s="2818"/>
      <c r="K60" s="2818"/>
      <c r="L60" s="2818"/>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row>
    <row r="61" spans="1:40" ht="13.7" customHeight="1" thickTop="1">
      <c r="A61" s="2820"/>
      <c r="B61" s="2820"/>
      <c r="C61" s="2820"/>
      <c r="D61" s="2820"/>
      <c r="E61" s="2820"/>
      <c r="F61" s="2820"/>
      <c r="G61" s="2820"/>
      <c r="H61" s="2820"/>
      <c r="I61" s="2820"/>
      <c r="J61" s="2820"/>
      <c r="K61" s="2820"/>
      <c r="L61" s="2820"/>
      <c r="M61" s="282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22" t="s">
        <v>333</v>
      </c>
      <c r="Z62" s="2822"/>
      <c r="AA62" s="2822"/>
      <c r="AB62" s="2822"/>
      <c r="AC62" s="2822"/>
      <c r="AD62" s="2822" t="s">
        <v>46</v>
      </c>
      <c r="AE62" s="2822"/>
      <c r="AF62" s="2822"/>
      <c r="AG62" s="2822"/>
      <c r="AH62" s="2822"/>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495">
        <f>Y28</f>
        <v>0</v>
      </c>
      <c r="Z63" s="2845"/>
      <c r="AA63" s="2845"/>
      <c r="AB63" s="2845"/>
      <c r="AC63" s="2845"/>
      <c r="AD63" s="2495">
        <f>AI28</f>
        <v>0</v>
      </c>
      <c r="AE63" s="2845"/>
      <c r="AF63" s="2845"/>
      <c r="AG63" s="2845"/>
      <c r="AH63" s="2845"/>
    </row>
    <row r="64" spans="1:40" ht="15" customHeight="1">
      <c r="C64" s="6"/>
      <c r="E64" s="2819" t="s">
        <v>1453</v>
      </c>
      <c r="F64" s="2819"/>
      <c r="G64" s="2819"/>
      <c r="H64" s="2819"/>
      <c r="I64" s="2819"/>
      <c r="J64" s="2819"/>
      <c r="K64" s="2819"/>
      <c r="L64" s="2819"/>
      <c r="M64" s="2819"/>
      <c r="N64" s="2819"/>
      <c r="O64" s="2819"/>
      <c r="P64" s="2819"/>
      <c r="Q64" s="2819"/>
      <c r="R64" s="2819"/>
      <c r="S64" s="2819"/>
      <c r="T64" s="2819"/>
      <c r="U64" s="2819"/>
      <c r="V64" s="2819"/>
      <c r="W64" s="2819"/>
      <c r="X64" s="2819"/>
      <c r="Y64" s="2819"/>
      <c r="Z64" s="2819"/>
      <c r="AA64" s="2819"/>
      <c r="AB64" s="2819"/>
      <c r="AC64" s="2819"/>
      <c r="AD64" s="2819"/>
      <c r="AE64" s="2819"/>
      <c r="AF64" s="2819"/>
      <c r="AG64" s="2819"/>
      <c r="AH64" s="2819"/>
    </row>
    <row r="65" spans="1:40" ht="24.4" customHeight="1">
      <c r="C65" s="6"/>
      <c r="E65" s="2819"/>
      <c r="F65" s="2819"/>
      <c r="G65" s="2819"/>
      <c r="H65" s="2819"/>
      <c r="I65" s="2819"/>
      <c r="J65" s="2819"/>
      <c r="K65" s="2819"/>
      <c r="L65" s="2819"/>
      <c r="M65" s="2819"/>
      <c r="N65" s="2819"/>
      <c r="O65" s="2819"/>
      <c r="P65" s="2819"/>
      <c r="Q65" s="2819"/>
      <c r="R65" s="2819"/>
      <c r="S65" s="2819"/>
      <c r="T65" s="2819"/>
      <c r="U65" s="2819"/>
      <c r="V65" s="2819"/>
      <c r="W65" s="2819"/>
      <c r="X65" s="2819"/>
      <c r="Y65" s="2819"/>
      <c r="Z65" s="2819"/>
      <c r="AA65" s="2819"/>
      <c r="AB65" s="2819"/>
      <c r="AC65" s="2819"/>
      <c r="AD65" s="2819"/>
      <c r="AE65" s="2819"/>
      <c r="AF65" s="2819"/>
      <c r="AG65" s="2819"/>
      <c r="AH65" s="2819"/>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41">
        <v>0.3</v>
      </c>
      <c r="Z66" s="2841"/>
      <c r="AA66" s="2841"/>
      <c r="AB66" s="2841"/>
      <c r="AC66" s="2841"/>
      <c r="AD66" s="2841">
        <v>0.13</v>
      </c>
      <c r="AE66" s="2841"/>
      <c r="AF66" s="2841"/>
      <c r="AG66" s="2841"/>
      <c r="AH66" s="2841"/>
    </row>
    <row r="67" spans="1:40" ht="12.75">
      <c r="C67" s="6"/>
      <c r="D67" s="6" t="s">
        <v>1057</v>
      </c>
      <c r="Y67" s="2495">
        <f>ROUND(Y63*Y66,0)</f>
        <v>0</v>
      </c>
      <c r="Z67" s="2845"/>
      <c r="AA67" s="2845"/>
      <c r="AB67" s="2845"/>
      <c r="AC67" s="2845"/>
      <c r="AD67" s="2495" t="str">
        <f>IF(OR(Application!D218="At-Risk",Application!D218="At-Risk/Located in Rural Census Tract",Application!D221="At-Risk"),ROUND(AD63*AD66,0),"$0")</f>
        <v>$0</v>
      </c>
      <c r="AE67" s="2846"/>
      <c r="AF67" s="2846"/>
      <c r="AG67" s="2846"/>
      <c r="AH67" s="2846"/>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42"/>
      <c r="AC70" s="2843"/>
      <c r="AD70" s="2843"/>
      <c r="AE70" s="2843"/>
      <c r="AF70" s="2844"/>
      <c r="AG70" s="2"/>
      <c r="AH70" s="2"/>
      <c r="AI70" s="2"/>
      <c r="AJ70" s="2"/>
      <c r="AK70" s="2"/>
      <c r="AL70" s="2"/>
      <c r="AM70" s="2"/>
      <c r="AN70" s="2"/>
    </row>
    <row r="71" spans="1:40" ht="12.75" customHeight="1">
      <c r="A71" s="344"/>
      <c r="B71" s="2"/>
      <c r="C71" s="344"/>
      <c r="D71" s="344"/>
      <c r="E71" s="2847" t="s">
        <v>2027</v>
      </c>
      <c r="F71" s="2847"/>
      <c r="G71" s="2847"/>
      <c r="H71" s="2847"/>
      <c r="I71" s="2847"/>
      <c r="J71" s="2847"/>
      <c r="K71" s="2847"/>
      <c r="L71" s="2847"/>
      <c r="M71" s="2847"/>
      <c r="N71" s="2847"/>
      <c r="O71" s="2847"/>
      <c r="P71" s="2847"/>
      <c r="Q71" s="2847"/>
      <c r="R71" s="2847"/>
      <c r="S71" s="2847"/>
      <c r="T71" s="2847"/>
      <c r="U71" s="2847"/>
      <c r="V71" s="2847"/>
      <c r="W71" s="2847"/>
      <c r="X71" s="2847"/>
      <c r="Y71" s="2847"/>
      <c r="Z71" s="2847"/>
      <c r="AA71" s="848"/>
      <c r="AB71" s="848"/>
      <c r="AC71" s="848"/>
      <c r="AG71" s="2"/>
      <c r="AH71" s="2"/>
      <c r="AI71" s="2"/>
      <c r="AJ71" s="2"/>
      <c r="AK71" s="2"/>
      <c r="AL71" s="2"/>
      <c r="AM71" s="2"/>
      <c r="AN71" s="2"/>
    </row>
    <row r="72" spans="1:40" ht="12.75" customHeight="1">
      <c r="A72" s="344"/>
      <c r="B72" s="2"/>
      <c r="C72" s="344"/>
      <c r="D72" s="344"/>
      <c r="E72" s="2847"/>
      <c r="F72" s="2847"/>
      <c r="G72" s="2847"/>
      <c r="H72" s="2847"/>
      <c r="I72" s="2847"/>
      <c r="J72" s="2847"/>
      <c r="K72" s="2847"/>
      <c r="L72" s="2847"/>
      <c r="M72" s="2847"/>
      <c r="N72" s="2847"/>
      <c r="O72" s="2847"/>
      <c r="P72" s="2847"/>
      <c r="Q72" s="2847"/>
      <c r="R72" s="2847"/>
      <c r="S72" s="2847"/>
      <c r="T72" s="2847"/>
      <c r="U72" s="2847"/>
      <c r="V72" s="2847"/>
      <c r="W72" s="2847"/>
      <c r="X72" s="2847"/>
      <c r="Y72" s="2847"/>
      <c r="Z72" s="2847"/>
      <c r="AA72" s="848"/>
      <c r="AB72" s="848"/>
      <c r="AC72" s="848"/>
      <c r="AG72" s="2"/>
      <c r="AH72" s="2"/>
      <c r="AI72" s="2"/>
      <c r="AJ72" s="2"/>
      <c r="AK72" s="2"/>
      <c r="AL72" s="2"/>
      <c r="AM72" s="2"/>
      <c r="AN72" s="2"/>
    </row>
    <row r="73" spans="1:40" ht="12" customHeight="1">
      <c r="A73" s="344"/>
      <c r="B73" s="2"/>
      <c r="C73" s="344"/>
      <c r="D73" s="344"/>
      <c r="E73" s="2847"/>
      <c r="F73" s="2847"/>
      <c r="G73" s="2847"/>
      <c r="H73" s="2847"/>
      <c r="I73" s="2847"/>
      <c r="J73" s="2847"/>
      <c r="K73" s="2847"/>
      <c r="L73" s="2847"/>
      <c r="M73" s="2847"/>
      <c r="N73" s="2847"/>
      <c r="O73" s="2847"/>
      <c r="P73" s="2847"/>
      <c r="Q73" s="2847"/>
      <c r="R73" s="2847"/>
      <c r="S73" s="2847"/>
      <c r="T73" s="2847"/>
      <c r="U73" s="2847"/>
      <c r="V73" s="2847"/>
      <c r="W73" s="2847"/>
      <c r="X73" s="2847"/>
      <c r="Y73" s="2847"/>
      <c r="Z73" s="284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40">
        <f>ROUND(IF(ISERROR((AB58/AB70)),0,(AB58/AB70)),0)</f>
        <v>0</v>
      </c>
      <c r="AC75" s="2840"/>
      <c r="AD75" s="2840"/>
      <c r="AE75" s="2840"/>
      <c r="AF75" s="2840"/>
    </row>
    <row r="76" spans="1:40" ht="12.75" customHeight="1">
      <c r="C76" s="6"/>
      <c r="D76" s="6" t="s">
        <v>115</v>
      </c>
      <c r="AB76" s="2837">
        <f>IF((Y67+AD67&lt;AB75),Y67+AD67,AB75)</f>
        <v>0</v>
      </c>
      <c r="AC76" s="2838"/>
      <c r="AD76" s="2838"/>
      <c r="AE76" s="2838"/>
      <c r="AF76" s="2839"/>
    </row>
    <row r="77" spans="1:40" ht="12.75" customHeight="1">
      <c r="C77" s="6"/>
      <c r="D77" s="6" t="s">
        <v>1058</v>
      </c>
      <c r="AB77" s="2836">
        <f>AB76*AB70</f>
        <v>0</v>
      </c>
      <c r="AC77" s="2836"/>
      <c r="AD77" s="2836"/>
      <c r="AE77" s="2836"/>
      <c r="AF77" s="2836"/>
    </row>
    <row r="78" spans="1:40" ht="12.75" customHeight="1">
      <c r="C78" s="6"/>
      <c r="D78" s="6"/>
      <c r="AB78" s="984"/>
      <c r="AC78" s="984"/>
      <c r="AD78" s="984"/>
      <c r="AE78" s="984"/>
      <c r="AF78" s="984"/>
    </row>
    <row r="79" spans="1:40" ht="12.75" customHeight="1">
      <c r="A79" s="1"/>
      <c r="B79" s="1"/>
      <c r="C79" s="1"/>
      <c r="D79" s="6" t="s">
        <v>116</v>
      </c>
      <c r="AB79" s="2821">
        <f>AB48-(AB56+AB77)</f>
        <v>21249967</v>
      </c>
      <c r="AC79" s="2821"/>
      <c r="AD79" s="2821"/>
      <c r="AE79" s="2821"/>
      <c r="AF79" s="282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55" t="s">
        <v>1534</v>
      </c>
      <c r="B1" s="2856"/>
      <c r="C1" s="2856"/>
      <c r="D1" s="2856"/>
      <c r="E1" s="2856"/>
      <c r="F1" s="2856"/>
      <c r="G1" s="2856"/>
      <c r="H1" s="2856"/>
      <c r="I1" s="2856"/>
      <c r="J1" s="2856"/>
      <c r="K1" s="2856"/>
      <c r="L1" s="2856"/>
      <c r="M1" s="2856"/>
      <c r="N1" s="2856"/>
      <c r="O1" s="2856"/>
      <c r="P1" s="2856"/>
      <c r="Q1" s="2856"/>
      <c r="R1" s="2856"/>
      <c r="S1" s="2856"/>
      <c r="T1" s="2856"/>
      <c r="U1" s="2856"/>
      <c r="V1" s="2856"/>
      <c r="W1" s="2856"/>
      <c r="X1" s="2856"/>
      <c r="Y1" s="2856"/>
      <c r="Z1" s="2856"/>
      <c r="AA1" s="2856"/>
      <c r="AB1" s="2856"/>
      <c r="AC1" s="2856"/>
      <c r="AD1" s="2856"/>
      <c r="AE1" s="2856"/>
      <c r="AF1" s="2856"/>
      <c r="AG1" s="2856"/>
      <c r="AH1" s="2856"/>
      <c r="AI1" s="2856"/>
      <c r="AJ1" s="2856"/>
      <c r="AK1" s="2856"/>
      <c r="AL1" s="2856"/>
      <c r="AM1" s="2856"/>
      <c r="AN1" s="2856"/>
    </row>
    <row r="2" spans="1:40" ht="13.5" thickBot="1">
      <c r="A2" s="2857"/>
      <c r="B2" s="2857"/>
      <c r="C2" s="2857"/>
      <c r="D2" s="2857"/>
      <c r="E2" s="2857"/>
      <c r="F2" s="2857"/>
      <c r="G2" s="2857"/>
      <c r="H2" s="2857"/>
      <c r="I2" s="2857"/>
      <c r="J2" s="2857"/>
      <c r="K2" s="2857"/>
      <c r="L2" s="2857"/>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35" t="s">
        <v>1853</v>
      </c>
      <c r="U7" s="2835"/>
      <c r="V7" s="2835"/>
      <c r="W7" s="2835"/>
      <c r="X7" s="2835"/>
      <c r="Y7" s="2835" t="s">
        <v>2030</v>
      </c>
      <c r="Z7" s="2835"/>
      <c r="AA7" s="2835"/>
      <c r="AB7" s="2835"/>
      <c r="AC7" s="2835"/>
      <c r="AD7" s="2835" t="s">
        <v>1540</v>
      </c>
      <c r="AE7" s="2835"/>
      <c r="AF7" s="2835"/>
      <c r="AG7" s="2835"/>
      <c r="AH7" s="2835"/>
      <c r="AI7" s="2835" t="s">
        <v>2031</v>
      </c>
      <c r="AJ7" s="2835"/>
      <c r="AK7" s="2835"/>
      <c r="AL7" s="2835"/>
      <c r="AM7" s="2835"/>
    </row>
    <row r="8" spans="1:40" ht="12.75" customHeight="1">
      <c r="B8" s="354"/>
      <c r="C8" s="1"/>
      <c r="D8" s="1"/>
      <c r="E8" s="1"/>
      <c r="F8" s="1"/>
      <c r="G8" s="1"/>
      <c r="H8" s="1"/>
      <c r="I8" s="1"/>
      <c r="J8" s="1"/>
      <c r="K8" s="1"/>
      <c r="L8" s="1"/>
      <c r="M8" s="1"/>
      <c r="N8" s="1"/>
      <c r="O8" s="1"/>
      <c r="P8" s="1"/>
      <c r="Q8" s="1"/>
      <c r="R8" s="1"/>
      <c r="S8" s="1"/>
      <c r="T8" s="2835"/>
      <c r="U8" s="2835"/>
      <c r="V8" s="2835"/>
      <c r="W8" s="2835"/>
      <c r="X8" s="2835"/>
      <c r="Y8" s="2835"/>
      <c r="Z8" s="2835"/>
      <c r="AA8" s="2835"/>
      <c r="AB8" s="2835"/>
      <c r="AC8" s="2835"/>
      <c r="AD8" s="2835"/>
      <c r="AE8" s="2835"/>
      <c r="AF8" s="2835"/>
      <c r="AG8" s="2835"/>
      <c r="AH8" s="2835"/>
      <c r="AI8" s="2835"/>
      <c r="AJ8" s="2835"/>
      <c r="AK8" s="2835"/>
      <c r="AL8" s="2835"/>
      <c r="AM8" s="2835"/>
    </row>
    <row r="9" spans="1:40" ht="12.75">
      <c r="B9" s="354"/>
      <c r="C9" s="1"/>
      <c r="D9" s="1"/>
      <c r="E9" s="1"/>
      <c r="F9" s="1"/>
      <c r="G9" s="1"/>
      <c r="H9" s="1"/>
      <c r="I9" s="1"/>
      <c r="J9" s="1"/>
      <c r="K9" s="1"/>
      <c r="L9" s="1"/>
      <c r="M9" s="1"/>
      <c r="N9" s="1"/>
      <c r="O9" s="1"/>
      <c r="P9" s="1"/>
      <c r="Q9" s="1"/>
      <c r="R9" s="1"/>
      <c r="S9" s="1"/>
      <c r="T9" s="2835"/>
      <c r="U9" s="2835"/>
      <c r="V9" s="2835"/>
      <c r="W9" s="2835"/>
      <c r="X9" s="2835"/>
      <c r="Y9" s="2835"/>
      <c r="Z9" s="2835"/>
      <c r="AA9" s="2835"/>
      <c r="AB9" s="2835"/>
      <c r="AC9" s="2835"/>
      <c r="AD9" s="2835"/>
      <c r="AE9" s="2835"/>
      <c r="AF9" s="2835"/>
      <c r="AG9" s="2835"/>
      <c r="AH9" s="2835"/>
      <c r="AI9" s="2835"/>
      <c r="AJ9" s="2835"/>
      <c r="AK9" s="2835"/>
      <c r="AL9" s="2835"/>
      <c r="AM9" s="2835"/>
    </row>
    <row r="10" spans="1:40" ht="41.45" customHeight="1">
      <c r="B10" s="289"/>
      <c r="C10" s="290"/>
      <c r="D10" s="290"/>
      <c r="E10" s="290"/>
      <c r="F10" s="290"/>
      <c r="G10" s="290"/>
      <c r="H10" s="290"/>
      <c r="I10" s="290"/>
      <c r="J10" s="290"/>
      <c r="K10" s="290"/>
      <c r="L10" s="290"/>
      <c r="M10" s="290"/>
      <c r="N10" s="290"/>
      <c r="O10" s="290"/>
      <c r="P10" s="290"/>
      <c r="Q10" s="290"/>
      <c r="R10" s="290"/>
      <c r="S10" s="290"/>
      <c r="T10" s="2835"/>
      <c r="U10" s="2835"/>
      <c r="V10" s="2835"/>
      <c r="W10" s="2835"/>
      <c r="X10" s="2835"/>
      <c r="Y10" s="2835"/>
      <c r="Z10" s="2835"/>
      <c r="AA10" s="2835"/>
      <c r="AB10" s="2835"/>
      <c r="AC10" s="2835"/>
      <c r="AD10" s="2835"/>
      <c r="AE10" s="2835"/>
      <c r="AF10" s="2835"/>
      <c r="AG10" s="2835"/>
      <c r="AH10" s="2835"/>
      <c r="AI10" s="2835"/>
      <c r="AJ10" s="2835"/>
      <c r="AK10" s="2835"/>
      <c r="AL10" s="2835"/>
      <c r="AM10" s="2835"/>
    </row>
    <row r="11" spans="1:40" ht="12.75">
      <c r="B11" s="2832" t="s">
        <v>572</v>
      </c>
      <c r="C11" s="2833"/>
      <c r="D11" s="2833"/>
      <c r="E11" s="2833"/>
      <c r="F11" s="2833"/>
      <c r="G11" s="2833"/>
      <c r="H11" s="2833"/>
      <c r="I11" s="2833"/>
      <c r="J11" s="2833"/>
      <c r="K11" s="2833"/>
      <c r="L11" s="2833"/>
      <c r="M11" s="2833"/>
      <c r="N11" s="2833"/>
      <c r="O11" s="2833"/>
      <c r="P11" s="2833"/>
      <c r="Q11" s="2833"/>
      <c r="R11" s="2833"/>
      <c r="S11" s="2834"/>
      <c r="T11" s="2874">
        <f>IF('Sources and Basis Breakdown'!F106=0,'Sources and Basis Breakdown'!E106,'Sources and Basis Breakdown'!F106)</f>
        <v>106019596</v>
      </c>
      <c r="U11" s="2860"/>
      <c r="V11" s="2860"/>
      <c r="W11" s="2860"/>
      <c r="X11" s="2860"/>
      <c r="Y11" s="2859">
        <f>IF('Sources and Basis Breakdown'!G106+'Sources and Basis Breakdown'!F106='Sources and Basis Breakdown'!E106,'Sources and Basis Breakdown'!G106,0)</f>
        <v>0</v>
      </c>
      <c r="Z11" s="2860"/>
      <c r="AA11" s="2860"/>
      <c r="AB11" s="2860"/>
      <c r="AC11" s="2860"/>
      <c r="AD11" s="2860">
        <f>IF('Sources and Basis Breakdown'!I106=0,'Sources and Basis Breakdown'!H106,'Sources and Basis Breakdown'!I106)</f>
        <v>0</v>
      </c>
      <c r="AE11" s="2860"/>
      <c r="AF11" s="2860"/>
      <c r="AG11" s="2860"/>
      <c r="AH11" s="2860"/>
      <c r="AI11" s="2860">
        <f>IF('Sources and Basis Breakdown'!I106+'Sources and Basis Breakdown'!J106='Sources and Basis Breakdown'!H106,'Sources and Basis Breakdown'!J106,0)</f>
        <v>0</v>
      </c>
      <c r="AJ11" s="2860"/>
      <c r="AK11" s="2860"/>
      <c r="AL11" s="2860"/>
      <c r="AM11" s="2860"/>
    </row>
    <row r="12" spans="1:40" ht="12.75">
      <c r="B12" s="2867" t="s">
        <v>501</v>
      </c>
      <c r="C12" s="2868"/>
      <c r="D12" s="2868"/>
      <c r="E12" s="2868"/>
      <c r="F12" s="2868"/>
      <c r="G12" s="2868"/>
      <c r="H12" s="2868"/>
      <c r="I12" s="2868"/>
      <c r="J12" s="2868"/>
      <c r="K12" s="2868"/>
      <c r="L12" s="2868"/>
      <c r="M12" s="2868"/>
      <c r="N12" s="2868"/>
      <c r="O12" s="2868"/>
      <c r="P12" s="2868"/>
      <c r="Q12" s="2868"/>
      <c r="R12" s="2868"/>
      <c r="S12" s="2869"/>
      <c r="T12" s="2862"/>
      <c r="U12" s="2863"/>
      <c r="V12" s="2863"/>
      <c r="W12" s="2863"/>
      <c r="X12" s="2864"/>
      <c r="Y12" s="2862"/>
      <c r="Z12" s="2863"/>
      <c r="AA12" s="2863"/>
      <c r="AB12" s="2863"/>
      <c r="AC12" s="2864"/>
      <c r="AD12" s="2862"/>
      <c r="AE12" s="2863"/>
      <c r="AF12" s="2863"/>
      <c r="AG12" s="2863"/>
      <c r="AH12" s="2864"/>
      <c r="AI12" s="2862"/>
      <c r="AJ12" s="2863"/>
      <c r="AK12" s="2863"/>
      <c r="AL12" s="2863"/>
      <c r="AM12" s="2864"/>
    </row>
    <row r="13" spans="1:40" ht="12.75">
      <c r="B13" s="11"/>
      <c r="C13" s="2870" t="s">
        <v>1981</v>
      </c>
      <c r="D13" s="2871"/>
      <c r="E13" s="2871"/>
      <c r="F13" s="2871"/>
      <c r="G13" s="2871"/>
      <c r="H13" s="2871"/>
      <c r="I13" s="2871"/>
      <c r="J13" s="2871"/>
      <c r="K13" s="2871"/>
      <c r="L13" s="2871"/>
      <c r="M13" s="2871"/>
      <c r="N13" s="2871"/>
      <c r="O13" s="2871"/>
      <c r="P13" s="2871"/>
      <c r="Q13" s="2871"/>
      <c r="R13" s="2871"/>
      <c r="S13" s="2872"/>
      <c r="T13" s="2861">
        <f>'Basis &amp; Credits'!T13</f>
        <v>0</v>
      </c>
      <c r="U13" s="2858"/>
      <c r="V13" s="2858"/>
      <c r="W13" s="2858"/>
      <c r="X13" s="2858"/>
      <c r="Y13" s="2861">
        <f>'Basis &amp; Credits'!Y13</f>
        <v>0</v>
      </c>
      <c r="Z13" s="2858"/>
      <c r="AA13" s="2858"/>
      <c r="AB13" s="2858"/>
      <c r="AC13" s="2858"/>
      <c r="AD13" s="2858">
        <f>'Basis &amp; Credits'!AD13</f>
        <v>0</v>
      </c>
      <c r="AE13" s="2858"/>
      <c r="AF13" s="2858"/>
      <c r="AG13" s="2858"/>
      <c r="AH13" s="2858"/>
      <c r="AI13" s="2858">
        <f>'Basis &amp; Credits'!AI13</f>
        <v>0</v>
      </c>
      <c r="AJ13" s="2858"/>
      <c r="AK13" s="2858"/>
      <c r="AL13" s="2858"/>
      <c r="AM13" s="2858"/>
    </row>
    <row r="14" spans="1:40" ht="12.75">
      <c r="B14" s="11"/>
      <c r="C14" s="2871" t="s">
        <v>848</v>
      </c>
      <c r="D14" s="2871"/>
      <c r="E14" s="2871"/>
      <c r="F14" s="2871"/>
      <c r="G14" s="2871"/>
      <c r="H14" s="2871"/>
      <c r="I14" s="2871"/>
      <c r="J14" s="2871"/>
      <c r="K14" s="2871"/>
      <c r="L14" s="2871"/>
      <c r="M14" s="2871"/>
      <c r="N14" s="2871"/>
      <c r="O14" s="2871"/>
      <c r="P14" s="2871"/>
      <c r="Q14" s="2871"/>
      <c r="R14" s="2871"/>
      <c r="S14" s="2872"/>
      <c r="T14" s="2486">
        <f>'Basis &amp; Credits'!T14</f>
        <v>0</v>
      </c>
      <c r="U14" s="2483"/>
      <c r="V14" s="2483"/>
      <c r="W14" s="2483"/>
      <c r="X14" s="2483"/>
      <c r="Y14" s="2486">
        <f>'Basis &amp; Credits'!Y14</f>
        <v>0</v>
      </c>
      <c r="Z14" s="2483"/>
      <c r="AA14" s="2483"/>
      <c r="AB14" s="2483"/>
      <c r="AC14" s="2483"/>
      <c r="AD14" s="2483">
        <f>'Basis &amp; Credits'!AD14</f>
        <v>0</v>
      </c>
      <c r="AE14" s="2483"/>
      <c r="AF14" s="2483"/>
      <c r="AG14" s="2483"/>
      <c r="AH14" s="2483"/>
      <c r="AI14" s="2483">
        <f>'Basis &amp; Credits'!AI14</f>
        <v>0</v>
      </c>
      <c r="AJ14" s="2483"/>
      <c r="AK14" s="2483"/>
      <c r="AL14" s="2483"/>
      <c r="AM14" s="2483"/>
    </row>
    <row r="15" spans="1:40" ht="12.75">
      <c r="B15" s="11"/>
      <c r="C15" s="2871" t="s">
        <v>849</v>
      </c>
      <c r="D15" s="2871"/>
      <c r="E15" s="2871"/>
      <c r="F15" s="2871"/>
      <c r="G15" s="2871"/>
      <c r="H15" s="2871"/>
      <c r="I15" s="2871"/>
      <c r="J15" s="2871"/>
      <c r="K15" s="2871"/>
      <c r="L15" s="2871"/>
      <c r="M15" s="2871"/>
      <c r="N15" s="2871"/>
      <c r="O15" s="2871"/>
      <c r="P15" s="2871"/>
      <c r="Q15" s="2871"/>
      <c r="R15" s="2871"/>
      <c r="S15" s="2872"/>
      <c r="T15" s="2486">
        <f>'Basis &amp; Credits'!T15</f>
        <v>0</v>
      </c>
      <c r="U15" s="2483"/>
      <c r="V15" s="2483"/>
      <c r="W15" s="2483"/>
      <c r="X15" s="2483"/>
      <c r="Y15" s="2486">
        <f>'Basis &amp; Credits'!Y15</f>
        <v>0</v>
      </c>
      <c r="Z15" s="2483"/>
      <c r="AA15" s="2483"/>
      <c r="AB15" s="2483"/>
      <c r="AC15" s="2483"/>
      <c r="AD15" s="2483">
        <f>'Basis &amp; Credits'!AD15</f>
        <v>0</v>
      </c>
      <c r="AE15" s="2483"/>
      <c r="AF15" s="2483"/>
      <c r="AG15" s="2483"/>
      <c r="AH15" s="2483"/>
      <c r="AI15" s="2483">
        <f>'Basis &amp; Credits'!AI15</f>
        <v>0</v>
      </c>
      <c r="AJ15" s="2483"/>
      <c r="AK15" s="2483"/>
      <c r="AL15" s="2483"/>
      <c r="AM15" s="2483"/>
    </row>
    <row r="16" spans="1:40" ht="12.75">
      <c r="B16" s="11"/>
      <c r="C16" s="2870" t="s">
        <v>1137</v>
      </c>
      <c r="D16" s="2870"/>
      <c r="E16" s="2870"/>
      <c r="F16" s="2870"/>
      <c r="G16" s="2870"/>
      <c r="H16" s="2870"/>
      <c r="I16" s="2870"/>
      <c r="J16" s="2870"/>
      <c r="K16" s="2870"/>
      <c r="L16" s="2870"/>
      <c r="M16" s="2870"/>
      <c r="N16" s="2870"/>
      <c r="O16" s="2870"/>
      <c r="P16" s="2870"/>
      <c r="Q16" s="2870"/>
      <c r="R16" s="2870"/>
      <c r="S16" s="2873"/>
      <c r="T16" s="2486">
        <f>'Basis &amp; Credits'!T16</f>
        <v>0</v>
      </c>
      <c r="U16" s="2483"/>
      <c r="V16" s="2483"/>
      <c r="W16" s="2483"/>
      <c r="X16" s="2483"/>
      <c r="Y16" s="2486">
        <f>'Basis &amp; Credits'!Y16</f>
        <v>0</v>
      </c>
      <c r="Z16" s="2483"/>
      <c r="AA16" s="2483"/>
      <c r="AB16" s="2483"/>
      <c r="AC16" s="2483"/>
      <c r="AD16" s="2483">
        <f>'Basis &amp; Credits'!AD16</f>
        <v>0</v>
      </c>
      <c r="AE16" s="2483"/>
      <c r="AF16" s="2483"/>
      <c r="AG16" s="2483"/>
      <c r="AH16" s="2483"/>
      <c r="AI16" s="2483">
        <f>'Basis &amp; Credits'!AI16</f>
        <v>0</v>
      </c>
      <c r="AJ16" s="2483"/>
      <c r="AK16" s="2483"/>
      <c r="AL16" s="2483"/>
      <c r="AM16" s="2483"/>
    </row>
    <row r="17" spans="1:39" ht="12.75">
      <c r="B17" s="11"/>
      <c r="C17" s="2871" t="s">
        <v>850</v>
      </c>
      <c r="D17" s="2871"/>
      <c r="E17" s="2871"/>
      <c r="F17" s="2871"/>
      <c r="G17" s="2871"/>
      <c r="H17" s="2871"/>
      <c r="I17" s="2871"/>
      <c r="J17" s="2871"/>
      <c r="K17" s="2871"/>
      <c r="L17" s="2871"/>
      <c r="M17" s="2871"/>
      <c r="N17" s="2871"/>
      <c r="O17" s="2871"/>
      <c r="P17" s="2871"/>
      <c r="Q17" s="2871"/>
      <c r="R17" s="2871"/>
      <c r="S17" s="2872"/>
      <c r="T17" s="2486">
        <f>'Basis &amp; Credits'!T17</f>
        <v>0</v>
      </c>
      <c r="U17" s="2483"/>
      <c r="V17" s="2483"/>
      <c r="W17" s="2483"/>
      <c r="X17" s="2483"/>
      <c r="Y17" s="2486">
        <f>'Basis &amp; Credits'!Y17</f>
        <v>0</v>
      </c>
      <c r="Z17" s="2483"/>
      <c r="AA17" s="2483"/>
      <c r="AB17" s="2483"/>
      <c r="AC17" s="2483"/>
      <c r="AD17" s="2483">
        <f>'Basis &amp; Credits'!AD17</f>
        <v>0</v>
      </c>
      <c r="AE17" s="2483"/>
      <c r="AF17" s="2483"/>
      <c r="AG17" s="2483"/>
      <c r="AH17" s="2483"/>
      <c r="AI17" s="2483">
        <f>'Basis &amp; Credits'!AI17</f>
        <v>0</v>
      </c>
      <c r="AJ17" s="2483"/>
      <c r="AK17" s="2483"/>
      <c r="AL17" s="2483"/>
      <c r="AM17" s="2483"/>
    </row>
    <row r="18" spans="1:39" ht="12.75">
      <c r="B18" s="979"/>
      <c r="C18" s="2870" t="s">
        <v>1545</v>
      </c>
      <c r="D18" s="2871"/>
      <c r="E18" s="2871"/>
      <c r="F18" s="2871"/>
      <c r="G18" s="2871"/>
      <c r="H18" s="2871"/>
      <c r="I18" s="2871"/>
      <c r="J18" s="2871"/>
      <c r="K18" s="2871"/>
      <c r="L18" s="2871"/>
      <c r="M18" s="2871"/>
      <c r="N18" s="2871"/>
      <c r="O18" s="2871"/>
      <c r="P18" s="2871"/>
      <c r="Q18" s="2871"/>
      <c r="R18" s="2871"/>
      <c r="S18" s="2872"/>
      <c r="T18" s="2484">
        <f>'Basis &amp; Credits'!T18</f>
        <v>0</v>
      </c>
      <c r="U18" s="2485"/>
      <c r="V18" s="2485"/>
      <c r="W18" s="2485"/>
      <c r="X18" s="2486"/>
      <c r="Y18" s="2486">
        <f>'Basis &amp; Credits'!Y18</f>
        <v>0</v>
      </c>
      <c r="Z18" s="2483"/>
      <c r="AA18" s="2483"/>
      <c r="AB18" s="2483"/>
      <c r="AC18" s="2483"/>
      <c r="AD18" s="2483">
        <f>'Basis &amp; Credits'!AD18</f>
        <v>0</v>
      </c>
      <c r="AE18" s="2483"/>
      <c r="AF18" s="2483"/>
      <c r="AG18" s="2483"/>
      <c r="AH18" s="2483"/>
      <c r="AI18" s="2483">
        <f>'Basis &amp; Credits'!AI18</f>
        <v>0</v>
      </c>
      <c r="AJ18" s="2483"/>
      <c r="AK18" s="2483"/>
      <c r="AL18" s="2483"/>
      <c r="AM18" s="2483"/>
    </row>
    <row r="19" spans="1:39" ht="12.75">
      <c r="B19" s="802"/>
      <c r="C19" s="2865" t="str">
        <f>'Basis &amp; Credits'!C19:S19</f>
        <v>Subtract (specify other ineligible amounts):</v>
      </c>
      <c r="D19" s="2865"/>
      <c r="E19" s="2865"/>
      <c r="F19" s="2865"/>
      <c r="G19" s="2865"/>
      <c r="H19" s="2865"/>
      <c r="I19" s="2865"/>
      <c r="J19" s="2865"/>
      <c r="K19" s="2865"/>
      <c r="L19" s="2865"/>
      <c r="M19" s="2865"/>
      <c r="N19" s="2865"/>
      <c r="O19" s="2865"/>
      <c r="P19" s="2865"/>
      <c r="Q19" s="2865"/>
      <c r="R19" s="2865"/>
      <c r="S19" s="2866"/>
      <c r="T19" s="2486">
        <f>'Basis &amp; Credits'!T19</f>
        <v>0</v>
      </c>
      <c r="U19" s="2483"/>
      <c r="V19" s="2483"/>
      <c r="W19" s="2483"/>
      <c r="X19" s="2483"/>
      <c r="Y19" s="2486">
        <f>'Basis &amp; Credits'!Y19</f>
        <v>0</v>
      </c>
      <c r="Z19" s="2483"/>
      <c r="AA19" s="2483"/>
      <c r="AB19" s="2483"/>
      <c r="AC19" s="2483"/>
      <c r="AD19" s="2483">
        <f>'Basis &amp; Credits'!AD19</f>
        <v>0</v>
      </c>
      <c r="AE19" s="2483"/>
      <c r="AF19" s="2483"/>
      <c r="AG19" s="2483"/>
      <c r="AH19" s="2483"/>
      <c r="AI19" s="2483">
        <f>'Basis &amp; Credits'!AI19</f>
        <v>0</v>
      </c>
      <c r="AJ19" s="2483"/>
      <c r="AK19" s="2483"/>
      <c r="AL19" s="2483"/>
      <c r="AM19" s="2483"/>
    </row>
    <row r="20" spans="1:39" ht="12.75">
      <c r="B20" s="2832" t="s">
        <v>851</v>
      </c>
      <c r="C20" s="2833"/>
      <c r="D20" s="2833"/>
      <c r="E20" s="2833"/>
      <c r="F20" s="2833"/>
      <c r="G20" s="2833"/>
      <c r="H20" s="2833"/>
      <c r="I20" s="2833"/>
      <c r="J20" s="2833"/>
      <c r="K20" s="2833"/>
      <c r="L20" s="2833"/>
      <c r="M20" s="2833"/>
      <c r="N20" s="2833"/>
      <c r="O20" s="2833"/>
      <c r="P20" s="2833"/>
      <c r="Q20" s="2833"/>
      <c r="R20" s="2833"/>
      <c r="S20" s="2834"/>
      <c r="T20" s="2827">
        <f>SUM(T13:X19)</f>
        <v>0</v>
      </c>
      <c r="U20" s="2828"/>
      <c r="V20" s="2828"/>
      <c r="W20" s="2828"/>
      <c r="X20" s="2828"/>
      <c r="Y20" s="2827">
        <f>SUM(Y13:AC19)</f>
        <v>0</v>
      </c>
      <c r="Z20" s="2828"/>
      <c r="AA20" s="2828"/>
      <c r="AB20" s="2828"/>
      <c r="AC20" s="2828"/>
      <c r="AD20" s="2828">
        <f>SUM(AD13:AH19)</f>
        <v>0</v>
      </c>
      <c r="AE20" s="2828"/>
      <c r="AF20" s="2828"/>
      <c r="AG20" s="2828"/>
      <c r="AH20" s="2828"/>
      <c r="AI20" s="2828">
        <f>SUM(AI13:AM19)</f>
        <v>0</v>
      </c>
      <c r="AJ20" s="2828"/>
      <c r="AK20" s="2828"/>
      <c r="AL20" s="2828"/>
      <c r="AM20" s="2828"/>
    </row>
    <row r="21" spans="1:39" ht="12.75">
      <c r="B21" s="2832" t="s">
        <v>1980</v>
      </c>
      <c r="C21" s="2833"/>
      <c r="D21" s="2833"/>
      <c r="E21" s="2833"/>
      <c r="F21" s="2833"/>
      <c r="G21" s="2833"/>
      <c r="H21" s="2833"/>
      <c r="I21" s="2833"/>
      <c r="J21" s="2833"/>
      <c r="K21" s="2833"/>
      <c r="L21" s="2833"/>
      <c r="M21" s="2833"/>
      <c r="N21" s="2833"/>
      <c r="O21" s="2833"/>
      <c r="P21" s="2833"/>
      <c r="Q21" s="2833"/>
      <c r="R21" s="2833"/>
      <c r="S21" s="2834"/>
      <c r="T21" s="2486">
        <f>'Basis &amp; Credits'!T21</f>
        <v>0</v>
      </c>
      <c r="U21" s="2483"/>
      <c r="V21" s="2483"/>
      <c r="W21" s="2483"/>
      <c r="X21" s="2483"/>
      <c r="Y21" s="2486">
        <f>'Basis &amp; Credits'!Y21</f>
        <v>0</v>
      </c>
      <c r="Z21" s="2483"/>
      <c r="AA21" s="2483"/>
      <c r="AB21" s="2483"/>
      <c r="AC21" s="2483"/>
      <c r="AD21" s="2483">
        <f>'Basis &amp; Credits'!AD21</f>
        <v>0</v>
      </c>
      <c r="AE21" s="2483"/>
      <c r="AF21" s="2483"/>
      <c r="AG21" s="2483"/>
      <c r="AH21" s="2483"/>
      <c r="AI21" s="2483">
        <f>'Basis &amp; Credits'!AI21</f>
        <v>0</v>
      </c>
      <c r="AJ21" s="2483"/>
      <c r="AK21" s="2483"/>
      <c r="AL21" s="2483"/>
      <c r="AM21" s="2483"/>
    </row>
    <row r="22" spans="1:39" ht="12.75">
      <c r="B22" s="2832" t="s">
        <v>852</v>
      </c>
      <c r="C22" s="2833"/>
      <c r="D22" s="2833"/>
      <c r="E22" s="2833"/>
      <c r="F22" s="2833"/>
      <c r="G22" s="2833"/>
      <c r="H22" s="2833"/>
      <c r="I22" s="2833"/>
      <c r="J22" s="2833"/>
      <c r="K22" s="2833"/>
      <c r="L22" s="2833"/>
      <c r="M22" s="2833"/>
      <c r="N22" s="2833"/>
      <c r="O22" s="2833"/>
      <c r="P22" s="2833"/>
      <c r="Q22" s="2833"/>
      <c r="R22" s="2833"/>
      <c r="S22" s="2834"/>
      <c r="T22" s="2876">
        <f>(T20+T21)*-1</f>
        <v>0</v>
      </c>
      <c r="U22" s="2877"/>
      <c r="V22" s="2877"/>
      <c r="W22" s="2877"/>
      <c r="X22" s="2877"/>
      <c r="Y22" s="2876">
        <f>(Y20+Y21)*-1</f>
        <v>0</v>
      </c>
      <c r="Z22" s="2877"/>
      <c r="AA22" s="2877"/>
      <c r="AB22" s="2877"/>
      <c r="AC22" s="2877"/>
      <c r="AD22" s="2876">
        <f>(AD20+AD21)*-1</f>
        <v>0</v>
      </c>
      <c r="AE22" s="2877"/>
      <c r="AF22" s="2877"/>
      <c r="AG22" s="2877"/>
      <c r="AH22" s="2877"/>
      <c r="AI22" s="2876">
        <f>(AI20+AI21)*-1</f>
        <v>0</v>
      </c>
      <c r="AJ22" s="2877"/>
      <c r="AK22" s="2877"/>
      <c r="AL22" s="2877"/>
      <c r="AM22" s="2877"/>
    </row>
    <row r="23" spans="1:39" ht="12.75">
      <c r="A23" s="2"/>
      <c r="B23" s="2893" t="s">
        <v>853</v>
      </c>
      <c r="C23" s="2894"/>
      <c r="D23" s="2894"/>
      <c r="E23" s="2894"/>
      <c r="F23" s="2894"/>
      <c r="G23" s="2894"/>
      <c r="H23" s="2894"/>
      <c r="I23" s="2894"/>
      <c r="J23" s="2894"/>
      <c r="K23" s="2894"/>
      <c r="L23" s="2894"/>
      <c r="M23" s="2894"/>
      <c r="N23" s="2894"/>
      <c r="O23" s="2894"/>
      <c r="P23" s="2894"/>
      <c r="Q23" s="2894"/>
      <c r="R23" s="2894"/>
      <c r="S23" s="2895"/>
      <c r="T23" s="2827">
        <f>T11+T22</f>
        <v>106019596</v>
      </c>
      <c r="U23" s="2828"/>
      <c r="V23" s="2828"/>
      <c r="W23" s="2828"/>
      <c r="X23" s="2828"/>
      <c r="Y23" s="2827">
        <f>Y11+Y22</f>
        <v>0</v>
      </c>
      <c r="Z23" s="2828"/>
      <c r="AA23" s="2828"/>
      <c r="AB23" s="2828"/>
      <c r="AC23" s="2828"/>
      <c r="AD23" s="2827">
        <f>AD11+AD22</f>
        <v>0</v>
      </c>
      <c r="AE23" s="2828"/>
      <c r="AF23" s="2828"/>
      <c r="AG23" s="2828"/>
      <c r="AH23" s="2828"/>
      <c r="AI23" s="2827">
        <f>AI11+AI22</f>
        <v>0</v>
      </c>
      <c r="AJ23" s="2828"/>
      <c r="AK23" s="2828"/>
      <c r="AL23" s="2828"/>
      <c r="AM23" s="2828"/>
    </row>
    <row r="24" spans="1:39" ht="12.75">
      <c r="B24" s="2832" t="s">
        <v>1376</v>
      </c>
      <c r="C24" s="2833"/>
      <c r="D24" s="2833"/>
      <c r="E24" s="2833"/>
      <c r="F24" s="2833"/>
      <c r="G24" s="2833"/>
      <c r="H24" s="2833"/>
      <c r="I24" s="2833"/>
      <c r="J24" s="2833"/>
      <c r="K24" s="2833"/>
      <c r="L24" s="2833"/>
      <c r="M24" s="2833"/>
      <c r="N24" s="2833"/>
      <c r="O24" s="2833"/>
      <c r="P24" s="2833"/>
      <c r="Q24" s="2833"/>
      <c r="R24" s="2833"/>
      <c r="S24" s="2834"/>
      <c r="T24" s="2896">
        <f>Application!AD974</f>
        <v>158881311</v>
      </c>
      <c r="U24" s="2897"/>
      <c r="V24" s="2897"/>
      <c r="W24" s="2897"/>
      <c r="X24" s="2897"/>
      <c r="Y24" s="2897"/>
      <c r="Z24" s="2897"/>
      <c r="AA24" s="2897"/>
      <c r="AB24" s="2897"/>
      <c r="AC24" s="2897"/>
      <c r="AD24" s="2897"/>
      <c r="AE24" s="2897"/>
      <c r="AF24" s="2897"/>
      <c r="AG24" s="2897"/>
      <c r="AH24" s="2897"/>
      <c r="AI24" s="2897"/>
      <c r="AJ24" s="2897"/>
      <c r="AK24" s="2897"/>
      <c r="AL24" s="2897"/>
      <c r="AM24" s="2827"/>
    </row>
    <row r="25" spans="1:39" ht="12.75">
      <c r="B25" s="2887" t="s">
        <v>2029</v>
      </c>
      <c r="C25" s="2888"/>
      <c r="D25" s="2888"/>
      <c r="E25" s="2888"/>
      <c r="F25" s="2888"/>
      <c r="G25" s="2888"/>
      <c r="H25" s="2888"/>
      <c r="I25" s="2888"/>
      <c r="J25" s="2888"/>
      <c r="K25" s="2888"/>
      <c r="L25" s="2888"/>
      <c r="M25" s="2888"/>
      <c r="N25" s="2888"/>
      <c r="O25" s="2888"/>
      <c r="P25" s="2888"/>
      <c r="Q25" s="2888"/>
      <c r="R25" s="2888"/>
      <c r="S25" s="2889"/>
      <c r="T25" s="2878">
        <v>1</v>
      </c>
      <c r="U25" s="2879"/>
      <c r="V25" s="2879"/>
      <c r="W25" s="2879"/>
      <c r="X25" s="2879"/>
      <c r="Y25" s="2878">
        <v>1</v>
      </c>
      <c r="Z25" s="2879"/>
      <c r="AA25" s="2879"/>
      <c r="AB25" s="2879"/>
      <c r="AC25" s="2882"/>
      <c r="AD25" s="2878">
        <v>1</v>
      </c>
      <c r="AE25" s="2879"/>
      <c r="AF25" s="2879"/>
      <c r="AG25" s="2879"/>
      <c r="AH25" s="2882"/>
      <c r="AI25" s="2878">
        <v>1</v>
      </c>
      <c r="AJ25" s="2879"/>
      <c r="AK25" s="2879"/>
      <c r="AL25" s="2879"/>
      <c r="AM25" s="2882"/>
    </row>
    <row r="26" spans="1:39" ht="12.75">
      <c r="B26" s="2832" t="s">
        <v>854</v>
      </c>
      <c r="C26" s="2833"/>
      <c r="D26" s="2833"/>
      <c r="E26" s="2833"/>
      <c r="F26" s="2833"/>
      <c r="G26" s="2833"/>
      <c r="H26" s="2833"/>
      <c r="I26" s="2833"/>
      <c r="J26" s="2833"/>
      <c r="K26" s="2833"/>
      <c r="L26" s="2833"/>
      <c r="M26" s="2833"/>
      <c r="N26" s="2833"/>
      <c r="O26" s="2833"/>
      <c r="P26" s="2833"/>
      <c r="Q26" s="2833"/>
      <c r="R26" s="2833"/>
      <c r="S26" s="2834"/>
      <c r="T26" s="2883">
        <f>T23*T25</f>
        <v>106019596</v>
      </c>
      <c r="U26" s="2884"/>
      <c r="V26" s="2884"/>
      <c r="W26" s="2884"/>
      <c r="X26" s="2884"/>
      <c r="Y26" s="2883">
        <f>Y23*Y25</f>
        <v>0</v>
      </c>
      <c r="Z26" s="2884"/>
      <c r="AA26" s="2884"/>
      <c r="AB26" s="2884"/>
      <c r="AC26" s="2884"/>
      <c r="AD26" s="2883">
        <f>AD23*AD25</f>
        <v>0</v>
      </c>
      <c r="AE26" s="2884"/>
      <c r="AF26" s="2884"/>
      <c r="AG26" s="2884"/>
      <c r="AH26" s="2884"/>
      <c r="AI26" s="2883">
        <f>AI23*AI25</f>
        <v>0</v>
      </c>
      <c r="AJ26" s="2884"/>
      <c r="AK26" s="2884"/>
      <c r="AL26" s="2884"/>
      <c r="AM26" s="2884"/>
    </row>
    <row r="27" spans="1:39" ht="12.75">
      <c r="A27" s="7"/>
      <c r="B27" s="2890" t="s">
        <v>987</v>
      </c>
      <c r="C27" s="2891"/>
      <c r="D27" s="2891"/>
      <c r="E27" s="2891"/>
      <c r="F27" s="2891"/>
      <c r="G27" s="2891"/>
      <c r="H27" s="2891"/>
      <c r="I27" s="2891"/>
      <c r="J27" s="2891"/>
      <c r="K27" s="2891"/>
      <c r="L27" s="2891"/>
      <c r="M27" s="2891"/>
      <c r="N27" s="2891"/>
      <c r="O27" s="2891"/>
      <c r="P27" s="2891"/>
      <c r="Q27" s="2891"/>
      <c r="R27" s="2891"/>
      <c r="S27" s="2892"/>
      <c r="T27" s="2880">
        <f>Application!AG431</f>
        <v>0.20161290322580644</v>
      </c>
      <c r="U27" s="2881"/>
      <c r="V27" s="2881"/>
      <c r="W27" s="2881"/>
      <c r="X27" s="2881"/>
      <c r="Y27" s="2880">
        <f>Application!AG431</f>
        <v>0.20161290322580644</v>
      </c>
      <c r="Z27" s="2881"/>
      <c r="AA27" s="2881"/>
      <c r="AB27" s="2881"/>
      <c r="AC27" s="2881"/>
      <c r="AD27" s="2880">
        <f>Application!AG431</f>
        <v>0.20161290322580644</v>
      </c>
      <c r="AE27" s="2881"/>
      <c r="AF27" s="2881"/>
      <c r="AG27" s="2881"/>
      <c r="AH27" s="2881"/>
      <c r="AI27" s="2880">
        <f>Application!AG431</f>
        <v>0.20161290322580644</v>
      </c>
      <c r="AJ27" s="2881"/>
      <c r="AK27" s="2881"/>
      <c r="AL27" s="2881"/>
      <c r="AM27" s="2881"/>
    </row>
    <row r="28" spans="1:39" ht="12.75" customHeight="1">
      <c r="A28" s="6"/>
      <c r="B28" s="2832" t="s">
        <v>934</v>
      </c>
      <c r="C28" s="2833"/>
      <c r="D28" s="2833"/>
      <c r="E28" s="2833"/>
      <c r="F28" s="2833"/>
      <c r="G28" s="2833"/>
      <c r="H28" s="2833"/>
      <c r="I28" s="2833"/>
      <c r="J28" s="2833"/>
      <c r="K28" s="2833"/>
      <c r="L28" s="2833"/>
      <c r="M28" s="2833"/>
      <c r="N28" s="2833"/>
      <c r="O28" s="2833"/>
      <c r="P28" s="2833"/>
      <c r="Q28" s="2833"/>
      <c r="R28" s="2833"/>
      <c r="S28" s="2834"/>
      <c r="T28" s="2875">
        <f>IF(ISERROR((T26*T27)),0,(T26*T27))</f>
        <v>21374918.548387095</v>
      </c>
      <c r="U28" s="2849"/>
      <c r="V28" s="2849"/>
      <c r="W28" s="2849"/>
      <c r="X28" s="2849"/>
      <c r="Y28" s="2875">
        <f>IF(ISERROR((Y26*Y27)),0,(Y26*Y27))</f>
        <v>0</v>
      </c>
      <c r="Z28" s="2849"/>
      <c r="AA28" s="2849"/>
      <c r="AB28" s="2849"/>
      <c r="AC28" s="2849"/>
      <c r="AD28" s="2875">
        <f>IF(ISERROR((AD26*AD27)),0,(AD26*AD27))</f>
        <v>0</v>
      </c>
      <c r="AE28" s="2849"/>
      <c r="AF28" s="2849"/>
      <c r="AG28" s="2849"/>
      <c r="AH28" s="2849"/>
      <c r="AI28" s="2875">
        <f>IF(ISERROR((AI26*AI27)),0,(AI26*AI27))</f>
        <v>0</v>
      </c>
      <c r="AJ28" s="2849"/>
      <c r="AK28" s="2849"/>
      <c r="AL28" s="2849"/>
      <c r="AM28" s="2849"/>
    </row>
    <row r="29" spans="1:39" ht="12.75">
      <c r="B29" s="2832" t="s">
        <v>696</v>
      </c>
      <c r="C29" s="2833"/>
      <c r="D29" s="2833"/>
      <c r="E29" s="2833"/>
      <c r="F29" s="2833"/>
      <c r="G29" s="2833"/>
      <c r="H29" s="2833"/>
      <c r="I29" s="2833"/>
      <c r="J29" s="2833"/>
      <c r="K29" s="2833"/>
      <c r="L29" s="2833"/>
      <c r="M29" s="2833"/>
      <c r="N29" s="2833"/>
      <c r="O29" s="2833"/>
      <c r="P29" s="2833"/>
      <c r="Q29" s="2833"/>
      <c r="R29" s="2833"/>
      <c r="S29" s="2834"/>
      <c r="T29" s="2896">
        <f>T28+Y28+AD28+AI28</f>
        <v>21374918.548387095</v>
      </c>
      <c r="U29" s="2897"/>
      <c r="V29" s="2897"/>
      <c r="W29" s="2897"/>
      <c r="X29" s="2897"/>
      <c r="Y29" s="2897"/>
      <c r="Z29" s="2897"/>
      <c r="AA29" s="2897"/>
      <c r="AB29" s="2897"/>
      <c r="AC29" s="2897"/>
      <c r="AD29" s="2897"/>
      <c r="AE29" s="2897"/>
      <c r="AF29" s="2897"/>
      <c r="AG29" s="2897"/>
      <c r="AH29" s="2897"/>
      <c r="AI29" s="2897"/>
      <c r="AJ29" s="2897"/>
      <c r="AK29" s="2897"/>
      <c r="AL29" s="2897"/>
      <c r="AM29" s="2827"/>
    </row>
    <row r="30" spans="1:39" ht="12.75" customHeight="1">
      <c r="B30" s="3257"/>
      <c r="C30" s="3257"/>
      <c r="D30" s="3257"/>
      <c r="E30" s="3257"/>
      <c r="F30" s="3257"/>
      <c r="G30" s="3257"/>
      <c r="H30" s="3257"/>
      <c r="I30" s="3257"/>
      <c r="J30" s="3257"/>
      <c r="K30" s="3257"/>
      <c r="L30" s="3257"/>
      <c r="M30" s="3257"/>
      <c r="N30" s="3257"/>
      <c r="O30" s="3257"/>
      <c r="P30" s="3257"/>
      <c r="Q30" s="3257"/>
      <c r="R30" s="3257"/>
      <c r="S30" s="3257"/>
      <c r="T30" s="3257"/>
      <c r="U30" s="3257"/>
      <c r="V30" s="3257"/>
      <c r="W30" s="3257"/>
      <c r="X30" s="3257"/>
      <c r="Y30" s="3257"/>
      <c r="Z30" s="3257"/>
      <c r="AA30" s="3257"/>
      <c r="AB30" s="3257"/>
      <c r="AC30" s="3257"/>
      <c r="AD30" s="3257"/>
      <c r="AE30" s="3257"/>
      <c r="AF30" s="3257"/>
      <c r="AG30" s="3257"/>
      <c r="AH30" s="3257"/>
      <c r="AI30" s="3257"/>
      <c r="AJ30" s="3257"/>
      <c r="AK30" s="3257"/>
      <c r="AL30" s="3257"/>
      <c r="AM30" s="325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35" t="s">
        <v>1852</v>
      </c>
      <c r="Z35" s="2835"/>
      <c r="AA35" s="2835"/>
      <c r="AB35" s="2835"/>
      <c r="AC35" s="2835"/>
      <c r="AD35" s="2817" t="s">
        <v>46</v>
      </c>
      <c r="AE35" s="2817"/>
      <c r="AF35" s="2817"/>
      <c r="AG35" s="2817"/>
      <c r="AH35" s="281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35"/>
      <c r="Z36" s="2835"/>
      <c r="AA36" s="2835"/>
      <c r="AB36" s="2835"/>
      <c r="AC36" s="2835"/>
      <c r="AD36" s="2817"/>
      <c r="AE36" s="2817"/>
      <c r="AF36" s="2817"/>
      <c r="AG36" s="2817"/>
      <c r="AH36" s="281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35"/>
      <c r="Z37" s="2835"/>
      <c r="AA37" s="2835"/>
      <c r="AB37" s="2835"/>
      <c r="AC37" s="2835"/>
      <c r="AD37" s="2817"/>
      <c r="AE37" s="2817"/>
      <c r="AF37" s="2817"/>
      <c r="AG37" s="2817"/>
      <c r="AH37" s="2817"/>
    </row>
    <row r="38" spans="1:40" ht="12.75" customHeight="1">
      <c r="A38" s="6"/>
      <c r="B38" s="2832" t="s">
        <v>934</v>
      </c>
      <c r="C38" s="2833"/>
      <c r="D38" s="2833"/>
      <c r="E38" s="2833"/>
      <c r="F38" s="2833"/>
      <c r="G38" s="2833"/>
      <c r="H38" s="2833"/>
      <c r="I38" s="2833"/>
      <c r="J38" s="2833"/>
      <c r="K38" s="2833"/>
      <c r="L38" s="2833"/>
      <c r="M38" s="2833"/>
      <c r="N38" s="2833"/>
      <c r="O38" s="2833"/>
      <c r="P38" s="2833"/>
      <c r="Q38" s="2833"/>
      <c r="R38" s="2833"/>
      <c r="S38" s="2833"/>
      <c r="T38" s="2833"/>
      <c r="U38" s="2833"/>
      <c r="V38" s="2833"/>
      <c r="W38" s="2833"/>
      <c r="X38" s="2834"/>
      <c r="Y38" s="2828">
        <f>IF(T24&gt;=(T23+Y23+AD23+AI23),T28+Y28,0)</f>
        <v>21374918.548387095</v>
      </c>
      <c r="Z38" s="2828"/>
      <c r="AA38" s="2828"/>
      <c r="AB38" s="2828"/>
      <c r="AC38" s="2828"/>
      <c r="AD38" s="2828">
        <f>IF(T24&gt;=(T23+Y23+AD23+AI23),AD28+AI28,0)</f>
        <v>0</v>
      </c>
      <c r="AE38" s="2828"/>
      <c r="AF38" s="2828"/>
      <c r="AG38" s="2828"/>
      <c r="AH38" s="2828"/>
    </row>
    <row r="39" spans="1:40" ht="12.75">
      <c r="B39" s="2832" t="s">
        <v>844</v>
      </c>
      <c r="C39" s="2833"/>
      <c r="D39" s="2833"/>
      <c r="E39" s="2833"/>
      <c r="F39" s="2833"/>
      <c r="G39" s="2833"/>
      <c r="H39" s="2833"/>
      <c r="I39" s="2833"/>
      <c r="J39" s="2833"/>
      <c r="K39" s="2833"/>
      <c r="L39" s="2833"/>
      <c r="M39" s="2833"/>
      <c r="N39" s="2833"/>
      <c r="O39" s="2833"/>
      <c r="P39" s="2833"/>
      <c r="Q39" s="2833"/>
      <c r="R39" s="2833"/>
      <c r="S39" s="2833"/>
      <c r="T39" s="2833"/>
      <c r="U39" s="2833"/>
      <c r="V39" s="2833"/>
      <c r="W39" s="2833"/>
      <c r="X39" s="2834"/>
      <c r="Y39" s="2826">
        <v>0.09</v>
      </c>
      <c r="Z39" s="2826"/>
      <c r="AA39" s="2826"/>
      <c r="AB39" s="2826"/>
      <c r="AC39" s="2826"/>
      <c r="AD39" s="2826">
        <f>'Basis &amp; Credits'!AD39:AH39</f>
        <v>3.2399999999999998E-2</v>
      </c>
      <c r="AE39" s="2826"/>
      <c r="AF39" s="2826"/>
      <c r="AG39" s="2826"/>
      <c r="AH39" s="2826"/>
    </row>
    <row r="40" spans="1:40" ht="12.75" customHeight="1">
      <c r="A40" s="6"/>
      <c r="B40" s="2832" t="s">
        <v>26</v>
      </c>
      <c r="C40" s="2833"/>
      <c r="D40" s="2833"/>
      <c r="E40" s="2833"/>
      <c r="F40" s="2833"/>
      <c r="G40" s="2833"/>
      <c r="H40" s="2833"/>
      <c r="I40" s="2833"/>
      <c r="J40" s="2833"/>
      <c r="K40" s="2833"/>
      <c r="L40" s="2833"/>
      <c r="M40" s="2833"/>
      <c r="N40" s="2833"/>
      <c r="O40" s="2833"/>
      <c r="P40" s="2833"/>
      <c r="Q40" s="2833"/>
      <c r="R40" s="2833"/>
      <c r="S40" s="2833"/>
      <c r="T40" s="2833"/>
      <c r="U40" s="2833"/>
      <c r="V40" s="2833"/>
      <c r="W40" s="2833"/>
      <c r="X40" s="2834"/>
      <c r="Y40" s="2828">
        <f>ROUND(Y38*Y39,0)</f>
        <v>1923743</v>
      </c>
      <c r="Z40" s="2828"/>
      <c r="AA40" s="2828"/>
      <c r="AB40" s="2828"/>
      <c r="AC40" s="2828"/>
      <c r="AD40" s="2827">
        <f>ROUND(AD38*AD39,0)</f>
        <v>0</v>
      </c>
      <c r="AE40" s="2828"/>
      <c r="AF40" s="2828"/>
      <c r="AG40" s="2828"/>
      <c r="AH40" s="2828"/>
    </row>
    <row r="41" spans="1:40" ht="12.75">
      <c r="B41" s="2832" t="s">
        <v>690</v>
      </c>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4"/>
      <c r="Y41" s="2829">
        <f>IF((Y40+AD40)&gt;2500000,2500000,Y40+AD40)</f>
        <v>1923743</v>
      </c>
      <c r="Z41" s="2830"/>
      <c r="AA41" s="2830"/>
      <c r="AB41" s="2830"/>
      <c r="AC41" s="2830"/>
      <c r="AD41" s="2830"/>
      <c r="AE41" s="2830"/>
      <c r="AF41" s="2830"/>
      <c r="AG41" s="2830"/>
      <c r="AH41" s="2831"/>
    </row>
    <row r="42" spans="1:40" ht="12.75" customHeight="1">
      <c r="A42" s="6"/>
      <c r="B42" s="2848" t="s">
        <v>1315</v>
      </c>
      <c r="C42" s="2848"/>
      <c r="D42" s="2848"/>
      <c r="E42" s="2848"/>
      <c r="F42" s="2848"/>
      <c r="G42" s="2848"/>
      <c r="H42" s="2848"/>
      <c r="I42" s="2848"/>
      <c r="J42" s="2848"/>
      <c r="K42" s="2848"/>
      <c r="L42" s="2848"/>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23">
        <f>'Sources and Uses Budget'!B104-'Sources and Uses Budget'!$B$15</f>
        <v>114672470</v>
      </c>
      <c r="AC46" s="2824"/>
      <c r="AD46" s="2824"/>
      <c r="AE46" s="2824"/>
      <c r="AF46" s="2825"/>
    </row>
    <row r="47" spans="1:40" ht="12.75" customHeight="1">
      <c r="D47" s="6" t="s">
        <v>928</v>
      </c>
      <c r="AB47" s="2823">
        <f>Application!AG629-MIN('Sources and Uses Budget'!B15,Application!AG390)</f>
        <v>93422503</v>
      </c>
      <c r="AC47" s="2824"/>
      <c r="AD47" s="2824"/>
      <c r="AE47" s="2824"/>
      <c r="AF47" s="2825"/>
    </row>
    <row r="48" spans="1:40" ht="12.75">
      <c r="D48" s="6" t="s">
        <v>427</v>
      </c>
      <c r="AB48" s="2823">
        <f>AB46-AB47</f>
        <v>21249967</v>
      </c>
      <c r="AC48" s="2824"/>
      <c r="AD48" s="2824"/>
      <c r="AE48" s="2824"/>
      <c r="AF48" s="2825"/>
    </row>
    <row r="49" spans="1:40" ht="12.75">
      <c r="D49" s="6" t="s">
        <v>967</v>
      </c>
      <c r="X49" s="2"/>
      <c r="Y49" s="2"/>
      <c r="Z49" s="2"/>
      <c r="AA49" s="427"/>
      <c r="AB49" s="2842"/>
      <c r="AC49" s="2843"/>
      <c r="AD49" s="2843"/>
      <c r="AE49" s="2843"/>
      <c r="AF49" s="2844"/>
    </row>
    <row r="50" spans="1:40" s="536" customFormat="1" ht="15" customHeight="1">
      <c r="A50" s="2"/>
      <c r="B50" s="2"/>
      <c r="C50" s="2"/>
      <c r="D50" s="284"/>
      <c r="E50" s="2853" t="s">
        <v>1533</v>
      </c>
      <c r="F50" s="2853"/>
      <c r="G50" s="2853"/>
      <c r="H50" s="2853"/>
      <c r="I50" s="2853"/>
      <c r="J50" s="2853"/>
      <c r="K50" s="2853"/>
      <c r="L50" s="2853"/>
      <c r="M50" s="2853"/>
      <c r="N50" s="2853"/>
      <c r="O50" s="2853"/>
      <c r="P50" s="2853"/>
      <c r="Q50" s="2853"/>
      <c r="R50" s="2853"/>
      <c r="S50" s="2853"/>
      <c r="T50" s="2853"/>
      <c r="U50" s="2853"/>
      <c r="V50" s="2853"/>
      <c r="W50" s="2853"/>
      <c r="X50" s="2853"/>
      <c r="Y50" s="2853"/>
      <c r="Z50" s="2853"/>
      <c r="AA50" s="823"/>
      <c r="AB50" s="823"/>
      <c r="AC50" s="823"/>
      <c r="AD50" s="823"/>
      <c r="AE50" s="823"/>
      <c r="AF50" s="823"/>
      <c r="AG50" s="2"/>
      <c r="AH50" s="2"/>
      <c r="AI50" s="2"/>
      <c r="AJ50" s="2"/>
      <c r="AK50" s="2"/>
      <c r="AL50" s="2"/>
      <c r="AM50" s="2"/>
      <c r="AN50" s="2"/>
    </row>
    <row r="51" spans="1:40" s="536" customFormat="1" ht="12" customHeight="1">
      <c r="A51" s="2"/>
      <c r="B51" s="2"/>
      <c r="C51" s="2"/>
      <c r="D51" s="284"/>
      <c r="E51" s="2853"/>
      <c r="F51" s="2853"/>
      <c r="G51" s="2853"/>
      <c r="H51" s="2853"/>
      <c r="I51" s="2853"/>
      <c r="J51" s="2853"/>
      <c r="K51" s="2853"/>
      <c r="L51" s="2853"/>
      <c r="M51" s="2853"/>
      <c r="N51" s="2853"/>
      <c r="O51" s="2853"/>
      <c r="P51" s="2853"/>
      <c r="Q51" s="2853"/>
      <c r="R51" s="2853"/>
      <c r="S51" s="2853"/>
      <c r="T51" s="2853"/>
      <c r="U51" s="2853"/>
      <c r="V51" s="2853"/>
      <c r="W51" s="2853"/>
      <c r="X51" s="2853"/>
      <c r="Y51" s="2853"/>
      <c r="Z51" s="285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23">
        <f>ROUND(IF(ISERROR((AB48/AB49)),0,(AB48/AB49)),0)</f>
        <v>0</v>
      </c>
      <c r="AC53" s="2824"/>
      <c r="AD53" s="2824"/>
      <c r="AE53" s="2824"/>
      <c r="AF53" s="2825"/>
    </row>
    <row r="54" spans="1:40" ht="12.75" customHeight="1">
      <c r="D54" s="6" t="s">
        <v>628</v>
      </c>
      <c r="AB54" s="2823">
        <f>(AB53/10)</f>
        <v>0</v>
      </c>
      <c r="AC54" s="2824"/>
      <c r="AD54" s="2824"/>
      <c r="AE54" s="2824"/>
      <c r="AF54" s="2825"/>
    </row>
    <row r="55" spans="1:40" ht="12.75">
      <c r="D55" s="6" t="s">
        <v>383</v>
      </c>
      <c r="AB55" s="2850">
        <f>(IF((Y41&lt;AB54),Y41,AB54))</f>
        <v>0</v>
      </c>
      <c r="AC55" s="2851"/>
      <c r="AD55" s="2851"/>
      <c r="AE55" s="2851"/>
      <c r="AF55" s="2852"/>
    </row>
    <row r="56" spans="1:40" ht="12.75">
      <c r="D56" s="6" t="s">
        <v>117</v>
      </c>
      <c r="AB56" s="2823">
        <f>ROUND((10*AB55*AB49),0)</f>
        <v>0</v>
      </c>
      <c r="AC56" s="2824"/>
      <c r="AD56" s="2824"/>
      <c r="AE56" s="2824"/>
      <c r="AF56" s="28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21">
        <f>AB48-AB56</f>
        <v>21249967</v>
      </c>
      <c r="AC58" s="2821"/>
      <c r="AD58" s="2821"/>
      <c r="AE58" s="2821"/>
      <c r="AF58" s="282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18" t="s">
        <v>2032</v>
      </c>
      <c r="B60" s="2818"/>
      <c r="C60" s="2818"/>
      <c r="D60" s="2818"/>
      <c r="E60" s="2818"/>
      <c r="F60" s="2818"/>
      <c r="G60" s="2818"/>
      <c r="H60" s="2818"/>
      <c r="I60" s="2818"/>
      <c r="J60" s="2818"/>
      <c r="K60" s="2818"/>
      <c r="L60" s="2818"/>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row>
    <row r="61" spans="1:40" ht="13.7" customHeight="1" thickTop="1">
      <c r="A61" s="2820"/>
      <c r="B61" s="2820"/>
      <c r="C61" s="2820"/>
      <c r="D61" s="2820"/>
      <c r="E61" s="2820"/>
      <c r="F61" s="2820"/>
      <c r="G61" s="2820"/>
      <c r="H61" s="2820"/>
      <c r="I61" s="2820"/>
      <c r="J61" s="2820"/>
      <c r="K61" s="2820"/>
      <c r="L61" s="2820"/>
      <c r="M61" s="282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22" t="s">
        <v>333</v>
      </c>
      <c r="Z62" s="2822"/>
      <c r="AA62" s="2822"/>
      <c r="AB62" s="2822"/>
      <c r="AC62" s="2822"/>
      <c r="AD62" s="2822" t="s">
        <v>46</v>
      </c>
      <c r="AE62" s="2822"/>
      <c r="AF62" s="2822"/>
      <c r="AG62" s="2822"/>
      <c r="AH62" s="2822"/>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495">
        <f>Y28</f>
        <v>0</v>
      </c>
      <c r="Z63" s="2845"/>
      <c r="AA63" s="2845"/>
      <c r="AB63" s="2845"/>
      <c r="AC63" s="2845"/>
      <c r="AD63" s="2495">
        <f>AI28</f>
        <v>0</v>
      </c>
      <c r="AE63" s="2845"/>
      <c r="AF63" s="2845"/>
      <c r="AG63" s="2845"/>
      <c r="AH63" s="2845"/>
    </row>
    <row r="64" spans="1:40" ht="15" customHeight="1">
      <c r="C64" s="6"/>
      <c r="E64" s="2819" t="s">
        <v>1453</v>
      </c>
      <c r="F64" s="2819"/>
      <c r="G64" s="2819"/>
      <c r="H64" s="2819"/>
      <c r="I64" s="2819"/>
      <c r="J64" s="2819"/>
      <c r="K64" s="2819"/>
      <c r="L64" s="2819"/>
      <c r="M64" s="2819"/>
      <c r="N64" s="2819"/>
      <c r="O64" s="2819"/>
      <c r="P64" s="2819"/>
      <c r="Q64" s="2819"/>
      <c r="R64" s="2819"/>
      <c r="S64" s="2819"/>
      <c r="T64" s="2819"/>
      <c r="U64" s="2819"/>
      <c r="V64" s="2819"/>
      <c r="W64" s="2819"/>
      <c r="X64" s="2819"/>
      <c r="Y64" s="2819"/>
      <c r="Z64" s="2819"/>
      <c r="AA64" s="2819"/>
      <c r="AB64" s="2819"/>
      <c r="AC64" s="2819"/>
      <c r="AD64" s="2819"/>
      <c r="AE64" s="2819"/>
      <c r="AF64" s="2819"/>
      <c r="AG64" s="2819"/>
      <c r="AH64" s="2819"/>
    </row>
    <row r="65" spans="1:40" ht="24.4" customHeight="1">
      <c r="C65" s="6"/>
      <c r="E65" s="2819"/>
      <c r="F65" s="2819"/>
      <c r="G65" s="2819"/>
      <c r="H65" s="2819"/>
      <c r="I65" s="2819"/>
      <c r="J65" s="2819"/>
      <c r="K65" s="2819"/>
      <c r="L65" s="2819"/>
      <c r="M65" s="2819"/>
      <c r="N65" s="2819"/>
      <c r="O65" s="2819"/>
      <c r="P65" s="2819"/>
      <c r="Q65" s="2819"/>
      <c r="R65" s="2819"/>
      <c r="S65" s="2819"/>
      <c r="T65" s="2819"/>
      <c r="U65" s="2819"/>
      <c r="V65" s="2819"/>
      <c r="W65" s="2819"/>
      <c r="X65" s="2819"/>
      <c r="Y65" s="2819"/>
      <c r="Z65" s="2819"/>
      <c r="AA65" s="2819"/>
      <c r="AB65" s="2819"/>
      <c r="AC65" s="2819"/>
      <c r="AD65" s="2819"/>
      <c r="AE65" s="2819"/>
      <c r="AF65" s="2819"/>
      <c r="AG65" s="2819"/>
      <c r="AH65" s="2819"/>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41">
        <v>0.3</v>
      </c>
      <c r="Z66" s="2841"/>
      <c r="AA66" s="2841"/>
      <c r="AB66" s="2841"/>
      <c r="AC66" s="2841"/>
      <c r="AD66" s="2841">
        <v>0.13</v>
      </c>
      <c r="AE66" s="2841"/>
      <c r="AF66" s="2841"/>
      <c r="AG66" s="2841"/>
      <c r="AH66" s="2841"/>
    </row>
    <row r="67" spans="1:40" ht="12.75">
      <c r="C67" s="6"/>
      <c r="D67" s="6" t="s">
        <v>1057</v>
      </c>
      <c r="Y67" s="2495">
        <f>ROUND(Y63*Y66,0)</f>
        <v>0</v>
      </c>
      <c r="Z67" s="2845"/>
      <c r="AA67" s="2845"/>
      <c r="AB67" s="2845"/>
      <c r="AC67" s="2845"/>
      <c r="AD67" s="2495" t="str">
        <f>IF(OR(Application!D218="At-Risk",Application!D218="At-Risk/Located in Rural Census Tract",Application!D221="At-Risk"),ROUND(AD63*AD66,0),"$0")</f>
        <v>$0</v>
      </c>
      <c r="AE67" s="2846"/>
      <c r="AF67" s="2846"/>
      <c r="AG67" s="2846"/>
      <c r="AH67" s="2846"/>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42"/>
      <c r="AC70" s="2843"/>
      <c r="AD70" s="2843"/>
      <c r="AE70" s="2843"/>
      <c r="AF70" s="2844"/>
      <c r="AG70" s="2"/>
      <c r="AH70" s="2"/>
      <c r="AI70" s="2"/>
      <c r="AJ70" s="2"/>
      <c r="AK70" s="2"/>
      <c r="AL70" s="2"/>
      <c r="AM70" s="2"/>
      <c r="AN70" s="2"/>
    </row>
    <row r="71" spans="1:40" ht="12.75" customHeight="1">
      <c r="A71" s="344"/>
      <c r="B71" s="2"/>
      <c r="C71" s="344"/>
      <c r="D71" s="344"/>
      <c r="E71" s="2847" t="s">
        <v>2027</v>
      </c>
      <c r="F71" s="2847"/>
      <c r="G71" s="2847"/>
      <c r="H71" s="2847"/>
      <c r="I71" s="2847"/>
      <c r="J71" s="2847"/>
      <c r="K71" s="2847"/>
      <c r="L71" s="2847"/>
      <c r="M71" s="2847"/>
      <c r="N71" s="2847"/>
      <c r="O71" s="2847"/>
      <c r="P71" s="2847"/>
      <c r="Q71" s="2847"/>
      <c r="R71" s="2847"/>
      <c r="S71" s="2847"/>
      <c r="T71" s="2847"/>
      <c r="U71" s="2847"/>
      <c r="V71" s="2847"/>
      <c r="W71" s="2847"/>
      <c r="X71" s="2847"/>
      <c r="Y71" s="2847"/>
      <c r="Z71" s="2847"/>
      <c r="AA71" s="848"/>
      <c r="AB71" s="848"/>
      <c r="AC71" s="848"/>
      <c r="AG71" s="2"/>
      <c r="AH71" s="2"/>
      <c r="AI71" s="2"/>
      <c r="AJ71" s="2"/>
      <c r="AK71" s="2"/>
      <c r="AL71" s="2"/>
      <c r="AM71" s="2"/>
      <c r="AN71" s="2"/>
    </row>
    <row r="72" spans="1:40" ht="12.75" customHeight="1">
      <c r="A72" s="344"/>
      <c r="B72" s="2"/>
      <c r="C72" s="344"/>
      <c r="D72" s="344"/>
      <c r="E72" s="2847"/>
      <c r="F72" s="2847"/>
      <c r="G72" s="2847"/>
      <c r="H72" s="2847"/>
      <c r="I72" s="2847"/>
      <c r="J72" s="2847"/>
      <c r="K72" s="2847"/>
      <c r="L72" s="2847"/>
      <c r="M72" s="2847"/>
      <c r="N72" s="2847"/>
      <c r="O72" s="2847"/>
      <c r="P72" s="2847"/>
      <c r="Q72" s="2847"/>
      <c r="R72" s="2847"/>
      <c r="S72" s="2847"/>
      <c r="T72" s="2847"/>
      <c r="U72" s="2847"/>
      <c r="V72" s="2847"/>
      <c r="W72" s="2847"/>
      <c r="X72" s="2847"/>
      <c r="Y72" s="2847"/>
      <c r="Z72" s="2847"/>
      <c r="AA72" s="848"/>
      <c r="AB72" s="848"/>
      <c r="AC72" s="848"/>
      <c r="AG72" s="2"/>
      <c r="AH72" s="2"/>
      <c r="AI72" s="2"/>
      <c r="AJ72" s="2"/>
      <c r="AK72" s="2"/>
      <c r="AL72" s="2"/>
      <c r="AM72" s="2"/>
      <c r="AN72" s="2"/>
    </row>
    <row r="73" spans="1:40" ht="12" customHeight="1">
      <c r="A73" s="344"/>
      <c r="B73" s="2"/>
      <c r="C73" s="344"/>
      <c r="D73" s="344"/>
      <c r="E73" s="2847"/>
      <c r="F73" s="2847"/>
      <c r="G73" s="2847"/>
      <c r="H73" s="2847"/>
      <c r="I73" s="2847"/>
      <c r="J73" s="2847"/>
      <c r="K73" s="2847"/>
      <c r="L73" s="2847"/>
      <c r="M73" s="2847"/>
      <c r="N73" s="2847"/>
      <c r="O73" s="2847"/>
      <c r="P73" s="2847"/>
      <c r="Q73" s="2847"/>
      <c r="R73" s="2847"/>
      <c r="S73" s="2847"/>
      <c r="T73" s="2847"/>
      <c r="U73" s="2847"/>
      <c r="V73" s="2847"/>
      <c r="W73" s="2847"/>
      <c r="X73" s="2847"/>
      <c r="Y73" s="2847"/>
      <c r="Z73" s="284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40">
        <f>ROUND(IF(ISERROR((AB58/AB70)),0,(AB58/AB70)),0)</f>
        <v>0</v>
      </c>
      <c r="AC75" s="2840"/>
      <c r="AD75" s="2840"/>
      <c r="AE75" s="2840"/>
      <c r="AF75" s="2840"/>
    </row>
    <row r="76" spans="1:40" ht="12.75" customHeight="1">
      <c r="C76" s="6"/>
      <c r="D76" s="6" t="s">
        <v>115</v>
      </c>
      <c r="AB76" s="2837">
        <f>IF((Y67+AD67&lt;AB75),Y67+AD67,AB75)</f>
        <v>0</v>
      </c>
      <c r="AC76" s="2838"/>
      <c r="AD76" s="2838"/>
      <c r="AE76" s="2838"/>
      <c r="AF76" s="2839"/>
    </row>
    <row r="77" spans="1:40" ht="12.75" customHeight="1">
      <c r="C77" s="6"/>
      <c r="D77" s="6" t="s">
        <v>1058</v>
      </c>
      <c r="AB77" s="2836">
        <f>AB76*AB70</f>
        <v>0</v>
      </c>
      <c r="AC77" s="2836"/>
      <c r="AD77" s="2836"/>
      <c r="AE77" s="2836"/>
      <c r="AF77" s="2836"/>
    </row>
    <row r="78" spans="1:40" ht="12.75" customHeight="1">
      <c r="C78" s="6"/>
      <c r="D78" s="6"/>
      <c r="AB78" s="984"/>
      <c r="AC78" s="984"/>
      <c r="AD78" s="984"/>
      <c r="AE78" s="984"/>
      <c r="AF78" s="984"/>
    </row>
    <row r="79" spans="1:40" ht="12.75" customHeight="1">
      <c r="A79" s="1"/>
      <c r="B79" s="1"/>
      <c r="C79" s="1"/>
      <c r="D79" s="6" t="s">
        <v>116</v>
      </c>
      <c r="AB79" s="2821">
        <f>AB48-(AB56+AB77)</f>
        <v>21249967</v>
      </c>
      <c r="AC79" s="2821"/>
      <c r="AD79" s="2821"/>
      <c r="AE79" s="2821"/>
      <c r="AF79" s="282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workbookViewId="0"/>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6360000</v>
      </c>
      <c r="C5" s="544">
        <f>'Sources and Uses Budget'!C4</f>
        <v>6360000</v>
      </c>
      <c r="D5" s="544">
        <f>'Sources and Uses Budget'!C4</f>
        <v>6360000</v>
      </c>
      <c r="E5" s="547">
        <f>C5-B5</f>
        <v>0</v>
      </c>
      <c r="F5" s="545"/>
      <c r="G5" s="545"/>
    </row>
    <row r="6" spans="1:7" s="952" customFormat="1" ht="12.75">
      <c r="A6" s="546" t="s">
        <v>1073</v>
      </c>
      <c r="B6" s="544">
        <f>'Sources and Uses Budget'!C5</f>
        <v>280000</v>
      </c>
      <c r="C6" s="544">
        <f>'Sources and Uses Budget'!C5</f>
        <v>280000</v>
      </c>
      <c r="D6" s="544">
        <f>'Sources and Uses Budget'!C5</f>
        <v>280000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6640000</v>
      </c>
      <c r="C9" s="547">
        <f>SUM(C5:C8)</f>
        <v>6640000</v>
      </c>
      <c r="D9" s="547">
        <f>SUM(D5:D8)</f>
        <v>6640000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6640000</v>
      </c>
      <c r="C13" s="547">
        <f>SUM(C9+C12)</f>
        <v>6640000</v>
      </c>
      <c r="D13" s="547">
        <f>SUM(D9+D12)</f>
        <v>6640000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1700000</v>
      </c>
      <c r="C29" s="544">
        <f>'Sources and Uses Budget'!C28</f>
        <v>1700000</v>
      </c>
      <c r="D29" s="544">
        <f>'Sources and Uses Budget'!C28</f>
        <v>1700000</v>
      </c>
      <c r="E29" s="547">
        <f t="shared" si="0"/>
        <v>0</v>
      </c>
      <c r="F29" s="545"/>
      <c r="G29" s="545"/>
    </row>
    <row r="30" spans="1:7" s="952" customFormat="1" ht="12.75">
      <c r="A30" s="546" t="s">
        <v>1026</v>
      </c>
      <c r="B30" s="544">
        <f>'Sources and Uses Budget'!C29</f>
        <v>66873268</v>
      </c>
      <c r="C30" s="544">
        <f>'Sources and Uses Budget'!C29</f>
        <v>66873268</v>
      </c>
      <c r="D30" s="544">
        <f>'Sources and Uses Budget'!C29</f>
        <v>66873268</v>
      </c>
      <c r="E30" s="547">
        <f t="shared" si="0"/>
        <v>0</v>
      </c>
      <c r="F30" s="545"/>
      <c r="G30" s="545"/>
    </row>
    <row r="31" spans="1:7" s="952" customFormat="1" ht="12.75">
      <c r="A31" s="546" t="s">
        <v>1027</v>
      </c>
      <c r="B31" s="544">
        <f>'Sources and Uses Budget'!C30</f>
        <v>3154370</v>
      </c>
      <c r="C31" s="544">
        <f>'Sources and Uses Budget'!C30</f>
        <v>3154370</v>
      </c>
      <c r="D31" s="544">
        <f>'Sources and Uses Budget'!C30</f>
        <v>3154370</v>
      </c>
      <c r="E31" s="547">
        <f t="shared" si="0"/>
        <v>0</v>
      </c>
      <c r="F31" s="545"/>
      <c r="G31" s="545"/>
    </row>
    <row r="32" spans="1:7" s="952" customFormat="1" ht="12.75">
      <c r="A32" s="546" t="s">
        <v>1028</v>
      </c>
      <c r="B32" s="544">
        <f>'Sources and Uses Budget'!C31</f>
        <v>3280545</v>
      </c>
      <c r="C32" s="544">
        <f>'Sources and Uses Budget'!C31</f>
        <v>3280545</v>
      </c>
      <c r="D32" s="544">
        <f>'Sources and Uses Budget'!C31</f>
        <v>3280545</v>
      </c>
      <c r="E32" s="547">
        <f t="shared" si="0"/>
        <v>0</v>
      </c>
      <c r="F32" s="545"/>
      <c r="G32" s="545"/>
    </row>
    <row r="33" spans="1:7" s="952" customFormat="1" ht="12.75">
      <c r="A33" s="546" t="s">
        <v>1029</v>
      </c>
      <c r="B33" s="544">
        <f>'Sources and Uses Budget'!C32</f>
        <v>3280545</v>
      </c>
      <c r="C33" s="544">
        <f>'Sources and Uses Budget'!C32</f>
        <v>3280545</v>
      </c>
      <c r="D33" s="544">
        <f>'Sources and Uses Budget'!C32</f>
        <v>3280545</v>
      </c>
      <c r="E33" s="547">
        <f t="shared" si="0"/>
        <v>0</v>
      </c>
      <c r="F33" s="545"/>
      <c r="G33" s="545"/>
    </row>
    <row r="34" spans="1:7" s="952" customFormat="1" ht="12.75">
      <c r="A34" s="546" t="s">
        <v>1030</v>
      </c>
      <c r="B34" s="544">
        <f>'Sources and Uses Budget'!C33</f>
        <v>10285990</v>
      </c>
      <c r="C34" s="544">
        <f>'Sources and Uses Budget'!C33</f>
        <v>10285990</v>
      </c>
      <c r="D34" s="544">
        <f>'Sources and Uses Budget'!C33</f>
        <v>10285990</v>
      </c>
      <c r="E34" s="547">
        <f t="shared" si="0"/>
        <v>0</v>
      </c>
      <c r="F34" s="545"/>
      <c r="G34" s="545"/>
    </row>
    <row r="35" spans="1:7" s="952" customFormat="1" ht="12.75">
      <c r="A35" s="546" t="s">
        <v>1031</v>
      </c>
      <c r="B35" s="544">
        <f>'Sources and Uses Budget'!C34</f>
        <v>797172</v>
      </c>
      <c r="C35" s="544">
        <f>'Sources and Uses Budget'!C34</f>
        <v>797172</v>
      </c>
      <c r="D35" s="544">
        <f>'Sources and Uses Budget'!C34</f>
        <v>797172</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89371890</v>
      </c>
      <c r="C37" s="547">
        <f>SUM(C29:C36)</f>
        <v>89371890</v>
      </c>
      <c r="D37" s="547">
        <f>SUM(D29:D36)</f>
        <v>89371890</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1800000</v>
      </c>
      <c r="C39" s="544">
        <f>'Sources and Uses Budget'!C38</f>
        <v>1800000</v>
      </c>
      <c r="D39" s="544">
        <f>'Sources and Uses Budget'!C38</f>
        <v>1800000</v>
      </c>
      <c r="E39" s="547">
        <f t="shared" si="0"/>
        <v>0</v>
      </c>
      <c r="F39" s="545"/>
      <c r="G39" s="545"/>
    </row>
    <row r="40" spans="1:7" s="952" customFormat="1" ht="12.75">
      <c r="A40" s="546" t="s">
        <v>1037</v>
      </c>
      <c r="B40" s="544">
        <f>'Sources and Uses Budget'!C39</f>
        <v>240000</v>
      </c>
      <c r="C40" s="544">
        <f>'Sources and Uses Budget'!C39</f>
        <v>240000</v>
      </c>
      <c r="D40" s="544">
        <f>'Sources and Uses Budget'!C39</f>
        <v>240000</v>
      </c>
      <c r="E40" s="547">
        <f t="shared" si="0"/>
        <v>0</v>
      </c>
      <c r="F40" s="545"/>
      <c r="G40" s="545"/>
    </row>
    <row r="41" spans="1:7" s="952" customFormat="1" ht="12.75">
      <c r="A41" s="548" t="s">
        <v>1038</v>
      </c>
      <c r="B41" s="547">
        <f>SUM(B39:B40)</f>
        <v>2040000</v>
      </c>
      <c r="C41" s="547">
        <f>SUM(C39:C40)</f>
        <v>2040000</v>
      </c>
      <c r="D41" s="547">
        <f>SUM(D39:D40)</f>
        <v>2040000</v>
      </c>
      <c r="E41" s="547">
        <f t="shared" si="0"/>
        <v>0</v>
      </c>
      <c r="F41" s="545"/>
      <c r="G41" s="545"/>
    </row>
    <row r="42" spans="1:7" s="952" customFormat="1" ht="12.75">
      <c r="A42" s="548" t="s">
        <v>1039</v>
      </c>
      <c r="B42" s="544">
        <f>'Sources and Uses Budget'!C41</f>
        <v>800000</v>
      </c>
      <c r="C42" s="544">
        <f>'Sources and Uses Budget'!C41</f>
        <v>800000</v>
      </c>
      <c r="D42" s="544">
        <f>'Sources and Uses Budget'!C41</f>
        <v>800000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2753273</v>
      </c>
      <c r="C44" s="544">
        <f>'Sources and Uses Budget'!C43</f>
        <v>2753273</v>
      </c>
      <c r="D44" s="544">
        <f>'Sources and Uses Budget'!C43</f>
        <v>2753273</v>
      </c>
      <c r="E44" s="547">
        <f t="shared" si="0"/>
        <v>0</v>
      </c>
      <c r="F44" s="545"/>
      <c r="G44" s="545"/>
    </row>
    <row r="45" spans="1:7" s="952" customFormat="1" ht="12.75">
      <c r="A45" s="546" t="s">
        <v>1042</v>
      </c>
      <c r="B45" s="544">
        <f>'Sources and Uses Budget'!C44</f>
        <v>924300</v>
      </c>
      <c r="C45" s="544">
        <f>'Sources and Uses Budget'!C44</f>
        <v>924300</v>
      </c>
      <c r="D45" s="544">
        <f>'Sources and Uses Budget'!C44</f>
        <v>924300</v>
      </c>
      <c r="E45" s="547">
        <f t="shared" si="0"/>
        <v>0</v>
      </c>
      <c r="F45" s="545"/>
      <c r="G45" s="545"/>
    </row>
    <row r="46" spans="1:7" s="952" customFormat="1" ht="12" customHeight="1">
      <c r="A46" s="546" t="s">
        <v>1043</v>
      </c>
      <c r="B46" s="544">
        <f>'Sources and Uses Budget'!C45</f>
        <v>277290</v>
      </c>
      <c r="C46" s="544">
        <f>'Sources and Uses Budget'!C45</f>
        <v>277290</v>
      </c>
      <c r="D46" s="544">
        <f>'Sources and Uses Budget'!C45</f>
        <v>277290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35000</v>
      </c>
      <c r="C48" s="544">
        <f>'Sources and Uses Budget'!C47</f>
        <v>35000</v>
      </c>
      <c r="D48" s="544">
        <f>'Sources and Uses Budget'!C47</f>
        <v>35000</v>
      </c>
      <c r="E48" s="547">
        <f t="shared" si="0"/>
        <v>0</v>
      </c>
      <c r="F48" s="545"/>
      <c r="G48" s="545"/>
    </row>
    <row r="49" spans="1:7" s="952" customFormat="1" ht="12.75">
      <c r="A49" s="546" t="s">
        <v>1045</v>
      </c>
      <c r="B49" s="544">
        <f>'Sources and Uses Budget'!C48</f>
        <v>0</v>
      </c>
      <c r="C49" s="544">
        <f>'Sources and Uses Budget'!C48</f>
        <v>0</v>
      </c>
      <c r="D49" s="544">
        <f>'Sources and Uses Budget'!C48</f>
        <v>0</v>
      </c>
      <c r="E49" s="547">
        <f t="shared" si="0"/>
        <v>0</v>
      </c>
      <c r="F49" s="545"/>
      <c r="G49" s="545"/>
    </row>
    <row r="50" spans="1:7" s="952" customFormat="1" ht="12.75">
      <c r="A50" s="546" t="s">
        <v>1046</v>
      </c>
      <c r="B50" s="544">
        <f>'Sources and Uses Budget'!C49</f>
        <v>0</v>
      </c>
      <c r="C50" s="544">
        <f>'Sources and Uses Budget'!C49</f>
        <v>0</v>
      </c>
      <c r="D50" s="544">
        <f>'Sources and Uses Budget'!C49</f>
        <v>0</v>
      </c>
      <c r="E50" s="547">
        <f t="shared" si="0"/>
        <v>0</v>
      </c>
      <c r="F50" s="545"/>
      <c r="G50" s="545"/>
    </row>
    <row r="51" spans="1:7" s="952" customFormat="1" ht="12.75">
      <c r="A51" s="549" t="s">
        <v>600</v>
      </c>
      <c r="B51" s="544">
        <f>'Sources and Uses Budget'!C50</f>
        <v>462150</v>
      </c>
      <c r="C51" s="544">
        <f>'Sources and Uses Budget'!C50</f>
        <v>462150</v>
      </c>
      <c r="D51" s="544">
        <f>'Sources and Uses Budget'!C50</f>
        <v>462150</v>
      </c>
      <c r="E51" s="547">
        <f t="shared" si="0"/>
        <v>0</v>
      </c>
      <c r="F51" s="545"/>
      <c r="G51" s="545"/>
    </row>
    <row r="52" spans="1:7" s="952" customFormat="1" ht="12.75">
      <c r="A52" s="549" t="s">
        <v>600</v>
      </c>
      <c r="B52" s="544">
        <f>'Sources and Uses Budget'!C51</f>
        <v>462150</v>
      </c>
      <c r="C52" s="544">
        <f>'Sources and Uses Budget'!C51</f>
        <v>462150</v>
      </c>
      <c r="D52" s="544">
        <f>'Sources and Uses Budget'!C51</f>
        <v>462150</v>
      </c>
      <c r="E52" s="547">
        <f t="shared" si="0"/>
        <v>0</v>
      </c>
      <c r="F52" s="545"/>
      <c r="G52" s="545"/>
    </row>
    <row r="53" spans="1:7" s="953" customFormat="1" ht="12.75">
      <c r="A53" s="548" t="s">
        <v>1048</v>
      </c>
      <c r="B53" s="550">
        <f>SUM(B44:B52)</f>
        <v>4914163</v>
      </c>
      <c r="C53" s="550">
        <f>SUM(C44:C52)</f>
        <v>4914163</v>
      </c>
      <c r="D53" s="550">
        <f>SUM(D44:D52)</f>
        <v>4914163</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0</v>
      </c>
      <c r="C55" s="544">
        <f>'Sources and Uses Budget'!C54</f>
        <v>0</v>
      </c>
      <c r="D55" s="544">
        <f>'Sources and Uses Budget'!C54</f>
        <v>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0</v>
      </c>
      <c r="C62" s="547">
        <f>SUM(C55:C61)</f>
        <v>0</v>
      </c>
      <c r="D62" s="547">
        <f>SUM(D55:D61)</f>
        <v>0</v>
      </c>
      <c r="E62" s="547">
        <f t="shared" si="0"/>
        <v>0</v>
      </c>
      <c r="F62" s="545"/>
      <c r="G62" s="545"/>
    </row>
    <row r="63" spans="1:7" s="952" customFormat="1" ht="12.75">
      <c r="A63" s="551" t="s">
        <v>555</v>
      </c>
      <c r="B63" s="547">
        <f>SUM(B9+B12+B14+B15+B16+B26+B27+B37+B41+B42+B53+B62)</f>
        <v>103766053</v>
      </c>
      <c r="C63" s="547">
        <f>SUM(C9+C12+C14+C15+C16+C26+C27+C37+C41+C42+C53+C62)</f>
        <v>103766053</v>
      </c>
      <c r="D63" s="547">
        <f>SUM(D9+D12+D14+D15+D16+D26+D27+D37+D41+D42+D53+D62)</f>
        <v>103766053</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25000</v>
      </c>
      <c r="C65" s="544">
        <f>'Sources and Uses Budget'!C64</f>
        <v>25000</v>
      </c>
      <c r="D65" s="544">
        <f>'Sources and Uses Budget'!C64</f>
        <v>25000</v>
      </c>
      <c r="E65" s="547">
        <f t="shared" si="0"/>
        <v>0</v>
      </c>
      <c r="F65" s="545"/>
      <c r="G65" s="545"/>
    </row>
    <row r="66" spans="1:7" s="952" customFormat="1" ht="12.75">
      <c r="A66" s="549" t="s">
        <v>600</v>
      </c>
      <c r="B66" s="544">
        <f>'Sources and Uses Budget'!C65</f>
        <v>25000</v>
      </c>
      <c r="C66" s="544">
        <f>'Sources and Uses Budget'!C65</f>
        <v>25000</v>
      </c>
      <c r="D66" s="544">
        <f>'Sources and Uses Budget'!C65</f>
        <v>25000</v>
      </c>
      <c r="E66" s="547">
        <f t="shared" si="0"/>
        <v>0</v>
      </c>
      <c r="F66" s="545"/>
      <c r="G66" s="545"/>
    </row>
    <row r="67" spans="1:7" s="952" customFormat="1" ht="12.75">
      <c r="A67" s="548" t="s">
        <v>314</v>
      </c>
      <c r="B67" s="547">
        <f>SUM(B65:B66)</f>
        <v>50000</v>
      </c>
      <c r="C67" s="547">
        <f>SUM(C65:C66)</f>
        <v>50000</v>
      </c>
      <c r="D67" s="547">
        <f>SUM(D65:D66)</f>
        <v>50000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1800874</v>
      </c>
      <c r="C72" s="544">
        <f>'Sources and Uses Budget'!C71</f>
        <v>1800874</v>
      </c>
      <c r="D72" s="544">
        <f>'Sources and Uses Budget'!C71</f>
        <v>1800874</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1800874</v>
      </c>
      <c r="C74" s="547">
        <f>SUM(C69:C73)</f>
        <v>1800874</v>
      </c>
      <c r="D74" s="547">
        <f>SUM(D69:D73)</f>
        <v>1800874</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4468595</v>
      </c>
      <c r="C76" s="544">
        <f>'Sources and Uses Budget'!C75</f>
        <v>4468595</v>
      </c>
      <c r="D76" s="544">
        <f>'Sources and Uses Budget'!C75</f>
        <v>4468595</v>
      </c>
      <c r="E76" s="547">
        <f t="shared" si="1"/>
        <v>0</v>
      </c>
      <c r="F76" s="545"/>
      <c r="G76" s="545"/>
    </row>
    <row r="77" spans="1:7" s="952" customFormat="1" ht="12.75">
      <c r="A77" s="1175" t="s">
        <v>605</v>
      </c>
      <c r="B77" s="544">
        <f>'Sources and Uses Budget'!C76</f>
        <v>0</v>
      </c>
      <c r="C77" s="544">
        <f>'Sources and Uses Budget'!C76</f>
        <v>0</v>
      </c>
      <c r="D77" s="544">
        <f>'Sources and Uses Budget'!C76</f>
        <v>0</v>
      </c>
      <c r="E77" s="547">
        <f t="shared" ref="E77" si="2">C77-B77</f>
        <v>0</v>
      </c>
      <c r="F77" s="545"/>
      <c r="G77" s="545"/>
    </row>
    <row r="78" spans="1:7" s="952" customFormat="1" ht="12.75">
      <c r="A78" s="548" t="s">
        <v>2024</v>
      </c>
      <c r="B78" s="1177">
        <f>SUM(B76:B77)</f>
        <v>4468595</v>
      </c>
      <c r="C78" s="1177">
        <f>SUM(C76:C77)</f>
        <v>4468595</v>
      </c>
      <c r="D78" s="1177">
        <f>SUM(D76:D77)</f>
        <v>4468595</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200000</v>
      </c>
      <c r="C80" s="544">
        <f>'Sources and Uses Budget'!C79</f>
        <v>200000</v>
      </c>
      <c r="D80" s="544">
        <f>'Sources and Uses Budget'!C79</f>
        <v>200000</v>
      </c>
      <c r="E80" s="547">
        <f t="shared" si="1"/>
        <v>0</v>
      </c>
      <c r="F80" s="545"/>
      <c r="G80" s="545"/>
    </row>
    <row r="81" spans="1:7" s="952" customFormat="1" ht="12.75">
      <c r="A81" s="546" t="s">
        <v>581</v>
      </c>
      <c r="B81" s="544">
        <f>'Sources and Uses Budget'!C80</f>
        <v>14000</v>
      </c>
      <c r="C81" s="544">
        <f>'Sources and Uses Budget'!C80</f>
        <v>14000</v>
      </c>
      <c r="D81" s="544">
        <f>'Sources and Uses Budget'!C80</f>
        <v>14000</v>
      </c>
      <c r="E81" s="547">
        <f t="shared" si="1"/>
        <v>0</v>
      </c>
      <c r="F81" s="545"/>
      <c r="G81" s="545"/>
    </row>
    <row r="82" spans="1:7" s="952" customFormat="1" ht="12.75">
      <c r="A82" s="546" t="s">
        <v>582</v>
      </c>
      <c r="B82" s="544">
        <f>'Sources and Uses Budget'!C81</f>
        <v>759137</v>
      </c>
      <c r="C82" s="544">
        <f>'Sources and Uses Budget'!C81</f>
        <v>759137</v>
      </c>
      <c r="D82" s="544">
        <f>'Sources and Uses Budget'!C81</f>
        <v>759137</v>
      </c>
      <c r="E82" s="547">
        <f t="shared" si="1"/>
        <v>0</v>
      </c>
      <c r="F82" s="545"/>
      <c r="G82" s="545"/>
    </row>
    <row r="83" spans="1:7" s="952" customFormat="1" ht="12.75">
      <c r="A83" s="546" t="s">
        <v>583</v>
      </c>
      <c r="B83" s="544">
        <f>'Sources and Uses Budget'!C82</f>
        <v>372811</v>
      </c>
      <c r="C83" s="544">
        <f>'Sources and Uses Budget'!C82</f>
        <v>372811</v>
      </c>
      <c r="D83" s="544">
        <f>'Sources and Uses Budget'!C82</f>
        <v>372811</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12000</v>
      </c>
      <c r="C85" s="544">
        <f>'Sources and Uses Budget'!C84</f>
        <v>12000</v>
      </c>
      <c r="D85" s="544">
        <f>'Sources and Uses Budget'!C84</f>
        <v>12000</v>
      </c>
      <c r="E85" s="547">
        <f t="shared" si="1"/>
        <v>0</v>
      </c>
      <c r="F85" s="545"/>
      <c r="G85" s="545"/>
    </row>
    <row r="86" spans="1:7" s="952" customFormat="1" ht="12.75">
      <c r="A86" s="546" t="s">
        <v>586</v>
      </c>
      <c r="B86" s="544">
        <f>'Sources and Uses Budget'!C85</f>
        <v>960000</v>
      </c>
      <c r="C86" s="544">
        <f>'Sources and Uses Budget'!C85</f>
        <v>960000</v>
      </c>
      <c r="D86" s="544">
        <f>'Sources and Uses Budget'!C85</f>
        <v>960000</v>
      </c>
      <c r="E86" s="547">
        <f t="shared" si="1"/>
        <v>0</v>
      </c>
      <c r="F86" s="545"/>
      <c r="G86" s="545"/>
    </row>
    <row r="87" spans="1:7" s="952" customFormat="1" ht="12.75">
      <c r="A87" s="546" t="s">
        <v>587</v>
      </c>
      <c r="B87" s="544">
        <f>'Sources and Uses Budget'!C86</f>
        <v>7000</v>
      </c>
      <c r="C87" s="544">
        <f>'Sources and Uses Budget'!C86</f>
        <v>7000</v>
      </c>
      <c r="D87" s="544">
        <f>'Sources and Uses Budget'!C86</f>
        <v>7000</v>
      </c>
      <c r="E87" s="547">
        <f t="shared" si="1"/>
        <v>0</v>
      </c>
      <c r="F87" s="545"/>
      <c r="G87" s="545"/>
    </row>
    <row r="88" spans="1:7" s="952" customFormat="1" ht="12.75">
      <c r="A88" s="552" t="s">
        <v>569</v>
      </c>
      <c r="B88" s="544">
        <f>'Sources and Uses Budget'!C87</f>
        <v>55000</v>
      </c>
      <c r="C88" s="544">
        <f>'Sources and Uses Budget'!C87</f>
        <v>55000</v>
      </c>
      <c r="D88" s="544">
        <f>'Sources and Uses Budget'!C87</f>
        <v>55000</v>
      </c>
      <c r="E88" s="547">
        <f t="shared" si="1"/>
        <v>0</v>
      </c>
      <c r="F88" s="545"/>
      <c r="G88" s="545"/>
    </row>
    <row r="89" spans="1:7" s="952" customFormat="1" ht="12.75">
      <c r="A89" s="1174" t="s">
        <v>2022</v>
      </c>
      <c r="B89" s="544">
        <f>'Sources and Uses Budget'!C88</f>
        <v>7000</v>
      </c>
      <c r="C89" s="544">
        <f>'Sources and Uses Budget'!C88</f>
        <v>7000</v>
      </c>
      <c r="D89" s="544">
        <f>'Sources and Uses Budget'!C88</f>
        <v>7000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2386948</v>
      </c>
      <c r="C95" s="547">
        <f>SUM(C80:C94)</f>
        <v>2386948</v>
      </c>
      <c r="D95" s="547">
        <f>SUM(D80:D94)</f>
        <v>2386948</v>
      </c>
      <c r="E95" s="547">
        <f t="shared" si="1"/>
        <v>0</v>
      </c>
      <c r="F95" s="545"/>
      <c r="G95" s="545"/>
    </row>
    <row r="96" spans="1:7" s="952" customFormat="1" ht="12.75">
      <c r="A96" s="548" t="s">
        <v>589</v>
      </c>
      <c r="B96" s="547">
        <f>SUM(B63+B67+B74+B78+B95)</f>
        <v>112472470</v>
      </c>
      <c r="C96" s="547">
        <f>SUM(C63+C67+C74+C78+C95)</f>
        <v>112472470</v>
      </c>
      <c r="D96" s="547">
        <f>SUM(D63+D67+D74+D78+D95)</f>
        <v>112472470</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114672470</v>
      </c>
      <c r="C105" s="550">
        <f>SUM(C96+C104)</f>
        <v>114672470</v>
      </c>
      <c r="D105" s="550">
        <f>SUM(D96+D104)</f>
        <v>114672470</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workbookViewId="0"/>
  </sheetViews>
  <sheetFormatPr defaultColWidth="0" defaultRowHeight="12.75" zeroHeight="1"/>
  <cols>
    <col min="1" max="10" width="9.140625" style="16" customWidth="1"/>
    <col min="11" max="16384" width="8.85546875" style="16" hidden="1"/>
  </cols>
  <sheetData>
    <row r="1" spans="1:10" ht="14.25" customHeight="1"/>
    <row r="2" spans="1:10" ht="15.75">
      <c r="A2" s="2186" t="s">
        <v>337</v>
      </c>
      <c r="B2" s="2187"/>
      <c r="C2" s="2187"/>
      <c r="D2" s="2187"/>
      <c r="E2" s="2187"/>
      <c r="F2" s="2187"/>
      <c r="G2" s="2187"/>
      <c r="H2" s="2187"/>
      <c r="I2" s="2187"/>
      <c r="J2" s="2187"/>
    </row>
    <row r="3" spans="1:10" ht="15">
      <c r="A3" s="2188" t="s">
        <v>2276</v>
      </c>
      <c r="B3" s="2187"/>
      <c r="C3" s="2187"/>
      <c r="D3" s="2187"/>
      <c r="E3" s="2187"/>
      <c r="F3" s="2187"/>
      <c r="G3" s="2187"/>
      <c r="H3" s="2187"/>
      <c r="I3" s="2187"/>
      <c r="J3" s="2187"/>
    </row>
    <row r="4" spans="1:10"/>
    <row r="5" spans="1:10">
      <c r="A5" s="2189" t="s">
        <v>2193</v>
      </c>
      <c r="B5" s="2190"/>
      <c r="C5" s="2190"/>
      <c r="D5" s="2190"/>
      <c r="E5" s="2190"/>
      <c r="F5" s="2190"/>
      <c r="G5" s="2190"/>
      <c r="H5" s="2190"/>
      <c r="I5" s="2190"/>
      <c r="J5" s="2190"/>
    </row>
    <row r="6" spans="1:10">
      <c r="A6" s="2190"/>
      <c r="B6" s="2190"/>
      <c r="C6" s="2190"/>
      <c r="D6" s="2190"/>
      <c r="E6" s="2190"/>
      <c r="F6" s="2190"/>
      <c r="G6" s="2190"/>
      <c r="H6" s="2190"/>
      <c r="I6" s="2190"/>
      <c r="J6" s="2190"/>
    </row>
    <row r="7" spans="1:10">
      <c r="A7" s="2190"/>
      <c r="B7" s="2190"/>
      <c r="C7" s="2190"/>
      <c r="D7" s="2190"/>
      <c r="E7" s="2190"/>
      <c r="F7" s="2190"/>
      <c r="G7" s="2190"/>
      <c r="H7" s="2190"/>
      <c r="I7" s="2190"/>
      <c r="J7" s="2190"/>
    </row>
    <row r="8" spans="1:10">
      <c r="A8" s="2190"/>
      <c r="B8" s="2190"/>
      <c r="C8" s="2190"/>
      <c r="D8" s="2190"/>
      <c r="E8" s="2190"/>
      <c r="F8" s="2190"/>
      <c r="G8" s="2190"/>
      <c r="H8" s="2190"/>
      <c r="I8" s="2190"/>
      <c r="J8" s="2190"/>
    </row>
    <row r="9" spans="1:10">
      <c r="A9" s="1182"/>
      <c r="B9" s="1182"/>
      <c r="C9" s="1182"/>
      <c r="D9" s="1182"/>
      <c r="E9" s="1182"/>
      <c r="F9" s="1182"/>
      <c r="G9" s="1182"/>
      <c r="H9" s="1182"/>
      <c r="I9" s="1182"/>
      <c r="J9" s="1182"/>
    </row>
    <row r="10" spans="1:10" ht="12.75" customHeight="1">
      <c r="A10" s="2193" t="s">
        <v>1169</v>
      </c>
      <c r="B10" s="2193"/>
      <c r="C10" s="2193"/>
      <c r="D10" s="2193"/>
      <c r="E10" s="2193"/>
      <c r="F10" s="2193"/>
      <c r="G10" s="2193"/>
      <c r="H10" s="2193"/>
      <c r="I10" s="2193"/>
      <c r="J10" s="2193"/>
    </row>
    <row r="11" spans="1:10" ht="12.75" customHeight="1">
      <c r="A11" s="2193"/>
      <c r="B11" s="2193"/>
      <c r="C11" s="2193"/>
      <c r="D11" s="2193"/>
      <c r="E11" s="2193"/>
      <c r="F11" s="2193"/>
      <c r="G11" s="2193"/>
      <c r="H11" s="2193"/>
      <c r="I11" s="2193"/>
      <c r="J11" s="2193"/>
    </row>
    <row r="12" spans="1:10" ht="12.75" customHeight="1">
      <c r="A12" s="2193"/>
      <c r="B12" s="2193"/>
      <c r="C12" s="2193"/>
      <c r="D12" s="2193"/>
      <c r="E12" s="2193"/>
      <c r="F12" s="2193"/>
      <c r="G12" s="2193"/>
      <c r="H12" s="2193"/>
      <c r="I12" s="2193"/>
      <c r="J12" s="2193"/>
    </row>
    <row r="13" spans="1:10">
      <c r="A13" s="2193"/>
      <c r="B13" s="2193"/>
      <c r="C13" s="2193"/>
      <c r="D13" s="2193"/>
      <c r="E13" s="2193"/>
      <c r="F13" s="2193"/>
      <c r="G13" s="2193"/>
      <c r="H13" s="2193"/>
      <c r="I13" s="2193"/>
      <c r="J13" s="2193"/>
    </row>
    <row r="14" spans="1:10"/>
    <row r="15" spans="1:10" ht="12.75" customHeight="1">
      <c r="A15" s="2189" t="s">
        <v>2194</v>
      </c>
      <c r="B15" s="2191"/>
      <c r="C15" s="2191"/>
      <c r="D15" s="2191"/>
      <c r="E15" s="2191"/>
      <c r="F15" s="2191"/>
      <c r="G15" s="2191"/>
      <c r="H15" s="2191"/>
      <c r="I15" s="2191"/>
      <c r="J15" s="2191"/>
    </row>
    <row r="16" spans="1:10" ht="12.75" customHeight="1">
      <c r="A16" s="2191"/>
      <c r="B16" s="2191"/>
      <c r="C16" s="2191"/>
      <c r="D16" s="2191"/>
      <c r="E16" s="2191"/>
      <c r="F16" s="2191"/>
      <c r="G16" s="2191"/>
      <c r="H16" s="2191"/>
      <c r="I16" s="2191"/>
      <c r="J16" s="2191"/>
    </row>
    <row r="17" spans="1:10">
      <c r="A17" s="2191"/>
      <c r="B17" s="2191"/>
      <c r="C17" s="2191"/>
      <c r="D17" s="2191"/>
      <c r="E17" s="2191"/>
      <c r="F17" s="2191"/>
      <c r="G17" s="2191"/>
      <c r="H17" s="2191"/>
      <c r="I17" s="2191"/>
      <c r="J17" s="2191"/>
    </row>
    <row r="18" spans="1:10">
      <c r="A18" s="2190"/>
      <c r="B18" s="2190"/>
      <c r="C18" s="2190"/>
      <c r="D18" s="2190"/>
      <c r="E18" s="2190"/>
      <c r="F18" s="2190"/>
      <c r="G18" s="2190"/>
      <c r="H18" s="2190"/>
      <c r="I18" s="2190"/>
      <c r="J18" s="2190"/>
    </row>
    <row r="19" spans="1:10">
      <c r="A19" s="2190"/>
      <c r="B19" s="2190"/>
      <c r="C19" s="2190"/>
      <c r="D19" s="2190"/>
      <c r="E19" s="2190"/>
      <c r="F19" s="2190"/>
      <c r="G19" s="2190"/>
      <c r="H19" s="2190"/>
      <c r="I19" s="2190"/>
      <c r="J19" s="2190"/>
    </row>
    <row r="20" spans="1:10">
      <c r="A20" s="2190"/>
      <c r="B20" s="2190"/>
      <c r="C20" s="2190"/>
      <c r="D20" s="2190"/>
      <c r="E20" s="2190"/>
      <c r="F20" s="2190"/>
      <c r="G20" s="2190"/>
      <c r="H20" s="2190"/>
      <c r="I20" s="2190"/>
      <c r="J20" s="2190"/>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2192" t="s">
        <v>1150</v>
      </c>
      <c r="B23" s="2187"/>
      <c r="C23" s="2187"/>
      <c r="D23" s="2187"/>
      <c r="E23" s="2187"/>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2191" t="s">
        <v>1170</v>
      </c>
      <c r="B60" s="2190"/>
      <c r="C60" s="2190"/>
      <c r="D60" s="2190"/>
      <c r="E60" s="2190"/>
      <c r="F60" s="2190"/>
      <c r="G60" s="2190"/>
      <c r="H60" s="2190"/>
      <c r="I60" s="2190"/>
      <c r="J60" s="2190"/>
    </row>
    <row r="61" spans="1:10">
      <c r="A61" s="2190"/>
      <c r="B61" s="2190"/>
      <c r="C61" s="2190"/>
      <c r="D61" s="2190"/>
      <c r="E61" s="2190"/>
      <c r="F61" s="2190"/>
      <c r="G61" s="2190"/>
      <c r="H61" s="2190"/>
      <c r="I61" s="2190"/>
      <c r="J61" s="2190"/>
    </row>
    <row r="62" spans="1:10">
      <c r="A62" s="2190"/>
      <c r="B62" s="2190"/>
      <c r="C62" s="2190"/>
      <c r="D62" s="2190"/>
      <c r="E62" s="2190"/>
      <c r="F62" s="2190"/>
      <c r="G62" s="2190"/>
      <c r="H62" s="2190"/>
      <c r="I62" s="2190"/>
      <c r="J62" s="2190"/>
    </row>
    <row r="63" spans="1:10"/>
    <row r="64" spans="1:10">
      <c r="A64" s="8" t="s">
        <v>1150</v>
      </c>
    </row>
    <row r="65" spans="1:9"/>
    <row r="66" spans="1:9"/>
    <row r="67" spans="1:9"/>
    <row r="68" spans="1:9"/>
    <row r="69" spans="1:9"/>
    <row r="70" spans="1:9"/>
    <row r="71" spans="1:9"/>
    <row r="72" spans="1:9"/>
    <row r="73" spans="1:9"/>
    <row r="74" spans="1:9"/>
    <row r="75" spans="1:9">
      <c r="A75" s="2185" t="s">
        <v>1291</v>
      </c>
      <c r="B75" s="2185"/>
      <c r="C75" s="2185"/>
      <c r="D75" s="2185"/>
      <c r="E75" s="2185"/>
      <c r="F75" s="2185"/>
      <c r="G75" s="2185"/>
      <c r="H75" s="2185"/>
      <c r="I75" s="2185"/>
    </row>
    <row r="76" spans="1:9">
      <c r="A76" s="2184" t="s">
        <v>1452</v>
      </c>
      <c r="B76" s="2184"/>
      <c r="C76" s="2184"/>
      <c r="D76" s="2184"/>
      <c r="E76" s="2184"/>
      <c r="F76" s="1181"/>
    </row>
    <row r="77" spans="1:9">
      <c r="A77" s="2184" t="s">
        <v>1451</v>
      </c>
      <c r="B77" s="2184"/>
      <c r="C77" s="2184"/>
      <c r="D77" s="2184"/>
      <c r="E77" s="2184"/>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workbookViewId="0"/>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2234" t="s">
        <v>2198</v>
      </c>
      <c r="B2" s="2234"/>
      <c r="C2" s="2235"/>
      <c r="D2" s="2235"/>
      <c r="E2" s="2235"/>
      <c r="F2" s="2235"/>
      <c r="G2" s="2235"/>
      <c r="I2" s="2" t="s">
        <v>85</v>
      </c>
    </row>
    <row r="3" spans="1:9" ht="12.75">
      <c r="A3" s="310"/>
      <c r="B3" s="310"/>
      <c r="C3" s="13"/>
      <c r="D3" s="13"/>
      <c r="E3" s="13"/>
      <c r="F3" s="13"/>
      <c r="G3" s="743"/>
      <c r="I3" s="343" t="s">
        <v>1576</v>
      </c>
    </row>
    <row r="4" spans="1:9" ht="12.75">
      <c r="A4" s="2236" t="s">
        <v>1178</v>
      </c>
      <c r="B4" s="2236"/>
      <c r="C4" s="2237"/>
      <c r="D4" s="2237"/>
      <c r="E4" s="2237"/>
      <c r="F4" s="2237"/>
      <c r="G4" s="2237"/>
      <c r="I4" s="343" t="s">
        <v>1559</v>
      </c>
    </row>
    <row r="5" spans="1:9" ht="12.75">
      <c r="A5" s="2236" t="s">
        <v>1179</v>
      </c>
      <c r="B5" s="2236"/>
      <c r="C5" s="2237"/>
      <c r="D5" s="2237"/>
      <c r="E5" s="2237"/>
      <c r="F5" s="2237"/>
      <c r="G5" s="2237"/>
      <c r="I5" s="2" t="s">
        <v>135</v>
      </c>
    </row>
    <row r="6" spans="1:9" ht="13.7" customHeight="1">
      <c r="A6" s="14"/>
      <c r="B6" s="14"/>
      <c r="C6" s="14"/>
      <c r="D6" s="294"/>
      <c r="E6" s="294"/>
      <c r="F6" s="294"/>
    </row>
    <row r="7" spans="1:9" ht="12.75">
      <c r="A7" s="2238" t="s">
        <v>1616</v>
      </c>
      <c r="B7" s="2238"/>
      <c r="C7" s="2239"/>
      <c r="D7" s="2239"/>
      <c r="E7" s="2239"/>
      <c r="F7" s="2239"/>
      <c r="G7" s="2239"/>
    </row>
    <row r="8" spans="1:9" ht="12.75">
      <c r="A8" s="2238" t="s">
        <v>1617</v>
      </c>
      <c r="B8" s="2238"/>
      <c r="C8" s="2239"/>
      <c r="D8" s="2239"/>
      <c r="E8" s="2239"/>
      <c r="F8" s="2239"/>
      <c r="G8" s="2239"/>
    </row>
    <row r="9" spans="1:9" ht="12.75">
      <c r="A9" s="313"/>
      <c r="B9" s="313"/>
      <c r="C9" s="310"/>
      <c r="D9" s="310"/>
      <c r="E9" s="310"/>
      <c r="F9" s="310"/>
      <c r="G9" s="424"/>
    </row>
    <row r="10" spans="1:9" ht="12.75">
      <c r="A10" s="2240" t="s">
        <v>1776</v>
      </c>
      <c r="B10" s="2240"/>
      <c r="C10" s="2240"/>
      <c r="D10" s="2240"/>
      <c r="E10" s="2240"/>
      <c r="F10" s="2240"/>
      <c r="G10" s="2240"/>
    </row>
    <row r="11" spans="1:9" ht="12.75">
      <c r="A11" s="432"/>
      <c r="B11" s="432"/>
      <c r="C11" s="14"/>
      <c r="D11" s="294"/>
      <c r="E11" s="294"/>
      <c r="F11" s="294"/>
    </row>
    <row r="12" spans="1:9" ht="13.7" customHeight="1">
      <c r="A12" s="152"/>
      <c r="B12" s="152"/>
      <c r="C12" s="310"/>
      <c r="D12" s="2241" t="s">
        <v>1775</v>
      </c>
      <c r="E12" s="2241"/>
      <c r="F12" s="2241"/>
      <c r="G12" s="1001"/>
    </row>
    <row r="13" spans="1:9" ht="12.75">
      <c r="A13" s="152"/>
      <c r="B13" s="152"/>
      <c r="C13" s="310"/>
      <c r="D13" s="2241"/>
      <c r="E13" s="2241"/>
      <c r="F13" s="2241"/>
      <c r="G13" s="1001"/>
    </row>
    <row r="14" spans="1:9" ht="12.75">
      <c r="A14" s="433"/>
      <c r="B14" s="433"/>
      <c r="C14" s="311"/>
      <c r="D14" s="2200" t="s">
        <v>1603</v>
      </c>
      <c r="E14" s="2200"/>
      <c r="F14" s="2200"/>
      <c r="G14" s="502"/>
    </row>
    <row r="15" spans="1:9" ht="12.75">
      <c r="A15" s="433"/>
      <c r="B15" s="433"/>
      <c r="C15" s="311"/>
      <c r="D15" s="294"/>
      <c r="E15" s="294"/>
      <c r="F15" s="294"/>
    </row>
    <row r="16" spans="1:9" ht="14.45" customHeight="1">
      <c r="A16" s="431"/>
      <c r="B16" s="1000" t="s">
        <v>85</v>
      </c>
      <c r="C16" s="311"/>
      <c r="D16" s="2203" t="s">
        <v>1558</v>
      </c>
      <c r="E16" s="2203"/>
      <c r="F16" s="2203"/>
      <c r="G16" s="594"/>
    </row>
    <row r="17" spans="1:7" ht="14.45" customHeight="1">
      <c r="A17" s="431"/>
      <c r="B17" s="14"/>
      <c r="C17" s="311"/>
      <c r="D17" s="2203"/>
      <c r="E17" s="2203"/>
      <c r="F17" s="2203"/>
      <c r="G17" s="594"/>
    </row>
    <row r="18" spans="1:7" ht="12.75">
      <c r="A18" s="433"/>
      <c r="B18" s="14"/>
      <c r="C18" s="311"/>
      <c r="D18" s="2203"/>
      <c r="E18" s="2203"/>
      <c r="F18" s="2203"/>
      <c r="G18" s="594"/>
    </row>
    <row r="19" spans="1:7" ht="12.75">
      <c r="A19" s="433"/>
      <c r="B19" s="433"/>
      <c r="C19" s="311"/>
      <c r="D19" s="294"/>
      <c r="E19" s="294"/>
      <c r="F19" s="294"/>
    </row>
    <row r="20" spans="1:7" ht="14.25">
      <c r="A20" s="431"/>
      <c r="B20" s="1000" t="s">
        <v>85</v>
      </c>
      <c r="C20" s="14"/>
      <c r="D20" s="2195" t="s">
        <v>1593</v>
      </c>
      <c r="E20" s="2195"/>
      <c r="F20" s="2195"/>
    </row>
    <row r="21" spans="1:7" ht="14.25">
      <c r="A21" s="431"/>
      <c r="B21" s="431"/>
      <c r="C21" s="14"/>
      <c r="D21" s="299"/>
      <c r="E21" s="294"/>
      <c r="F21" s="294"/>
    </row>
    <row r="22" spans="1:7" ht="14.25">
      <c r="A22" s="431"/>
      <c r="B22" s="1000" t="s">
        <v>85</v>
      </c>
      <c r="C22" s="14"/>
      <c r="D22" s="2203" t="s">
        <v>1594</v>
      </c>
      <c r="E22" s="2203"/>
      <c r="F22" s="2203"/>
    </row>
    <row r="23" spans="1:7" ht="14.25">
      <c r="A23" s="431"/>
      <c r="B23" s="431"/>
      <c r="C23" s="14"/>
      <c r="D23" s="2203"/>
      <c r="E23" s="2203"/>
      <c r="F23" s="2203"/>
    </row>
    <row r="24" spans="1:7" ht="14.25">
      <c r="A24" s="431"/>
      <c r="B24" s="431"/>
      <c r="C24" s="14"/>
      <c r="D24" s="299"/>
      <c r="E24" s="294"/>
      <c r="F24" s="294"/>
    </row>
    <row r="25" spans="1:7" ht="14.25">
      <c r="A25" s="596"/>
      <c r="B25" s="1000" t="s">
        <v>85</v>
      </c>
      <c r="D25" s="2228" t="s">
        <v>1596</v>
      </c>
      <c r="E25" s="2229"/>
      <c r="F25" s="2229"/>
    </row>
    <row r="26" spans="1:7" ht="14.25">
      <c r="A26" s="596"/>
      <c r="B26" s="596"/>
      <c r="D26" s="2229"/>
      <c r="E26" s="2229"/>
      <c r="F26" s="2229"/>
    </row>
    <row r="27" spans="1:7" ht="14.25">
      <c r="A27" s="596"/>
      <c r="B27" s="596"/>
      <c r="D27" s="2229"/>
      <c r="E27" s="2229"/>
      <c r="F27" s="2229"/>
    </row>
    <row r="28" spans="1:7" ht="14.25">
      <c r="A28" s="596"/>
      <c r="B28" s="596"/>
      <c r="D28" s="2229"/>
      <c r="E28" s="2229"/>
      <c r="F28" s="2229"/>
    </row>
    <row r="29" spans="1:7" ht="14.25">
      <c r="A29" s="596"/>
      <c r="B29" s="596"/>
      <c r="D29" s="2229"/>
      <c r="E29" s="2229"/>
      <c r="F29" s="2229"/>
    </row>
    <row r="30" spans="1:7" ht="15" customHeight="1">
      <c r="A30" s="596"/>
      <c r="B30" s="596"/>
      <c r="D30" s="2229"/>
      <c r="E30" s="2229"/>
      <c r="F30" s="2229"/>
    </row>
    <row r="31" spans="1:7" ht="14.25">
      <c r="A31" s="596"/>
      <c r="B31" s="596"/>
      <c r="D31" s="960"/>
      <c r="F31" s="1005"/>
    </row>
    <row r="32" spans="1:7" ht="14.45" customHeight="1">
      <c r="A32" s="596"/>
      <c r="B32" s="1000" t="s">
        <v>85</v>
      </c>
      <c r="D32" s="2231" t="s">
        <v>1595</v>
      </c>
      <c r="E32" s="2231"/>
      <c r="F32" s="2231"/>
    </row>
    <row r="33" spans="1:6" ht="14.25">
      <c r="A33" s="596"/>
      <c r="B33" s="596"/>
      <c r="D33" s="2231"/>
      <c r="E33" s="2231"/>
      <c r="F33" s="2231"/>
    </row>
    <row r="34" spans="1:6" ht="14.25">
      <c r="A34" s="431"/>
      <c r="B34" s="431"/>
      <c r="C34" s="14"/>
      <c r="D34" s="1004"/>
      <c r="E34" s="1004"/>
      <c r="F34" s="1004"/>
    </row>
    <row r="35" spans="1:6" ht="14.25">
      <c r="A35" s="431"/>
      <c r="B35" s="1000" t="s">
        <v>85</v>
      </c>
      <c r="C35" s="14"/>
      <c r="D35" s="2230" t="s">
        <v>2035</v>
      </c>
      <c r="E35" s="2231"/>
      <c r="F35" s="2231"/>
    </row>
    <row r="36" spans="1:6" ht="14.25">
      <c r="A36" s="431"/>
      <c r="B36" s="431"/>
      <c r="C36" s="14"/>
      <c r="D36" s="2231"/>
      <c r="E36" s="2231"/>
      <c r="F36" s="2231"/>
    </row>
    <row r="37" spans="1:6" ht="14.25">
      <c r="A37" s="431"/>
      <c r="B37" s="431"/>
      <c r="C37" s="14"/>
      <c r="D37" s="2231"/>
      <c r="E37" s="2231"/>
      <c r="F37" s="2231"/>
    </row>
    <row r="38" spans="1:6" ht="14.25">
      <c r="A38" s="431"/>
      <c r="B38" s="431"/>
      <c r="C38" s="14"/>
      <c r="D38" s="2231"/>
      <c r="E38" s="2231"/>
      <c r="F38" s="2231"/>
    </row>
    <row r="39" spans="1:6" ht="14.25">
      <c r="A39" s="431"/>
      <c r="B39" s="431"/>
      <c r="C39" s="14"/>
      <c r="D39" s="2231"/>
      <c r="E39" s="2231"/>
      <c r="F39" s="2231"/>
    </row>
    <row r="40" spans="1:6" ht="14.25">
      <c r="A40" s="431"/>
      <c r="B40" s="431"/>
      <c r="C40" s="14"/>
      <c r="D40" s="2231"/>
      <c r="E40" s="2231"/>
      <c r="F40" s="2231"/>
    </row>
    <row r="41" spans="1:6" ht="14.25">
      <c r="A41" s="431"/>
      <c r="B41" s="431"/>
      <c r="C41" s="14"/>
      <c r="D41" s="2231"/>
      <c r="E41" s="2231"/>
      <c r="F41" s="2231"/>
    </row>
    <row r="42" spans="1:6" ht="14.25">
      <c r="A42" s="431"/>
      <c r="B42" s="431"/>
      <c r="C42" s="14"/>
      <c r="D42" s="2231"/>
      <c r="E42" s="2231"/>
      <c r="F42" s="2231"/>
    </row>
    <row r="43" spans="1:6" ht="14.25">
      <c r="A43" s="431"/>
      <c r="B43" s="431"/>
      <c r="C43" s="14"/>
      <c r="D43" s="1007"/>
      <c r="E43" s="1007"/>
      <c r="F43" s="1007"/>
    </row>
    <row r="44" spans="1:6" ht="14.45" customHeight="1">
      <c r="A44" s="431"/>
      <c r="B44" s="1000" t="s">
        <v>85</v>
      </c>
      <c r="C44" s="14"/>
      <c r="D44" s="2231" t="s">
        <v>1639</v>
      </c>
      <c r="E44" s="2231"/>
      <c r="F44" s="2231"/>
    </row>
    <row r="45" spans="1:6" ht="14.25">
      <c r="A45" s="431"/>
      <c r="B45" s="431"/>
      <c r="C45" s="14"/>
      <c r="D45" s="2231"/>
      <c r="E45" s="2231"/>
      <c r="F45" s="2231"/>
    </row>
    <row r="46" spans="1:6" ht="14.25">
      <c r="A46" s="431"/>
      <c r="B46" s="431"/>
      <c r="C46" s="14"/>
      <c r="D46" s="2231"/>
      <c r="E46" s="2231"/>
      <c r="F46" s="2231"/>
    </row>
    <row r="47" spans="1:6" ht="14.25">
      <c r="A47" s="431"/>
      <c r="B47" s="431"/>
      <c r="C47" s="14"/>
      <c r="D47" s="2231"/>
      <c r="E47" s="2231"/>
      <c r="F47" s="2231"/>
    </row>
    <row r="48" spans="1:6" ht="14.25">
      <c r="A48" s="431"/>
      <c r="B48" s="431"/>
      <c r="C48" s="14"/>
      <c r="D48" s="2231"/>
      <c r="E48" s="2231"/>
      <c r="F48" s="2231"/>
    </row>
    <row r="49" spans="1:6" ht="14.25">
      <c r="A49" s="431"/>
      <c r="B49" s="431"/>
      <c r="C49" s="14"/>
      <c r="D49" s="421"/>
    </row>
    <row r="50" spans="1:6" ht="14.25">
      <c r="A50" s="431"/>
      <c r="B50" s="1000" t="s">
        <v>85</v>
      </c>
      <c r="C50" s="14"/>
      <c r="D50" s="2230" t="s">
        <v>2215</v>
      </c>
      <c r="E50" s="2231"/>
      <c r="F50" s="2231"/>
    </row>
    <row r="51" spans="1:6" ht="14.25">
      <c r="A51" s="431"/>
      <c r="B51" s="431"/>
      <c r="C51" s="14"/>
      <c r="D51" s="2231"/>
      <c r="E51" s="2231"/>
      <c r="F51" s="2231"/>
    </row>
    <row r="52" spans="1:6" ht="14.25">
      <c r="A52" s="431"/>
      <c r="B52" s="431"/>
      <c r="C52" s="14"/>
      <c r="D52" s="2231"/>
      <c r="E52" s="2231"/>
      <c r="F52" s="2231"/>
    </row>
    <row r="53" spans="1:6" ht="14.25">
      <c r="A53" s="431"/>
      <c r="B53" s="431"/>
      <c r="C53" s="14"/>
      <c r="D53" s="2231"/>
      <c r="E53" s="2231"/>
      <c r="F53" s="2231"/>
    </row>
    <row r="54" spans="1:6" ht="14.25">
      <c r="A54" s="431"/>
      <c r="B54" s="431"/>
      <c r="C54" s="14"/>
      <c r="D54" s="2231"/>
      <c r="E54" s="2231"/>
      <c r="F54" s="2231"/>
    </row>
    <row r="55" spans="1:6" ht="15" customHeight="1">
      <c r="A55" s="431"/>
      <c r="B55" s="431"/>
      <c r="C55" s="14"/>
      <c r="D55" s="2231"/>
      <c r="E55" s="2231"/>
      <c r="F55" s="2231"/>
    </row>
    <row r="56" spans="1:6" ht="14.25">
      <c r="A56" s="431"/>
      <c r="B56" s="431"/>
      <c r="C56" s="14"/>
      <c r="D56" s="2"/>
    </row>
    <row r="57" spans="1:6" ht="14.25">
      <c r="A57" s="431"/>
      <c r="B57" s="1000" t="s">
        <v>85</v>
      </c>
      <c r="C57" s="14"/>
      <c r="D57" s="2230" t="s">
        <v>2284</v>
      </c>
      <c r="E57" s="2231"/>
      <c r="F57" s="2231"/>
    </row>
    <row r="58" spans="1:6" ht="14.25">
      <c r="A58" s="431"/>
      <c r="B58" s="431"/>
      <c r="C58" s="14"/>
      <c r="D58" s="2231"/>
      <c r="E58" s="2231"/>
      <c r="F58" s="2231"/>
    </row>
    <row r="59" spans="1:6" ht="14.25">
      <c r="A59" s="431"/>
      <c r="B59" s="431"/>
      <c r="C59" s="14"/>
      <c r="D59" s="2231"/>
      <c r="E59" s="2231"/>
      <c r="F59" s="2231"/>
    </row>
    <row r="60" spans="1:6" ht="14.25">
      <c r="A60" s="431"/>
      <c r="B60" s="431"/>
      <c r="C60" s="14"/>
      <c r="D60" s="2231"/>
      <c r="E60" s="2231"/>
      <c r="F60" s="2231"/>
    </row>
    <row r="61" spans="1:6" ht="17.25" customHeight="1">
      <c r="A61" s="431"/>
      <c r="B61" s="431"/>
      <c r="C61" s="14"/>
      <c r="D61" s="2231"/>
      <c r="E61" s="2231"/>
      <c r="F61" s="2231"/>
    </row>
    <row r="62" spans="1:6" ht="14.25">
      <c r="A62" s="431"/>
      <c r="B62" s="1000" t="s">
        <v>85</v>
      </c>
      <c r="C62" s="14"/>
      <c r="D62" s="2204" t="s">
        <v>1644</v>
      </c>
      <c r="E62" s="2204"/>
      <c r="F62" s="2204"/>
    </row>
    <row r="63" spans="1:6" ht="14.25">
      <c r="A63" s="431"/>
      <c r="B63" s="431"/>
      <c r="C63" s="14"/>
      <c r="D63" s="2204"/>
      <c r="E63" s="2204"/>
      <c r="F63" s="2204"/>
    </row>
    <row r="64" spans="1:6" ht="21.6" customHeight="1">
      <c r="A64" s="431"/>
      <c r="B64" s="431"/>
      <c r="C64" s="14"/>
      <c r="D64" s="2204"/>
      <c r="E64" s="2204"/>
      <c r="F64" s="2204"/>
    </row>
    <row r="65" spans="1:6" ht="19.7" customHeight="1">
      <c r="A65" s="431"/>
      <c r="B65" s="431"/>
      <c r="C65" s="14"/>
      <c r="D65" s="2204"/>
      <c r="E65" s="2204"/>
      <c r="F65" s="2204"/>
    </row>
    <row r="66" spans="1:6" ht="14.25">
      <c r="A66" s="431"/>
      <c r="B66" s="431"/>
      <c r="C66" s="14"/>
      <c r="D66" s="147"/>
    </row>
    <row r="67" spans="1:6" ht="14.25">
      <c r="A67" s="596"/>
      <c r="B67" s="1000" t="s">
        <v>85</v>
      </c>
      <c r="D67" s="2231" t="s">
        <v>1645</v>
      </c>
      <c r="E67" s="2231"/>
      <c r="F67" s="2231"/>
    </row>
    <row r="68" spans="1:6" ht="14.25">
      <c r="A68" s="596"/>
      <c r="B68" s="596"/>
      <c r="D68" s="2231"/>
      <c r="E68" s="2231"/>
      <c r="F68" s="2231"/>
    </row>
    <row r="69" spans="1:6" ht="14.25">
      <c r="A69" s="431"/>
      <c r="B69" s="431"/>
      <c r="C69" s="14"/>
      <c r="D69" s="147"/>
    </row>
    <row r="70" spans="1:6" ht="14.25">
      <c r="A70" s="431"/>
      <c r="B70" s="1000" t="s">
        <v>85</v>
      </c>
      <c r="C70" s="14"/>
      <c r="D70" s="2231" t="s">
        <v>1774</v>
      </c>
      <c r="E70" s="2231"/>
      <c r="F70" s="2231"/>
    </row>
    <row r="71" spans="1:6" ht="12.75">
      <c r="A71" s="152"/>
      <c r="B71" s="152"/>
      <c r="C71" s="14"/>
      <c r="D71" s="2231"/>
      <c r="E71" s="2231"/>
      <c r="F71" s="2231"/>
    </row>
    <row r="72" spans="1:6" ht="12.75">
      <c r="A72" s="152"/>
      <c r="B72" s="152"/>
      <c r="C72" s="14"/>
      <c r="D72" s="2231"/>
      <c r="E72" s="2231"/>
      <c r="F72" s="2231"/>
    </row>
    <row r="73" spans="1:6" ht="12.75">
      <c r="A73" s="152"/>
      <c r="B73" s="152"/>
      <c r="C73" s="14"/>
      <c r="D73" s="294"/>
      <c r="E73" s="294"/>
      <c r="F73" s="294"/>
    </row>
    <row r="74" spans="1:6" ht="14.25">
      <c r="A74" s="431" t="s">
        <v>255</v>
      </c>
      <c r="B74" s="1000" t="s">
        <v>85</v>
      </c>
      <c r="C74" s="14"/>
      <c r="D74" s="2231" t="s">
        <v>1646</v>
      </c>
      <c r="E74" s="2231"/>
      <c r="F74" s="2231"/>
    </row>
    <row r="75" spans="1:6" ht="12.75">
      <c r="A75" s="152"/>
      <c r="B75" s="152"/>
      <c r="C75" s="14"/>
      <c r="D75" s="2231"/>
      <c r="E75" s="2231"/>
      <c r="F75" s="2231"/>
    </row>
    <row r="76" spans="1:6" ht="12.75">
      <c r="A76" s="152"/>
      <c r="B76" s="152"/>
      <c r="C76" s="14"/>
      <c r="D76" s="294"/>
      <c r="E76" s="294"/>
      <c r="F76" s="294"/>
    </row>
    <row r="77" spans="1:6" ht="14.25">
      <c r="A77" s="431" t="s">
        <v>255</v>
      </c>
      <c r="B77" s="1000" t="s">
        <v>85</v>
      </c>
      <c r="C77" s="14"/>
      <c r="D77" s="2231" t="s">
        <v>1647</v>
      </c>
      <c r="E77" s="2231"/>
      <c r="F77" s="2231"/>
    </row>
    <row r="78" spans="1:6" ht="12.75">
      <c r="A78" s="152"/>
      <c r="B78" s="152"/>
      <c r="C78" s="14"/>
      <c r="D78" s="2231"/>
      <c r="E78" s="2231"/>
      <c r="F78" s="2231"/>
    </row>
    <row r="79" spans="1:6" ht="12.75">
      <c r="A79" s="152"/>
      <c r="B79" s="152"/>
      <c r="C79" s="14"/>
      <c r="D79" s="2231"/>
      <c r="E79" s="2231"/>
      <c r="F79" s="2231"/>
    </row>
    <row r="80" spans="1:6" ht="12.75">
      <c r="A80" s="152"/>
      <c r="B80" s="152"/>
      <c r="C80" s="14"/>
      <c r="D80" s="421"/>
      <c r="E80" s="294"/>
      <c r="F80" s="294"/>
    </row>
    <row r="81" spans="1:7" ht="14.25">
      <c r="A81" s="431" t="s">
        <v>255</v>
      </c>
      <c r="B81" s="1000" t="s">
        <v>85</v>
      </c>
      <c r="C81" s="14"/>
      <c r="D81" s="2203" t="s">
        <v>1648</v>
      </c>
      <c r="E81" s="2203"/>
      <c r="F81" s="2203"/>
    </row>
    <row r="82" spans="1:7" ht="12.75">
      <c r="A82" s="152"/>
      <c r="B82" s="152"/>
      <c r="C82" s="14"/>
      <c r="D82" s="2203"/>
      <c r="E82" s="2203"/>
      <c r="F82" s="2203"/>
    </row>
    <row r="83" spans="1:7" ht="12.75">
      <c r="A83" s="152"/>
      <c r="B83" s="152"/>
      <c r="C83" s="14"/>
      <c r="D83" s="294"/>
      <c r="E83" s="294"/>
      <c r="F83" s="294"/>
    </row>
    <row r="84" spans="1:7" ht="12.75">
      <c r="A84" s="2215" t="s">
        <v>1564</v>
      </c>
      <c r="B84" s="2215"/>
      <c r="C84" s="2215"/>
      <c r="D84" s="2215"/>
      <c r="E84" s="2215"/>
      <c r="F84" s="2215"/>
      <c r="G84" s="2215"/>
    </row>
    <row r="85" spans="1:7" ht="12.75">
      <c r="A85" s="152"/>
      <c r="B85" s="152"/>
      <c r="C85" s="14"/>
      <c r="D85" s="294"/>
      <c r="E85" s="2"/>
      <c r="F85" s="2"/>
      <c r="G85" s="2"/>
    </row>
    <row r="86" spans="1:7" ht="13.7" customHeight="1">
      <c r="A86" s="152"/>
      <c r="B86" s="152"/>
      <c r="C86" s="976"/>
      <c r="D86" s="2218" t="s">
        <v>1565</v>
      </c>
      <c r="E86" s="2218"/>
      <c r="F86" s="2218"/>
      <c r="G86" s="2"/>
    </row>
    <row r="87" spans="1:7" ht="13.7" customHeight="1">
      <c r="A87" s="155"/>
      <c r="B87" s="155"/>
      <c r="C87" s="14"/>
      <c r="D87" s="2203" t="s">
        <v>1777</v>
      </c>
      <c r="E87" s="2203"/>
      <c r="F87" s="2203"/>
      <c r="G87" s="2"/>
    </row>
    <row r="88" spans="1:7" ht="12.75">
      <c r="A88" s="155"/>
      <c r="B88" s="155"/>
      <c r="C88" s="14"/>
      <c r="D88" s="294"/>
      <c r="E88" s="2"/>
      <c r="F88" s="2"/>
      <c r="G88" s="2"/>
    </row>
    <row r="89" spans="1:7" ht="14.25" customHeight="1">
      <c r="A89" s="431"/>
      <c r="B89" s="1000" t="s">
        <v>85</v>
      </c>
      <c r="C89" s="14"/>
      <c r="D89" s="2217" t="s">
        <v>2182</v>
      </c>
      <c r="E89" s="2217"/>
      <c r="F89" s="2217"/>
      <c r="G89" s="2"/>
    </row>
    <row r="90" spans="1:7" ht="14.45" customHeight="1">
      <c r="A90" s="431"/>
      <c r="B90" s="14"/>
      <c r="C90" s="14"/>
      <c r="D90" s="2217"/>
      <c r="E90" s="2217"/>
      <c r="F90" s="2217"/>
      <c r="G90" s="2"/>
    </row>
    <row r="91" spans="1:7" ht="14.25">
      <c r="A91" s="431"/>
      <c r="B91" s="431"/>
      <c r="C91" s="14"/>
      <c r="D91" s="2217"/>
      <c r="E91" s="2217"/>
      <c r="F91" s="2217"/>
      <c r="G91" s="2"/>
    </row>
    <row r="92" spans="1:7" ht="14.25">
      <c r="A92" s="431"/>
      <c r="B92" s="431"/>
      <c r="C92" s="14"/>
      <c r="D92" s="2217"/>
      <c r="E92" s="2217"/>
      <c r="F92" s="2217"/>
      <c r="G92" s="2"/>
    </row>
    <row r="93" spans="1:7" ht="14.25">
      <c r="A93" s="431"/>
      <c r="B93" s="431"/>
      <c r="C93" s="14"/>
      <c r="D93" s="2217"/>
      <c r="E93" s="2217"/>
      <c r="F93" s="2217"/>
      <c r="G93" s="2"/>
    </row>
    <row r="94" spans="1:7" ht="14.25">
      <c r="A94" s="431"/>
      <c r="B94" s="431"/>
      <c r="C94" s="14"/>
      <c r="D94" s="2217"/>
      <c r="E94" s="2217"/>
      <c r="F94" s="2217"/>
      <c r="G94" s="2"/>
    </row>
    <row r="95" spans="1:7" ht="14.25">
      <c r="A95" s="431"/>
      <c r="B95" s="431"/>
      <c r="C95" s="14"/>
      <c r="D95" s="2217"/>
      <c r="E95" s="2217"/>
      <c r="F95" s="2217"/>
      <c r="G95" s="2"/>
    </row>
    <row r="96" spans="1:7" ht="14.25">
      <c r="A96" s="431"/>
      <c r="B96" s="431"/>
      <c r="C96" s="14"/>
      <c r="D96" s="2217"/>
      <c r="E96" s="2217"/>
      <c r="F96" s="2217"/>
      <c r="G96" s="2"/>
    </row>
    <row r="97" spans="1:7" ht="14.25">
      <c r="A97" s="431"/>
      <c r="B97" s="431"/>
      <c r="C97" s="14"/>
      <c r="D97" s="2217"/>
      <c r="E97" s="2217"/>
      <c r="F97" s="2217"/>
      <c r="G97" s="2"/>
    </row>
    <row r="98" spans="1:7" ht="14.45" customHeight="1">
      <c r="A98" s="431"/>
      <c r="B98" s="1033" t="s">
        <v>85</v>
      </c>
      <c r="C98" s="14"/>
      <c r="D98" s="2207" t="s">
        <v>2183</v>
      </c>
      <c r="E98" s="2207"/>
      <c r="F98" s="2207"/>
      <c r="G98" s="2"/>
    </row>
    <row r="99" spans="1:7" ht="14.25">
      <c r="A99" s="431"/>
      <c r="B99" s="431"/>
      <c r="C99" s="14"/>
      <c r="D99" s="2207"/>
      <c r="E99" s="2207"/>
      <c r="F99" s="2207"/>
      <c r="G99" s="2"/>
    </row>
    <row r="100" spans="1:7" ht="14.25">
      <c r="A100" s="431"/>
      <c r="B100" s="431"/>
      <c r="C100" s="14"/>
      <c r="D100" s="2207"/>
      <c r="E100" s="2207"/>
      <c r="F100" s="2207"/>
      <c r="G100" s="2"/>
    </row>
    <row r="101" spans="1:7" ht="14.25">
      <c r="A101" s="431"/>
      <c r="B101" s="431"/>
      <c r="C101" s="14"/>
      <c r="D101" s="2207"/>
      <c r="E101" s="2207"/>
      <c r="F101" s="2207"/>
      <c r="G101" s="2"/>
    </row>
    <row r="102" spans="1:7" ht="14.25">
      <c r="A102" s="431"/>
      <c r="B102" s="431"/>
      <c r="C102" s="14"/>
      <c r="D102" s="2207"/>
      <c r="E102" s="2207"/>
      <c r="F102" s="2207"/>
      <c r="G102" s="2"/>
    </row>
    <row r="103" spans="1:7" ht="14.25">
      <c r="A103" s="431"/>
      <c r="B103" s="431"/>
      <c r="C103" s="14"/>
      <c r="D103" s="2207"/>
      <c r="E103" s="2207"/>
      <c r="F103" s="2207"/>
      <c r="G103" s="2"/>
    </row>
    <row r="104" spans="1:7" ht="14.25">
      <c r="A104" s="431"/>
      <c r="B104" s="431"/>
      <c r="C104" s="14"/>
      <c r="D104" s="2207"/>
      <c r="E104" s="2207"/>
      <c r="F104" s="2207"/>
      <c r="G104" s="2"/>
    </row>
    <row r="105" spans="1:7" ht="14.25">
      <c r="A105" s="431"/>
      <c r="B105" s="431"/>
      <c r="C105" s="14"/>
      <c r="D105" s="2207"/>
      <c r="E105" s="2207"/>
      <c r="F105" s="2207"/>
      <c r="G105" s="2"/>
    </row>
    <row r="106" spans="1:7" ht="14.25">
      <c r="A106" s="431"/>
      <c r="B106" s="431"/>
      <c r="C106" s="14"/>
      <c r="D106" s="2207"/>
      <c r="E106" s="2207"/>
      <c r="F106" s="2207"/>
      <c r="G106" s="2"/>
    </row>
    <row r="107" spans="1:7" ht="14.25">
      <c r="A107" s="431"/>
      <c r="B107" s="431"/>
      <c r="C107" s="14"/>
      <c r="D107" s="2207"/>
      <c r="E107" s="2207"/>
      <c r="F107" s="2207"/>
      <c r="G107" s="2"/>
    </row>
    <row r="108" spans="1:7" ht="14.25">
      <c r="A108" s="431"/>
      <c r="B108" s="431"/>
      <c r="C108" s="14"/>
      <c r="D108" s="2207"/>
      <c r="E108" s="2207"/>
      <c r="F108" s="2207"/>
      <c r="G108" s="2"/>
    </row>
    <row r="109" spans="1:7" ht="14.25">
      <c r="A109" s="431"/>
      <c r="B109" s="431"/>
      <c r="C109" s="14"/>
      <c r="D109" s="2207"/>
      <c r="E109" s="2207"/>
      <c r="F109" s="2207"/>
      <c r="G109" s="2"/>
    </row>
    <row r="110" spans="1:7" ht="14.25">
      <c r="A110" s="431"/>
      <c r="B110" s="431"/>
      <c r="C110" s="14"/>
      <c r="D110" s="2207"/>
      <c r="E110" s="2207"/>
      <c r="F110" s="2207"/>
      <c r="G110" s="2"/>
    </row>
    <row r="111" spans="1:7" ht="14.25">
      <c r="A111" s="431"/>
      <c r="B111" s="1033" t="s">
        <v>85</v>
      </c>
      <c r="C111" s="14"/>
      <c r="D111" s="2203" t="s">
        <v>1778</v>
      </c>
      <c r="E111" s="2203"/>
      <c r="F111" s="2203"/>
      <c r="G111" s="2"/>
    </row>
    <row r="112" spans="1:7" ht="14.25">
      <c r="A112" s="431"/>
      <c r="B112" s="431"/>
      <c r="C112" s="14"/>
      <c r="D112" s="2203"/>
      <c r="E112" s="2203"/>
      <c r="F112" s="2203"/>
      <c r="G112" s="2"/>
    </row>
    <row r="113" spans="1:7" ht="14.25">
      <c r="A113" s="431"/>
      <c r="B113" s="431"/>
      <c r="C113" s="14"/>
      <c r="D113" s="2203"/>
      <c r="E113" s="2203"/>
      <c r="F113" s="2203"/>
      <c r="G113" s="2"/>
    </row>
    <row r="114" spans="1:7" ht="14.25">
      <c r="A114" s="431"/>
      <c r="B114" s="431"/>
      <c r="C114" s="14"/>
      <c r="D114" s="2203"/>
      <c r="E114" s="2203"/>
      <c r="F114" s="2203"/>
      <c r="G114" s="2"/>
    </row>
    <row r="115" spans="1:7" ht="14.25">
      <c r="A115" s="431"/>
      <c r="B115" s="431"/>
      <c r="C115" s="14"/>
      <c r="D115" s="2203"/>
      <c r="E115" s="2203"/>
      <c r="F115" s="2203"/>
      <c r="G115" s="2"/>
    </row>
    <row r="116" spans="1:7" ht="14.25">
      <c r="A116" s="431"/>
      <c r="B116" s="431"/>
      <c r="C116" s="14"/>
      <c r="D116" s="2203"/>
      <c r="E116" s="2203"/>
      <c r="F116" s="2203"/>
      <c r="G116" s="2"/>
    </row>
    <row r="117" spans="1:7" ht="14.25">
      <c r="A117" s="431"/>
      <c r="B117" s="431"/>
      <c r="C117" s="14"/>
      <c r="D117" s="2203"/>
      <c r="E117" s="2203"/>
      <c r="F117" s="2203"/>
      <c r="G117" s="2"/>
    </row>
    <row r="118" spans="1:7" ht="14.25">
      <c r="A118" s="431"/>
      <c r="B118" s="431"/>
      <c r="C118" s="14"/>
      <c r="D118" s="2203"/>
      <c r="E118" s="2203"/>
      <c r="F118" s="2203"/>
      <c r="G118" s="2"/>
    </row>
    <row r="119" spans="1:7" ht="12.75" customHeight="1">
      <c r="A119" s="431"/>
      <c r="B119" s="1000" t="s">
        <v>85</v>
      </c>
      <c r="C119" s="14"/>
      <c r="D119" s="2203" t="s">
        <v>1779</v>
      </c>
      <c r="E119" s="2203"/>
      <c r="F119" s="2203"/>
    </row>
    <row r="120" spans="1:7" ht="12.75">
      <c r="A120" s="152"/>
      <c r="B120" s="152"/>
      <c r="C120" s="14"/>
      <c r="D120" s="2203"/>
      <c r="E120" s="2203"/>
      <c r="F120" s="2203"/>
    </row>
    <row r="121" spans="1:7" ht="12.75">
      <c r="A121" s="152"/>
      <c r="B121" s="152"/>
      <c r="C121" s="14"/>
      <c r="D121" s="2203"/>
      <c r="E121" s="2203"/>
      <c r="F121" s="2203"/>
    </row>
    <row r="122" spans="1:7" ht="12.75">
      <c r="A122" s="152"/>
      <c r="B122" s="152"/>
      <c r="C122" s="14"/>
      <c r="D122" s="2203"/>
      <c r="E122" s="2203"/>
      <c r="F122" s="2203"/>
    </row>
    <row r="123" spans="1:7" ht="26.85" customHeight="1">
      <c r="A123" s="152"/>
      <c r="B123" s="152"/>
      <c r="C123" s="14"/>
      <c r="D123" s="2203"/>
      <c r="E123" s="2203"/>
      <c r="F123" s="2203"/>
    </row>
    <row r="124" spans="1:7" ht="12.75">
      <c r="A124" s="152"/>
      <c r="B124" s="152"/>
      <c r="C124" s="14"/>
      <c r="D124" s="294"/>
      <c r="E124" s="294"/>
      <c r="F124" s="294"/>
    </row>
    <row r="125" spans="1:7" ht="14.25">
      <c r="A125" s="431"/>
      <c r="B125" s="1000" t="s">
        <v>85</v>
      </c>
      <c r="C125" s="14"/>
      <c r="D125" s="2231" t="s">
        <v>1780</v>
      </c>
      <c r="E125" s="2231"/>
      <c r="F125" s="2231"/>
    </row>
    <row r="126" spans="1:7" s="536" customFormat="1" ht="13.9" customHeight="1">
      <c r="A126" s="526"/>
      <c r="B126" s="526"/>
      <c r="C126" s="527"/>
      <c r="D126" s="2231"/>
      <c r="E126" s="2231"/>
      <c r="F126" s="2231"/>
      <c r="G126" s="602"/>
    </row>
    <row r="127" spans="1:7" ht="13.9" customHeight="1">
      <c r="A127" s="152"/>
      <c r="B127" s="152"/>
      <c r="C127" s="14"/>
      <c r="D127" s="2231"/>
      <c r="E127" s="2231"/>
      <c r="F127" s="2231"/>
    </row>
    <row r="128" spans="1:7" ht="13.9" customHeight="1">
      <c r="A128" s="152"/>
      <c r="B128" s="152"/>
      <c r="C128" s="14"/>
      <c r="D128" s="2231"/>
      <c r="E128" s="2231"/>
      <c r="F128" s="2231"/>
    </row>
    <row r="129" spans="1:7" ht="13.9" customHeight="1">
      <c r="A129" s="152"/>
      <c r="B129" s="152"/>
      <c r="C129" s="14"/>
      <c r="D129" s="2231"/>
      <c r="E129" s="2231"/>
      <c r="F129" s="2231"/>
    </row>
    <row r="130" spans="1:7" ht="13.9" customHeight="1">
      <c r="A130" s="152"/>
      <c r="B130" s="152"/>
      <c r="C130" s="14"/>
      <c r="D130" s="2231"/>
      <c r="E130" s="2231"/>
      <c r="F130" s="2231"/>
    </row>
    <row r="131" spans="1:7" ht="13.9" customHeight="1">
      <c r="A131" s="1034"/>
      <c r="B131" s="1034"/>
      <c r="C131" s="14"/>
      <c r="D131" s="2231"/>
      <c r="E131" s="2231"/>
      <c r="F131" s="2231"/>
      <c r="G131" s="2"/>
    </row>
    <row r="132" spans="1:7" ht="13.9" customHeight="1">
      <c r="A132" s="1034"/>
      <c r="B132" s="1034"/>
      <c r="C132" s="14"/>
      <c r="D132" s="2231"/>
      <c r="E132" s="2231"/>
      <c r="F132" s="2231"/>
      <c r="G132" s="2"/>
    </row>
    <row r="133" spans="1:7" ht="13.9" customHeight="1">
      <c r="A133" s="1034"/>
      <c r="B133" s="1034"/>
      <c r="C133" s="14"/>
      <c r="D133" s="2231"/>
      <c r="E133" s="2231"/>
      <c r="F133" s="2231"/>
      <c r="G133" s="2"/>
    </row>
    <row r="134" spans="1:7" ht="13.9" customHeight="1">
      <c r="A134" s="1034"/>
      <c r="B134" s="1034"/>
      <c r="C134" s="14"/>
      <c r="D134" s="2231"/>
      <c r="E134" s="2231"/>
      <c r="F134" s="2231"/>
      <c r="G134" s="2"/>
    </row>
    <row r="135" spans="1:7" ht="17.25" customHeight="1">
      <c r="A135" s="1034"/>
      <c r="B135" s="1034"/>
      <c r="C135" s="14"/>
      <c r="D135" s="2231"/>
      <c r="E135" s="2231"/>
      <c r="F135" s="2231"/>
      <c r="G135" s="2"/>
    </row>
    <row r="136" spans="1:7" ht="25.5" hidden="1" customHeight="1">
      <c r="A136" s="1034"/>
      <c r="B136" s="1034"/>
      <c r="C136" s="14"/>
      <c r="D136" s="2231"/>
      <c r="E136" s="2231"/>
      <c r="F136" s="2231"/>
      <c r="G136" s="2"/>
    </row>
    <row r="137" spans="1:7" ht="13.9" customHeight="1">
      <c r="A137" s="1034"/>
      <c r="B137" s="1034"/>
      <c r="C137" s="14"/>
      <c r="D137" s="294"/>
      <c r="E137" s="294"/>
      <c r="F137" s="294"/>
      <c r="G137" s="2"/>
    </row>
    <row r="138" spans="1:7" ht="13.9" customHeight="1">
      <c r="A138" s="152"/>
      <c r="B138" s="1000" t="s">
        <v>85</v>
      </c>
      <c r="C138" s="14"/>
      <c r="D138" s="2217" t="s">
        <v>2008</v>
      </c>
      <c r="E138" s="2203"/>
      <c r="F138" s="2203"/>
      <c r="G138" s="2"/>
    </row>
    <row r="139" spans="1:7" ht="13.9" customHeight="1">
      <c r="A139" s="152"/>
      <c r="B139" s="152"/>
      <c r="C139" s="14"/>
      <c r="D139" s="2203"/>
      <c r="E139" s="2203"/>
      <c r="F139" s="2203"/>
      <c r="G139" s="2"/>
    </row>
    <row r="140" spans="1:7" ht="13.9" customHeight="1">
      <c r="A140" s="152"/>
      <c r="B140" s="152"/>
      <c r="C140" s="14"/>
      <c r="D140" s="2203"/>
      <c r="E140" s="2203"/>
      <c r="F140" s="2203"/>
      <c r="G140" s="2"/>
    </row>
    <row r="141" spans="1:7" ht="13.9" customHeight="1">
      <c r="A141" s="162"/>
      <c r="B141" s="162"/>
      <c r="D141" s="2203"/>
      <c r="E141" s="2203"/>
      <c r="F141" s="2203"/>
      <c r="G141" s="2"/>
    </row>
    <row r="142" spans="1:7" ht="13.9" customHeight="1">
      <c r="A142" s="152"/>
      <c r="B142" s="152"/>
      <c r="C142" s="14"/>
      <c r="D142" s="2203"/>
      <c r="E142" s="2203"/>
      <c r="F142" s="2203"/>
      <c r="G142" s="2"/>
    </row>
    <row r="143" spans="1:7" ht="13.9" customHeight="1">
      <c r="A143" s="33"/>
      <c r="B143" s="33"/>
      <c r="C143" s="14"/>
      <c r="D143" s="2203"/>
      <c r="E143" s="2203"/>
      <c r="F143" s="2203"/>
      <c r="G143" s="2"/>
    </row>
    <row r="144" spans="1:7" ht="13.9" customHeight="1">
      <c r="A144" s="33"/>
      <c r="B144" s="33"/>
      <c r="C144" s="14"/>
      <c r="D144" s="2203"/>
      <c r="E144" s="2203"/>
      <c r="F144" s="2203"/>
      <c r="G144" s="2"/>
    </row>
    <row r="145" spans="1:7" ht="13.9" customHeight="1">
      <c r="A145" s="1035"/>
      <c r="B145" s="1035"/>
      <c r="C145" s="14"/>
      <c r="D145" s="2203"/>
      <c r="E145" s="2203"/>
      <c r="F145" s="2203"/>
      <c r="G145" s="2"/>
    </row>
    <row r="146" spans="1:7" ht="13.9" customHeight="1">
      <c r="A146" s="1035"/>
      <c r="B146" s="1035"/>
      <c r="C146" s="14"/>
      <c r="D146" s="2203"/>
      <c r="E146" s="2203"/>
      <c r="F146" s="2203"/>
      <c r="G146" s="2"/>
    </row>
    <row r="147" spans="1:7" ht="13.9" customHeight="1">
      <c r="A147" s="1035"/>
      <c r="B147" s="1035"/>
      <c r="C147" s="14"/>
      <c r="D147" s="2203"/>
      <c r="E147" s="2203"/>
      <c r="F147" s="2203"/>
      <c r="G147" s="2"/>
    </row>
    <row r="148" spans="1:7" ht="13.9" customHeight="1">
      <c r="A148" s="1139"/>
      <c r="B148" s="1139"/>
      <c r="C148" s="14"/>
      <c r="D148" s="2203"/>
      <c r="E148" s="2203"/>
      <c r="F148" s="2203"/>
      <c r="G148" s="2"/>
    </row>
    <row r="149" spans="1:7" ht="13.9" customHeight="1">
      <c r="A149" s="1139"/>
      <c r="B149" s="1139"/>
      <c r="C149" s="14"/>
      <c r="D149" s="2203"/>
      <c r="E149" s="2203"/>
      <c r="F149" s="2203"/>
      <c r="G149" s="2"/>
    </row>
    <row r="150" spans="1:7" ht="13.9" customHeight="1">
      <c r="A150" s="1035"/>
      <c r="B150" s="1035"/>
      <c r="C150" s="14"/>
      <c r="D150" s="2203"/>
      <c r="E150" s="2203"/>
      <c r="F150" s="2203"/>
      <c r="G150" s="2"/>
    </row>
    <row r="151" spans="1:7" ht="13.9" customHeight="1">
      <c r="A151" s="1035"/>
      <c r="B151" s="1035"/>
      <c r="C151" s="14"/>
      <c r="D151" s="2203"/>
      <c r="E151" s="2203"/>
      <c r="F151" s="2203"/>
      <c r="G151" s="2"/>
    </row>
    <row r="152" spans="1:7" ht="13.9" customHeight="1">
      <c r="A152" s="1035"/>
      <c r="B152" s="1035"/>
      <c r="C152" s="14"/>
      <c r="D152" s="2203"/>
      <c r="E152" s="2203"/>
      <c r="F152" s="2203"/>
      <c r="G152" s="2"/>
    </row>
    <row r="153" spans="1:7" ht="13.9" customHeight="1">
      <c r="A153" s="1035"/>
      <c r="B153" s="1035"/>
      <c r="C153" s="14"/>
      <c r="D153" s="2203"/>
      <c r="E153" s="2203"/>
      <c r="F153" s="2203"/>
      <c r="G153" s="2"/>
    </row>
    <row r="154" spans="1:7" ht="13.9" customHeight="1">
      <c r="A154" s="1035"/>
      <c r="B154" s="1035"/>
      <c r="C154" s="14"/>
      <c r="D154" s="2203"/>
      <c r="E154" s="2203"/>
      <c r="F154" s="2203"/>
      <c r="G154" s="2"/>
    </row>
    <row r="155" spans="1:7" ht="13.9" customHeight="1">
      <c r="A155" s="1035"/>
      <c r="B155" s="1035"/>
      <c r="C155" s="14"/>
      <c r="D155" s="2203"/>
      <c r="E155" s="2203"/>
      <c r="F155" s="2203"/>
      <c r="G155" s="2"/>
    </row>
    <row r="156" spans="1:7" ht="13.9" customHeight="1">
      <c r="A156" s="1154"/>
      <c r="B156" s="1154"/>
      <c r="C156" s="14"/>
      <c r="D156" s="2269" t="s">
        <v>2009</v>
      </c>
      <c r="E156" s="2269"/>
      <c r="F156" s="2269"/>
      <c r="G156" s="2"/>
    </row>
    <row r="157" spans="1:7" ht="13.9" customHeight="1">
      <c r="A157" s="1035"/>
      <c r="B157" s="1035"/>
      <c r="C157" s="14"/>
      <c r="D157" s="1031"/>
      <c r="E157" s="294"/>
      <c r="F157" s="294"/>
      <c r="G157" s="2"/>
    </row>
    <row r="158" spans="1:7" ht="13.9" customHeight="1">
      <c r="A158" s="431"/>
      <c r="B158" s="1000" t="s">
        <v>85</v>
      </c>
      <c r="C158" s="14"/>
      <c r="D158" s="2271" t="s">
        <v>2044</v>
      </c>
      <c r="E158" s="2272"/>
      <c r="F158" s="2272"/>
      <c r="G158" s="2"/>
    </row>
    <row r="159" spans="1:7" ht="13.9" customHeight="1">
      <c r="A159" s="431"/>
      <c r="B159" s="1184"/>
      <c r="C159" s="14"/>
      <c r="D159" s="2272"/>
      <c r="E159" s="2272"/>
      <c r="F159" s="2272"/>
      <c r="G159" s="2"/>
    </row>
    <row r="160" spans="1:7" ht="13.9" customHeight="1">
      <c r="A160" s="33"/>
      <c r="B160" s="33"/>
      <c r="C160" s="14"/>
      <c r="D160" s="2272"/>
      <c r="E160" s="2272"/>
      <c r="F160" s="2272"/>
      <c r="G160" s="2"/>
    </row>
    <row r="161" spans="1:7" ht="13.9" customHeight="1">
      <c r="A161" s="33"/>
      <c r="B161" s="33"/>
      <c r="C161" s="14"/>
      <c r="D161" s="299"/>
      <c r="E161" s="294"/>
      <c r="F161" s="294"/>
      <c r="G161" s="2"/>
    </row>
    <row r="162" spans="1:7" ht="13.9" customHeight="1">
      <c r="A162" s="431"/>
      <c r="B162" s="1000" t="s">
        <v>85</v>
      </c>
      <c r="C162" s="14"/>
      <c r="D162" s="2273" t="s">
        <v>1781</v>
      </c>
      <c r="E162" s="2273"/>
      <c r="F162" s="2273"/>
      <c r="G162" s="2"/>
    </row>
    <row r="163" spans="1:7" ht="13.9" customHeight="1">
      <c r="A163" s="33"/>
      <c r="B163" s="33"/>
      <c r="C163" s="14"/>
      <c r="D163" s="2273"/>
      <c r="E163" s="2273"/>
      <c r="F163" s="2273"/>
    </row>
    <row r="164" spans="1:7" ht="13.9" customHeight="1">
      <c r="A164" s="33"/>
      <c r="B164" s="33"/>
      <c r="C164" s="14"/>
      <c r="D164" s="2273"/>
      <c r="E164" s="2273"/>
      <c r="F164" s="2273"/>
    </row>
    <row r="165" spans="1:7" ht="13.9" customHeight="1">
      <c r="A165" s="33"/>
      <c r="B165" s="33"/>
      <c r="C165" s="14"/>
      <c r="D165" s="2273"/>
      <c r="E165" s="2273"/>
      <c r="F165" s="2273"/>
    </row>
    <row r="166" spans="1:7" ht="13.9" customHeight="1">
      <c r="A166" s="33"/>
      <c r="B166" s="33"/>
      <c r="C166" s="14"/>
      <c r="D166" s="299"/>
      <c r="E166" s="294"/>
      <c r="F166" s="294"/>
    </row>
    <row r="167" spans="1:7" ht="13.9" customHeight="1">
      <c r="A167" s="620"/>
      <c r="B167" s="1000" t="s">
        <v>85</v>
      </c>
      <c r="C167" s="619"/>
      <c r="D167" s="2265" t="s">
        <v>1782</v>
      </c>
      <c r="E167" s="2265"/>
      <c r="F167" s="2265"/>
      <c r="G167" s="748"/>
    </row>
    <row r="168" spans="1:7" ht="13.9" customHeight="1">
      <c r="A168" s="620"/>
      <c r="B168" s="620"/>
      <c r="C168" s="619"/>
      <c r="D168" s="2265"/>
      <c r="E168" s="2265"/>
      <c r="F168" s="2265"/>
      <c r="G168" s="748"/>
    </row>
    <row r="169" spans="1:7" ht="13.9" customHeight="1">
      <c r="A169" s="620"/>
      <c r="B169" s="620"/>
      <c r="C169" s="619"/>
      <c r="D169" s="2265"/>
      <c r="E169" s="2265"/>
      <c r="F169" s="2265"/>
      <c r="G169" s="748"/>
    </row>
    <row r="170" spans="1:7" ht="12.75">
      <c r="A170" s="620"/>
      <c r="B170" s="620"/>
      <c r="C170" s="619"/>
      <c r="D170" s="622"/>
      <c r="E170" s="608"/>
      <c r="F170" s="608"/>
      <c r="G170" s="748"/>
    </row>
    <row r="171" spans="1:7" ht="12.75">
      <c r="A171" s="2215" t="s">
        <v>1567</v>
      </c>
      <c r="B171" s="2215"/>
      <c r="C171" s="2215"/>
      <c r="D171" s="2215"/>
      <c r="E171" s="2215"/>
      <c r="F171" s="2215"/>
      <c r="G171" s="2215"/>
    </row>
    <row r="172" spans="1:7" ht="12.75">
      <c r="A172" s="152"/>
      <c r="B172" s="152"/>
      <c r="C172" s="14"/>
      <c r="D172" s="299"/>
      <c r="E172" s="294"/>
      <c r="F172" s="294"/>
    </row>
    <row r="173" spans="1:7" ht="12.75">
      <c r="A173" s="152"/>
      <c r="B173" s="152"/>
      <c r="C173" s="976"/>
      <c r="D173" s="2261" t="s">
        <v>1566</v>
      </c>
      <c r="E173" s="2261"/>
      <c r="F173" s="2261"/>
    </row>
    <row r="174" spans="1:7" ht="12.75">
      <c r="A174" s="432"/>
      <c r="B174" s="432"/>
      <c r="C174" s="310"/>
      <c r="D174" s="2266" t="s">
        <v>1604</v>
      </c>
      <c r="E174" s="2266"/>
      <c r="F174" s="2266"/>
    </row>
    <row r="175" spans="1:7" ht="12.75">
      <c r="A175" s="433"/>
      <c r="B175" s="433"/>
      <c r="C175" s="311"/>
      <c r="D175" s="294"/>
      <c r="E175" s="294"/>
      <c r="F175" s="294"/>
    </row>
    <row r="176" spans="1:7" ht="14.25">
      <c r="A176" s="431"/>
      <c r="B176" s="1000" t="s">
        <v>85</v>
      </c>
      <c r="C176" s="314"/>
      <c r="D176" s="2267" t="s">
        <v>2011</v>
      </c>
      <c r="E176" s="2252"/>
      <c r="F176" s="2252"/>
      <c r="G176" s="300"/>
    </row>
    <row r="177" spans="1:7" ht="14.25">
      <c r="A177" s="431"/>
      <c r="B177" s="435"/>
      <c r="C177" s="314"/>
      <c r="D177" s="1351"/>
      <c r="E177" s="1350"/>
      <c r="F177" s="1350"/>
      <c r="G177" s="300"/>
    </row>
    <row r="178" spans="1:7" ht="14.25">
      <c r="A178" s="431"/>
      <c r="B178" s="1000" t="s">
        <v>85</v>
      </c>
      <c r="C178" s="314"/>
      <c r="D178" s="2252" t="s">
        <v>1783</v>
      </c>
      <c r="E178" s="2252"/>
      <c r="F178" s="2252"/>
      <c r="G178" s="300"/>
    </row>
    <row r="179" spans="1:7" ht="14.25">
      <c r="A179" s="431"/>
      <c r="B179" s="435"/>
      <c r="C179" s="314"/>
      <c r="D179" s="1350"/>
      <c r="E179" s="1350"/>
      <c r="F179" s="1350"/>
      <c r="G179" s="300"/>
    </row>
    <row r="180" spans="1:7" ht="14.25">
      <c r="A180" s="431"/>
      <c r="B180" s="1352" t="s">
        <v>85</v>
      </c>
      <c r="C180" s="314"/>
      <c r="D180" s="2270" t="s">
        <v>2108</v>
      </c>
      <c r="E180" s="2270"/>
      <c r="F180" s="2270"/>
      <c r="G180" s="300"/>
    </row>
    <row r="181" spans="1:7" ht="13.7" customHeight="1">
      <c r="A181" s="431"/>
      <c r="B181" s="435"/>
      <c r="C181" s="314"/>
      <c r="D181" s="1354" t="s">
        <v>1015</v>
      </c>
      <c r="E181" s="2171" t="s">
        <v>2110</v>
      </c>
      <c r="F181" s="2171"/>
      <c r="G181" s="300"/>
    </row>
    <row r="182" spans="1:7" ht="14.25">
      <c r="A182" s="431"/>
      <c r="B182" s="435"/>
      <c r="C182" s="314"/>
      <c r="D182" s="1353"/>
      <c r="E182" s="2171"/>
      <c r="F182" s="2171"/>
      <c r="G182" s="300"/>
    </row>
    <row r="183" spans="1:7" ht="14.25">
      <c r="A183" s="431"/>
      <c r="B183" s="435"/>
      <c r="C183" s="314"/>
      <c r="D183" s="1353"/>
      <c r="E183" s="2171"/>
      <c r="F183" s="2171"/>
      <c r="G183" s="300"/>
    </row>
    <row r="184" spans="1:7" ht="14.25">
      <c r="A184" s="431"/>
      <c r="B184" s="435"/>
      <c r="C184" s="314"/>
      <c r="D184" s="2"/>
      <c r="E184" s="2171"/>
      <c r="F184" s="2171"/>
      <c r="G184" s="300"/>
    </row>
    <row r="185" spans="1:7" ht="13.7" customHeight="1">
      <c r="A185" s="431"/>
      <c r="B185" s="435"/>
      <c r="C185" s="314"/>
      <c r="D185" s="1353" t="s">
        <v>1016</v>
      </c>
      <c r="E185" s="2217" t="s">
        <v>2109</v>
      </c>
      <c r="F185" s="2217"/>
      <c r="G185" s="300"/>
    </row>
    <row r="186" spans="1:7" ht="13.7" customHeight="1">
      <c r="A186" s="431"/>
      <c r="B186" s="435"/>
      <c r="C186" s="314"/>
      <c r="D186" s="1353"/>
      <c r="E186" s="2217"/>
      <c r="F186" s="2217"/>
      <c r="G186" s="300"/>
    </row>
    <row r="187" spans="1:7" ht="13.7" customHeight="1">
      <c r="A187" s="431"/>
      <c r="B187" s="435"/>
      <c r="C187" s="314"/>
      <c r="D187" s="1353"/>
      <c r="E187" s="2217"/>
      <c r="F187" s="2217"/>
      <c r="G187" s="300"/>
    </row>
    <row r="188" spans="1:7" ht="13.7" customHeight="1">
      <c r="A188" s="431"/>
      <c r="B188" s="435"/>
      <c r="C188" s="314"/>
      <c r="D188" s="1353"/>
      <c r="E188" s="2217"/>
      <c r="F188" s="2217"/>
      <c r="G188" s="300"/>
    </row>
    <row r="189" spans="1:7" ht="13.7" customHeight="1">
      <c r="A189" s="431"/>
      <c r="B189" s="435"/>
      <c r="C189" s="314"/>
      <c r="D189" s="1353"/>
      <c r="E189" s="2217"/>
      <c r="F189" s="2217"/>
      <c r="G189" s="300"/>
    </row>
    <row r="190" spans="1:7" ht="14.25">
      <c r="A190" s="431"/>
      <c r="B190" s="435"/>
      <c r="C190" s="314"/>
      <c r="D190" s="2"/>
      <c r="E190" s="2217"/>
      <c r="F190" s="2217"/>
      <c r="G190" s="300"/>
    </row>
    <row r="191" spans="1:7" ht="14.25">
      <c r="A191" s="431"/>
      <c r="B191" s="435"/>
      <c r="C191" s="314"/>
      <c r="D191" s="2"/>
      <c r="E191" s="2217"/>
      <c r="F191" s="2217"/>
      <c r="G191" s="300"/>
    </row>
    <row r="192" spans="1:7" ht="12.75">
      <c r="A192" s="435"/>
      <c r="B192" s="435"/>
      <c r="C192" s="314"/>
      <c r="D192" s="294"/>
      <c r="E192" s="295"/>
      <c r="F192" s="295"/>
      <c r="G192" s="300"/>
    </row>
    <row r="193" spans="1:7" ht="14.25">
      <c r="A193" s="431"/>
      <c r="B193" s="1000" t="s">
        <v>85</v>
      </c>
      <c r="C193" s="314"/>
      <c r="D193" s="2178" t="s">
        <v>1784</v>
      </c>
      <c r="E193" s="2178"/>
      <c r="F193" s="2178"/>
      <c r="G193" s="300"/>
    </row>
    <row r="194" spans="1:7" ht="14.25">
      <c r="A194" s="431"/>
      <c r="B194" s="431"/>
      <c r="C194" s="314"/>
      <c r="D194" s="2178"/>
      <c r="E194" s="2178"/>
      <c r="F194" s="2178"/>
      <c r="G194" s="300"/>
    </row>
    <row r="195" spans="1:7" ht="14.25">
      <c r="A195" s="431"/>
      <c r="B195" s="431"/>
      <c r="C195" s="314"/>
      <c r="D195" s="2178"/>
      <c r="E195" s="2178"/>
      <c r="F195" s="2178"/>
      <c r="G195" s="300"/>
    </row>
    <row r="196" spans="1:7" ht="14.25">
      <c r="A196" s="431"/>
      <c r="B196" s="431"/>
      <c r="C196" s="314"/>
      <c r="D196" s="2178"/>
      <c r="E196" s="2178"/>
      <c r="F196" s="2178"/>
      <c r="G196" s="300"/>
    </row>
    <row r="197" spans="1:7" ht="12.75">
      <c r="A197" s="435"/>
      <c r="B197" s="435"/>
      <c r="C197" s="314"/>
      <c r="D197" s="2269" t="s">
        <v>2107</v>
      </c>
      <c r="E197" s="2269"/>
      <c r="F197" s="2269"/>
      <c r="G197" s="300"/>
    </row>
    <row r="198" spans="1:7" ht="12.75">
      <c r="A198" s="435"/>
      <c r="B198" s="435"/>
      <c r="C198" s="314"/>
      <c r="D198" s="1037"/>
      <c r="E198" s="1037"/>
      <c r="F198" s="1037"/>
      <c r="G198" s="300"/>
    </row>
    <row r="199" spans="1:7" ht="14.25">
      <c r="A199" s="431"/>
      <c r="B199" s="1000" t="s">
        <v>85</v>
      </c>
      <c r="C199" s="314"/>
      <c r="D199" s="2268" t="s">
        <v>1785</v>
      </c>
      <c r="E199" s="2268"/>
      <c r="F199" s="2268"/>
      <c r="G199" s="300"/>
    </row>
    <row r="200" spans="1:7" ht="12.75">
      <c r="A200" s="435"/>
      <c r="B200" s="435"/>
      <c r="C200" s="314"/>
      <c r="D200" s="295"/>
      <c r="E200" s="295"/>
      <c r="F200" s="295"/>
      <c r="G200" s="300"/>
    </row>
    <row r="201" spans="1:7" ht="12.75">
      <c r="A201" s="2215" t="s">
        <v>1569</v>
      </c>
      <c r="B201" s="2215"/>
      <c r="C201" s="2215"/>
      <c r="D201" s="2215"/>
      <c r="E201" s="2215"/>
      <c r="F201" s="2215"/>
      <c r="G201" s="2215"/>
    </row>
    <row r="202" spans="1:7" ht="12.75">
      <c r="A202" s="435"/>
      <c r="B202" s="435"/>
      <c r="C202" s="314"/>
      <c r="D202" s="294"/>
      <c r="E202" s="295"/>
      <c r="F202" s="295"/>
      <c r="G202" s="300"/>
    </row>
    <row r="203" spans="1:7" ht="12.75">
      <c r="A203" s="152"/>
      <c r="B203" s="152"/>
      <c r="C203" s="977"/>
      <c r="D203" s="2233" t="s">
        <v>1568</v>
      </c>
      <c r="E203" s="2233"/>
      <c r="F203" s="2233"/>
      <c r="G203" s="300"/>
    </row>
    <row r="204" spans="1:7" ht="12.75">
      <c r="A204" s="978"/>
      <c r="B204" s="978"/>
      <c r="C204" s="977"/>
      <c r="D204" s="2233" t="s">
        <v>770</v>
      </c>
      <c r="E204" s="2233"/>
      <c r="F204" s="2233"/>
      <c r="G204" s="300"/>
    </row>
    <row r="205" spans="1:7" ht="12.75">
      <c r="A205" s="432"/>
      <c r="B205" s="432"/>
      <c r="C205" s="310"/>
      <c r="D205" s="2252" t="s">
        <v>1605</v>
      </c>
      <c r="E205" s="2252"/>
      <c r="F205" s="2252"/>
      <c r="G205" s="300"/>
    </row>
    <row r="206" spans="1:7" ht="12.75">
      <c r="A206" s="432"/>
      <c r="B206" s="432"/>
      <c r="C206" s="310"/>
      <c r="D206" s="295"/>
      <c r="E206" s="295"/>
      <c r="F206" s="295"/>
      <c r="G206" s="300"/>
    </row>
    <row r="207" spans="1:7" ht="12.75">
      <c r="A207" s="432"/>
      <c r="B207" s="432"/>
      <c r="C207" s="310"/>
      <c r="D207" s="2226" t="s">
        <v>1615</v>
      </c>
      <c r="E207" s="2226"/>
      <c r="F207" s="2226"/>
      <c r="G207" s="300"/>
    </row>
    <row r="208" spans="1:7" ht="12.75">
      <c r="A208" s="432"/>
      <c r="B208" s="432"/>
      <c r="C208" s="310"/>
      <c r="D208" s="2226"/>
      <c r="E208" s="2226"/>
      <c r="F208" s="2226"/>
      <c r="G208" s="300"/>
    </row>
    <row r="209" spans="1:7" ht="12.75">
      <c r="A209" s="432"/>
      <c r="B209" s="432"/>
      <c r="C209" s="310"/>
      <c r="D209" s="2226"/>
      <c r="E209" s="2226"/>
      <c r="F209" s="2226"/>
      <c r="G209" s="300"/>
    </row>
    <row r="210" spans="1:7" ht="12.75">
      <c r="A210" s="432"/>
      <c r="B210" s="432"/>
      <c r="C210" s="310"/>
      <c r="D210" s="2226"/>
      <c r="E210" s="2226"/>
      <c r="F210" s="2226"/>
      <c r="G210" s="300"/>
    </row>
    <row r="211" spans="1:7" ht="12.75">
      <c r="A211" s="432"/>
      <c r="B211" s="432"/>
      <c r="C211" s="310"/>
      <c r="D211" s="300"/>
      <c r="E211" s="295"/>
      <c r="F211" s="295"/>
      <c r="G211" s="300"/>
    </row>
    <row r="212" spans="1:7" ht="12.75">
      <c r="A212" s="432"/>
      <c r="B212" s="432"/>
      <c r="C212" s="310"/>
      <c r="D212" s="2225" t="s">
        <v>2112</v>
      </c>
      <c r="E212" s="2226"/>
      <c r="F212" s="2226"/>
      <c r="G212" s="300"/>
    </row>
    <row r="213" spans="1:7" ht="12.75">
      <c r="A213" s="432"/>
      <c r="B213" s="432"/>
      <c r="C213" s="310"/>
      <c r="D213" s="2226"/>
      <c r="E213" s="2226"/>
      <c r="F213" s="2226"/>
      <c r="G213" s="300"/>
    </row>
    <row r="214" spans="1:7" ht="12.75">
      <c r="A214" s="432"/>
      <c r="B214" s="432"/>
      <c r="C214" s="310"/>
      <c r="D214" s="2226"/>
      <c r="E214" s="2226"/>
      <c r="F214" s="2226"/>
      <c r="G214" s="300"/>
    </row>
    <row r="215" spans="1:7" ht="12.75">
      <c r="A215" s="432"/>
      <c r="B215" s="432"/>
      <c r="C215" s="310"/>
      <c r="D215" s="2226"/>
      <c r="E215" s="2226"/>
      <c r="F215" s="2226"/>
      <c r="G215" s="300"/>
    </row>
    <row r="216" spans="1:7" ht="12.75">
      <c r="A216" s="432"/>
      <c r="B216" s="432"/>
      <c r="C216" s="310"/>
      <c r="D216" s="2226"/>
      <c r="E216" s="2226"/>
      <c r="F216" s="2226"/>
      <c r="G216" s="300"/>
    </row>
    <row r="217" spans="1:7" ht="12.75">
      <c r="A217" s="432"/>
      <c r="B217" s="432"/>
      <c r="C217" s="310"/>
      <c r="D217" s="2226"/>
      <c r="E217" s="2226"/>
      <c r="F217" s="2226"/>
      <c r="G217" s="300"/>
    </row>
    <row r="218" spans="1:7" ht="12.75">
      <c r="A218" s="433"/>
      <c r="B218" s="433"/>
      <c r="C218" s="311"/>
      <c r="D218" s="294"/>
      <c r="E218" s="295"/>
      <c r="F218" s="295"/>
      <c r="G218" s="300"/>
    </row>
    <row r="219" spans="1:7" ht="14.45" customHeight="1">
      <c r="A219" s="431"/>
      <c r="B219" s="1000" t="s">
        <v>85</v>
      </c>
      <c r="C219" s="311"/>
      <c r="D219" s="2200" t="s">
        <v>324</v>
      </c>
      <c r="E219" s="2200"/>
      <c r="F219" s="2200"/>
      <c r="G219" s="300"/>
    </row>
    <row r="220" spans="1:7" ht="14.25">
      <c r="A220" s="431"/>
      <c r="B220" s="14"/>
      <c r="C220" s="311"/>
      <c r="D220" s="2195" t="s">
        <v>1255</v>
      </c>
      <c r="E220" s="2195"/>
      <c r="F220" s="2195"/>
      <c r="G220" s="300"/>
    </row>
    <row r="221" spans="1:7" ht="14.25">
      <c r="A221" s="431"/>
      <c r="B221" s="431"/>
      <c r="C221" s="311"/>
      <c r="D221" s="1006" t="s">
        <v>1623</v>
      </c>
      <c r="E221" s="2227" t="s">
        <v>1622</v>
      </c>
      <c r="F221" s="2227"/>
      <c r="G221" s="300"/>
    </row>
    <row r="222" spans="1:7" ht="12.75">
      <c r="A222" s="435"/>
      <c r="B222" s="435"/>
      <c r="C222" s="314"/>
      <c r="D222" s="2194" t="s">
        <v>1597</v>
      </c>
      <c r="E222" s="2195"/>
      <c r="F222" s="2195"/>
      <c r="G222" s="300"/>
    </row>
    <row r="223" spans="1:7" ht="12.75">
      <c r="A223" s="435"/>
      <c r="B223" s="435"/>
      <c r="C223" s="314"/>
      <c r="D223" s="295"/>
      <c r="E223" s="295"/>
      <c r="F223" s="295"/>
      <c r="G223" s="300"/>
    </row>
    <row r="224" spans="1:7" ht="14.25">
      <c r="A224" s="431"/>
      <c r="B224" s="1000" t="s">
        <v>85</v>
      </c>
      <c r="C224" s="314"/>
      <c r="D224" s="2195" t="s">
        <v>325</v>
      </c>
      <c r="E224" s="2195"/>
      <c r="F224" s="2195"/>
      <c r="G224" s="300"/>
    </row>
    <row r="225" spans="1:7" ht="14.25">
      <c r="A225" s="431"/>
      <c r="B225" s="14"/>
      <c r="C225" s="314"/>
      <c r="D225" s="2200" t="s">
        <v>1255</v>
      </c>
      <c r="E225" s="2200"/>
      <c r="F225" s="2200"/>
      <c r="G225" s="300"/>
    </row>
    <row r="226" spans="1:7" ht="14.25">
      <c r="A226" s="431"/>
      <c r="B226" s="431"/>
      <c r="C226" s="314"/>
      <c r="D226" s="312" t="s">
        <v>1624</v>
      </c>
      <c r="E226" s="2196" t="s">
        <v>1625</v>
      </c>
      <c r="F226" s="2196"/>
      <c r="G226" s="300"/>
    </row>
    <row r="227" spans="1:7" ht="12.75">
      <c r="A227" s="435"/>
      <c r="B227" s="435"/>
      <c r="C227" s="314"/>
      <c r="D227" s="2195" t="s">
        <v>1598</v>
      </c>
      <c r="E227" s="2195"/>
      <c r="F227" s="2195"/>
      <c r="G227" s="300"/>
    </row>
    <row r="228" spans="1:7" ht="12.75">
      <c r="A228" s="435"/>
      <c r="B228" s="435"/>
      <c r="C228" s="314"/>
      <c r="D228" s="295"/>
      <c r="E228" s="295"/>
      <c r="F228" s="295"/>
      <c r="G228" s="300"/>
    </row>
    <row r="229" spans="1:7" ht="14.25">
      <c r="A229" s="431"/>
      <c r="B229" s="1000" t="s">
        <v>85</v>
      </c>
      <c r="C229" s="314"/>
      <c r="D229" s="2195" t="s">
        <v>714</v>
      </c>
      <c r="E229" s="2195"/>
      <c r="F229" s="2195"/>
      <c r="G229" s="300"/>
    </row>
    <row r="230" spans="1:7" ht="14.25">
      <c r="A230" s="431"/>
      <c r="B230" s="14"/>
      <c r="C230" s="314"/>
      <c r="D230" s="299" t="s">
        <v>1255</v>
      </c>
      <c r="E230" s="295"/>
      <c r="F230" s="295"/>
      <c r="G230" s="300"/>
    </row>
    <row r="231" spans="1:7" ht="14.25">
      <c r="A231" s="431"/>
      <c r="B231" s="431"/>
      <c r="C231" s="314"/>
      <c r="D231" s="312" t="s">
        <v>1623</v>
      </c>
      <c r="E231" s="2196" t="s">
        <v>1626</v>
      </c>
      <c r="F231" s="2196"/>
      <c r="G231" s="300"/>
    </row>
    <row r="232" spans="1:7" ht="14.25">
      <c r="A232" s="431"/>
      <c r="B232" s="431"/>
      <c r="C232" s="314"/>
      <c r="D232" s="2203" t="s">
        <v>1628</v>
      </c>
      <c r="E232" s="2203"/>
      <c r="F232" s="2203"/>
      <c r="G232" s="300"/>
    </row>
    <row r="233" spans="1:7" ht="12.75">
      <c r="A233" s="435"/>
      <c r="B233" s="435"/>
      <c r="C233" s="314"/>
      <c r="D233" s="2203"/>
      <c r="E233" s="2203"/>
      <c r="F233" s="2203"/>
      <c r="G233" s="300"/>
    </row>
    <row r="234" spans="1:7" ht="12.75">
      <c r="A234" s="435"/>
      <c r="B234" s="435"/>
      <c r="C234" s="314"/>
      <c r="D234" s="2203"/>
      <c r="E234" s="2203"/>
      <c r="F234" s="2203"/>
      <c r="G234" s="300"/>
    </row>
    <row r="235" spans="1:7" ht="12.75">
      <c r="A235" s="435"/>
      <c r="B235" s="435"/>
      <c r="C235" s="314"/>
      <c r="D235" s="2203"/>
      <c r="E235" s="2203"/>
      <c r="F235" s="2203"/>
      <c r="G235" s="300"/>
    </row>
    <row r="236" spans="1:7" ht="12.75">
      <c r="A236" s="435"/>
      <c r="B236" s="435"/>
      <c r="C236" s="314"/>
      <c r="D236" s="2203"/>
      <c r="E236" s="2203"/>
      <c r="F236" s="2203"/>
      <c r="G236" s="300"/>
    </row>
    <row r="237" spans="1:7" ht="12.75">
      <c r="A237" s="435"/>
      <c r="B237" s="435"/>
      <c r="C237" s="314"/>
      <c r="D237" s="2203" t="s">
        <v>1599</v>
      </c>
      <c r="E237" s="2203"/>
      <c r="F237" s="2203"/>
      <c r="G237" s="300"/>
    </row>
    <row r="238" spans="1:7" ht="12.75">
      <c r="A238" s="435"/>
      <c r="B238" s="435"/>
      <c r="C238" s="314"/>
      <c r="D238" s="299"/>
      <c r="E238" s="295"/>
      <c r="F238" s="295"/>
      <c r="G238" s="300"/>
    </row>
    <row r="239" spans="1:7" ht="14.25">
      <c r="A239" s="431"/>
      <c r="B239" s="1000" t="s">
        <v>85</v>
      </c>
      <c r="C239" s="314"/>
      <c r="D239" s="2195" t="s">
        <v>715</v>
      </c>
      <c r="E239" s="2195"/>
      <c r="F239" s="2195"/>
      <c r="G239" s="300"/>
    </row>
    <row r="240" spans="1:7" ht="14.25">
      <c r="A240" s="431"/>
      <c r="B240" s="14"/>
      <c r="C240" s="314"/>
      <c r="D240" s="2195" t="s">
        <v>1255</v>
      </c>
      <c r="E240" s="2195"/>
      <c r="F240" s="2195"/>
      <c r="G240" s="300"/>
    </row>
    <row r="241" spans="1:7" ht="14.25">
      <c r="A241" s="431"/>
      <c r="B241" s="431"/>
      <c r="C241" s="314"/>
      <c r="D241" s="312" t="s">
        <v>1623</v>
      </c>
      <c r="E241" s="2196" t="s">
        <v>1629</v>
      </c>
      <c r="F241" s="2196"/>
      <c r="G241" s="300"/>
    </row>
    <row r="242" spans="1:7" ht="12.75">
      <c r="A242" s="435"/>
      <c r="B242" s="435"/>
      <c r="C242" s="314"/>
      <c r="D242" s="2194" t="s">
        <v>2297</v>
      </c>
      <c r="E242" s="2195"/>
      <c r="F242" s="2195"/>
      <c r="G242" s="300"/>
    </row>
    <row r="243" spans="1:7" ht="12.75">
      <c r="A243" s="435"/>
      <c r="B243" s="435"/>
      <c r="C243" s="314"/>
      <c r="D243" s="1452"/>
      <c r="E243" s="1452"/>
      <c r="F243" s="1452"/>
      <c r="G243" s="300"/>
    </row>
    <row r="244" spans="1:7" ht="14.25">
      <c r="A244" s="431"/>
      <c r="B244" s="1454" t="s">
        <v>85</v>
      </c>
      <c r="C244" s="314"/>
      <c r="D244" s="2194" t="s">
        <v>2296</v>
      </c>
      <c r="E244" s="2195"/>
      <c r="F244" s="2195"/>
      <c r="G244" s="300"/>
    </row>
    <row r="245" spans="1:7" ht="14.25">
      <c r="A245" s="431"/>
      <c r="B245" s="14"/>
      <c r="C245" s="314"/>
      <c r="D245" s="2195" t="s">
        <v>1255</v>
      </c>
      <c r="E245" s="2195"/>
      <c r="F245" s="2195"/>
      <c r="G245" s="300"/>
    </row>
    <row r="246" spans="1:7" ht="14.25">
      <c r="A246" s="431"/>
      <c r="B246" s="431"/>
      <c r="C246" s="314"/>
      <c r="D246" s="1453" t="s">
        <v>1623</v>
      </c>
      <c r="E246" s="2196" t="s">
        <v>2298</v>
      </c>
      <c r="F246" s="2196"/>
      <c r="G246" s="300"/>
    </row>
    <row r="247" spans="1:7" ht="12.75">
      <c r="A247" s="435"/>
      <c r="B247" s="435"/>
      <c r="C247" s="314"/>
      <c r="D247" s="2194" t="s">
        <v>2299</v>
      </c>
      <c r="E247" s="2195"/>
      <c r="F247" s="2195"/>
      <c r="G247" s="300"/>
    </row>
    <row r="248" spans="1:7" ht="12.75">
      <c r="A248" s="435"/>
      <c r="B248" s="435"/>
      <c r="C248" s="314"/>
      <c r="D248" s="421"/>
      <c r="E248" s="300"/>
      <c r="F248" s="300"/>
      <c r="G248" s="300"/>
    </row>
    <row r="249" spans="1:7" ht="14.25">
      <c r="A249" s="431"/>
      <c r="B249" s="1000" t="s">
        <v>85</v>
      </c>
      <c r="D249" s="1010" t="s">
        <v>1655</v>
      </c>
      <c r="E249" s="1010"/>
      <c r="F249" s="1010"/>
    </row>
    <row r="250" spans="1:7" ht="14.25">
      <c r="A250" s="431"/>
      <c r="B250" s="2"/>
      <c r="D250" s="2217" t="s">
        <v>2036</v>
      </c>
      <c r="E250" s="2203"/>
      <c r="F250" s="2203"/>
    </row>
    <row r="251" spans="1:7" ht="14.25">
      <c r="A251" s="431"/>
      <c r="B251" s="435"/>
      <c r="D251" s="2203"/>
      <c r="E251" s="2203"/>
      <c r="F251" s="2203"/>
    </row>
    <row r="252" spans="1:7" ht="14.25">
      <c r="A252" s="431"/>
      <c r="B252" s="435"/>
      <c r="D252" s="2203"/>
      <c r="E252" s="2203"/>
      <c r="F252" s="2203"/>
    </row>
    <row r="253" spans="1:7" ht="14.25">
      <c r="A253" s="431"/>
      <c r="B253" s="435"/>
      <c r="D253" s="1009"/>
      <c r="E253" s="1009"/>
      <c r="F253" s="1009"/>
    </row>
    <row r="254" spans="1:7" ht="14.25">
      <c r="A254" s="431"/>
      <c r="B254" s="1000" t="s">
        <v>85</v>
      </c>
      <c r="D254" s="2253" t="s">
        <v>1154</v>
      </c>
      <c r="E254" s="2253"/>
      <c r="F254" s="2253"/>
    </row>
    <row r="255" spans="1:7" ht="14.25">
      <c r="A255" s="431"/>
      <c r="B255" s="435"/>
      <c r="D255" s="1010"/>
      <c r="E255" s="1010"/>
      <c r="F255" s="1010"/>
    </row>
    <row r="256" spans="1:7" ht="12.75">
      <c r="A256" s="2215" t="s">
        <v>1571</v>
      </c>
      <c r="B256" s="2215"/>
      <c r="C256" s="2215"/>
      <c r="D256" s="2215"/>
      <c r="E256" s="2215"/>
      <c r="F256" s="2215"/>
      <c r="G256" s="2215"/>
    </row>
    <row r="257" spans="1:7" ht="12.75">
      <c r="A257" s="152"/>
      <c r="B257" s="152"/>
      <c r="C257" s="14"/>
      <c r="D257" s="299"/>
      <c r="E257" s="294"/>
      <c r="F257" s="294"/>
    </row>
    <row r="258" spans="1:7" ht="12.75">
      <c r="A258" s="152"/>
      <c r="B258" s="152"/>
      <c r="C258" s="976"/>
      <c r="D258" s="2216" t="s">
        <v>1570</v>
      </c>
      <c r="E258" s="2216"/>
      <c r="F258" s="2216"/>
    </row>
    <row r="259" spans="1:7" ht="12.75">
      <c r="A259" s="432"/>
      <c r="B259" s="432"/>
      <c r="C259" s="310"/>
      <c r="D259" s="2200" t="s">
        <v>1606</v>
      </c>
      <c r="E259" s="2200"/>
      <c r="F259" s="2200"/>
    </row>
    <row r="260" spans="1:7" ht="12.75">
      <c r="A260" s="33"/>
      <c r="B260" s="33"/>
      <c r="C260" s="334"/>
      <c r="D260" s="6"/>
      <c r="E260" s="294"/>
      <c r="F260" s="294"/>
    </row>
    <row r="261" spans="1:7" ht="12.75">
      <c r="A261" s="33"/>
      <c r="B261" s="14"/>
      <c r="C261" s="334"/>
      <c r="D261" s="2216" t="s">
        <v>232</v>
      </c>
      <c r="E261" s="2216"/>
      <c r="F261" s="2216"/>
      <c r="G261" s="2"/>
    </row>
    <row r="262" spans="1:7" ht="14.45" customHeight="1">
      <c r="A262" s="431"/>
      <c r="B262" s="1000" t="s">
        <v>85</v>
      </c>
      <c r="C262" s="14"/>
      <c r="D262" s="2203" t="s">
        <v>1796</v>
      </c>
      <c r="E262" s="2203"/>
      <c r="F262" s="2203"/>
      <c r="G262" s="2"/>
    </row>
    <row r="263" spans="1:7" ht="14.25">
      <c r="A263" s="431"/>
      <c r="B263" s="431"/>
      <c r="C263" s="14"/>
      <c r="D263" s="2203"/>
      <c r="E263" s="2203"/>
      <c r="F263" s="2203"/>
      <c r="G263" s="2"/>
    </row>
    <row r="264" spans="1:7" ht="14.25">
      <c r="A264" s="431"/>
      <c r="B264" s="431"/>
      <c r="C264" s="14"/>
      <c r="D264" s="2203"/>
      <c r="E264" s="2203"/>
      <c r="F264" s="2203"/>
      <c r="G264" s="2"/>
    </row>
    <row r="265" spans="1:7" ht="14.45" customHeight="1">
      <c r="A265" s="431"/>
      <c r="B265" s="431"/>
      <c r="C265" s="14"/>
      <c r="D265" s="2203" t="s">
        <v>1797</v>
      </c>
      <c r="E265" s="2203"/>
      <c r="F265" s="2203"/>
      <c r="G265" s="2"/>
    </row>
    <row r="266" spans="1:7" ht="14.25">
      <c r="A266" s="431"/>
      <c r="B266" s="431"/>
      <c r="C266" s="14"/>
      <c r="D266" s="2203"/>
      <c r="E266" s="2203"/>
      <c r="F266" s="2203"/>
      <c r="G266" s="2"/>
    </row>
    <row r="267" spans="1:7" ht="14.25">
      <c r="A267" s="431"/>
      <c r="B267" s="431"/>
      <c r="C267" s="14"/>
      <c r="D267" s="2203"/>
      <c r="E267" s="2203"/>
      <c r="F267" s="2203"/>
      <c r="G267" s="2"/>
    </row>
    <row r="268" spans="1:7" ht="14.25">
      <c r="A268" s="431"/>
      <c r="B268" s="431"/>
      <c r="C268" s="14"/>
      <c r="D268" s="2203"/>
      <c r="E268" s="2203"/>
      <c r="F268" s="2203"/>
      <c r="G268" s="2"/>
    </row>
    <row r="269" spans="1:7" ht="14.25">
      <c r="A269" s="431"/>
      <c r="B269" s="431"/>
      <c r="C269" s="14"/>
      <c r="D269" s="2203"/>
      <c r="E269" s="2203"/>
      <c r="F269" s="2203"/>
      <c r="G269" s="2"/>
    </row>
    <row r="270" spans="1:7" s="804" customFormat="1" ht="14.45" customHeight="1">
      <c r="A270" s="1438"/>
      <c r="B270" s="1435" t="s">
        <v>85</v>
      </c>
      <c r="C270" s="1439"/>
      <c r="D270" s="2197" t="s">
        <v>2280</v>
      </c>
      <c r="E270" s="2197"/>
      <c r="F270" s="2197"/>
      <c r="G270" s="1440"/>
    </row>
    <row r="271" spans="1:7" s="804" customFormat="1" ht="14.25">
      <c r="A271" s="1438"/>
      <c r="B271" s="1439"/>
      <c r="C271" s="1439"/>
      <c r="D271" s="2197"/>
      <c r="E271" s="2197"/>
      <c r="F271" s="2197"/>
      <c r="G271" s="1440"/>
    </row>
    <row r="272" spans="1:7" s="804" customFormat="1" ht="14.25">
      <c r="A272" s="1438"/>
      <c r="B272" s="1439"/>
      <c r="C272" s="1439"/>
      <c r="D272" s="2197"/>
      <c r="E272" s="2197"/>
      <c r="F272" s="2197"/>
      <c r="G272" s="1440"/>
    </row>
    <row r="273" spans="1:7" s="804" customFormat="1" ht="12.75">
      <c r="A273" s="1439"/>
      <c r="B273" s="1439"/>
      <c r="C273" s="1439"/>
      <c r="D273" s="2198" t="s">
        <v>2281</v>
      </c>
      <c r="E273" s="2198"/>
      <c r="F273" s="2198"/>
      <c r="G273" s="1440"/>
    </row>
    <row r="274" spans="1:7" ht="14.25">
      <c r="A274" s="431"/>
      <c r="B274" s="431"/>
      <c r="C274" s="14"/>
      <c r="D274" s="299"/>
      <c r="E274" s="2"/>
      <c r="F274" s="2"/>
      <c r="G274" s="2"/>
    </row>
    <row r="275" spans="1:7" ht="14.25">
      <c r="A275" s="431"/>
      <c r="B275" s="1000" t="s">
        <v>85</v>
      </c>
      <c r="C275" s="14"/>
      <c r="D275" s="2200" t="s">
        <v>1256</v>
      </c>
      <c r="E275" s="2200"/>
      <c r="F275" s="2200"/>
      <c r="G275" s="2"/>
    </row>
    <row r="276" spans="1:7" ht="14.25">
      <c r="A276" s="431"/>
      <c r="B276" s="431"/>
      <c r="C276" s="14"/>
      <c r="D276" s="2200" t="s">
        <v>1798</v>
      </c>
      <c r="E276" s="2200"/>
      <c r="F276" s="2200"/>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85</v>
      </c>
      <c r="C279" s="14"/>
      <c r="D279" s="2203" t="s">
        <v>1799</v>
      </c>
      <c r="E279" s="2203"/>
      <c r="F279" s="2203"/>
    </row>
    <row r="280" spans="1:7" ht="14.25">
      <c r="A280" s="431"/>
      <c r="B280" s="431"/>
      <c r="C280" s="14"/>
      <c r="D280" s="2203"/>
      <c r="E280" s="2203"/>
      <c r="F280" s="2203"/>
    </row>
    <row r="281" spans="1:7" ht="12.75">
      <c r="A281" s="152"/>
      <c r="B281" s="152"/>
      <c r="C281" s="14"/>
      <c r="D281" s="335"/>
      <c r="E281" s="294"/>
      <c r="F281" s="294"/>
    </row>
    <row r="282" spans="1:7" ht="12.75">
      <c r="A282" s="2215" t="s">
        <v>1573</v>
      </c>
      <c r="B282" s="2215"/>
      <c r="C282" s="2215"/>
      <c r="D282" s="2215"/>
      <c r="E282" s="2215"/>
      <c r="F282" s="2215"/>
      <c r="G282" s="2215"/>
    </row>
    <row r="283" spans="1:7" ht="12.75">
      <c r="A283" s="152"/>
      <c r="B283" s="152"/>
      <c r="C283" s="14"/>
      <c r="D283" s="335"/>
      <c r="E283" s="294"/>
      <c r="F283" s="294"/>
    </row>
    <row r="284" spans="1:7" ht="12.75">
      <c r="A284" s="152"/>
      <c r="B284" s="152"/>
      <c r="C284" s="976"/>
      <c r="D284" s="2216" t="s">
        <v>1572</v>
      </c>
      <c r="E284" s="2216"/>
      <c r="F284" s="2216"/>
    </row>
    <row r="285" spans="1:7" ht="12.75">
      <c r="A285" s="432"/>
      <c r="B285" s="432"/>
      <c r="C285" s="310"/>
      <c r="D285" s="299"/>
      <c r="E285" s="294"/>
      <c r="F285" s="294"/>
    </row>
    <row r="286" spans="1:7" ht="12.75">
      <c r="A286" s="433"/>
      <c r="B286" s="433"/>
      <c r="C286" s="311"/>
      <c r="D286" s="2216" t="s">
        <v>234</v>
      </c>
      <c r="E286" s="2216"/>
      <c r="F286" s="2216"/>
    </row>
    <row r="287" spans="1:7" ht="14.45" customHeight="1">
      <c r="A287" s="431"/>
      <c r="B287" s="1000" t="s">
        <v>85</v>
      </c>
      <c r="C287" s="14"/>
      <c r="D287" s="2217" t="s">
        <v>2212</v>
      </c>
      <c r="E287" s="2203"/>
      <c r="F287" s="2203"/>
    </row>
    <row r="288" spans="1:7" ht="12.75">
      <c r="A288" s="152"/>
      <c r="B288" s="152"/>
      <c r="C288" s="14"/>
      <c r="D288" s="2203"/>
      <c r="E288" s="2203"/>
      <c r="F288" s="2203"/>
    </row>
    <row r="289" spans="1:7" ht="12.75">
      <c r="A289" s="152"/>
      <c r="B289" s="152"/>
      <c r="C289" s="14"/>
      <c r="D289" s="2203"/>
      <c r="E289" s="2203"/>
      <c r="F289" s="2203"/>
    </row>
    <row r="290" spans="1:7" ht="12.75">
      <c r="A290" s="1078"/>
      <c r="B290" s="1078"/>
      <c r="C290" s="14"/>
      <c r="D290" s="1434"/>
      <c r="E290" s="1434"/>
      <c r="F290" s="1434"/>
    </row>
    <row r="291" spans="1:7" s="804" customFormat="1" ht="14.45" customHeight="1">
      <c r="A291" s="1438"/>
      <c r="B291" s="1435" t="s">
        <v>85</v>
      </c>
      <c r="C291" s="1439"/>
      <c r="D291" s="2197" t="s">
        <v>2282</v>
      </c>
      <c r="E291" s="2197"/>
      <c r="F291" s="2197"/>
      <c r="G291" s="1440"/>
    </row>
    <row r="292" spans="1:7" s="804" customFormat="1" ht="12.75">
      <c r="A292" s="1439"/>
      <c r="B292" s="1439"/>
      <c r="C292" s="1439"/>
      <c r="D292" s="2197"/>
      <c r="E292" s="2197"/>
      <c r="F292" s="2197"/>
      <c r="G292" s="1440"/>
    </row>
    <row r="293" spans="1:7" s="804" customFormat="1" ht="12.75">
      <c r="A293" s="1439"/>
      <c r="B293" s="1439"/>
      <c r="C293" s="1439"/>
      <c r="D293" s="2197"/>
      <c r="E293" s="2197"/>
      <c r="F293" s="2197"/>
      <c r="G293" s="1440"/>
    </row>
    <row r="294" spans="1:7" s="804" customFormat="1" ht="12.75">
      <c r="A294" s="1439"/>
      <c r="B294" s="1439"/>
      <c r="C294" s="1439"/>
      <c r="D294" s="2199" t="s">
        <v>2283</v>
      </c>
      <c r="E294" s="2199"/>
      <c r="F294" s="2199"/>
      <c r="G294" s="1440"/>
    </row>
    <row r="295" spans="1:7" ht="12.75">
      <c r="A295" s="152"/>
      <c r="B295" s="152"/>
      <c r="C295" s="14"/>
      <c r="D295" s="349"/>
      <c r="E295" s="294"/>
      <c r="F295" s="294"/>
    </row>
    <row r="296" spans="1:7" ht="12.75">
      <c r="A296" s="2215" t="s">
        <v>1574</v>
      </c>
      <c r="B296" s="2215"/>
      <c r="C296" s="2215"/>
      <c r="D296" s="2215"/>
      <c r="E296" s="2215"/>
      <c r="F296" s="2215"/>
      <c r="G296" s="2215"/>
    </row>
    <row r="297" spans="1:7" ht="12.75">
      <c r="A297" s="152"/>
      <c r="B297" s="152"/>
      <c r="C297" s="14"/>
      <c r="D297" s="349"/>
      <c r="E297" s="294"/>
      <c r="F297" s="294"/>
    </row>
    <row r="298" spans="1:7" ht="12.75">
      <c r="A298" s="152"/>
      <c r="B298" s="152"/>
      <c r="C298" s="310"/>
      <c r="D298" s="2218" t="s">
        <v>1800</v>
      </c>
      <c r="E298" s="2218"/>
      <c r="F298" s="2218"/>
    </row>
    <row r="299" spans="1:7" ht="12.75">
      <c r="A299" s="152"/>
      <c r="B299" s="152"/>
      <c r="C299" s="310"/>
      <c r="D299" s="2218"/>
      <c r="E299" s="2218"/>
      <c r="F299" s="2218"/>
    </row>
    <row r="300" spans="1:7" ht="12.75">
      <c r="A300" s="433"/>
      <c r="B300" s="433"/>
      <c r="C300" s="311"/>
      <c r="D300" s="6"/>
      <c r="E300" s="294"/>
      <c r="F300" s="294"/>
    </row>
    <row r="301" spans="1:7" ht="12.75">
      <c r="A301" s="152"/>
      <c r="B301" s="152"/>
      <c r="C301" s="311"/>
      <c r="D301" s="2216" t="s">
        <v>178</v>
      </c>
      <c r="E301" s="2216"/>
      <c r="F301" s="2216"/>
    </row>
    <row r="302" spans="1:7" ht="14.25">
      <c r="A302" s="431"/>
      <c r="B302" s="431"/>
      <c r="C302" s="14"/>
      <c r="D302" s="2220" t="s">
        <v>1801</v>
      </c>
      <c r="E302" s="2220"/>
      <c r="F302" s="2220"/>
    </row>
    <row r="303" spans="1:7" ht="12" customHeight="1">
      <c r="A303" s="152"/>
      <c r="B303" s="152"/>
      <c r="C303" s="14"/>
      <c r="D303" s="294"/>
      <c r="E303" s="294"/>
      <c r="F303" s="294"/>
    </row>
    <row r="304" spans="1:7" ht="14.45" customHeight="1">
      <c r="A304" s="431"/>
      <c r="B304" s="1000" t="s">
        <v>85</v>
      </c>
      <c r="C304" s="14"/>
      <c r="D304" s="2203" t="s">
        <v>1802</v>
      </c>
      <c r="E304" s="2203"/>
      <c r="F304" s="2203"/>
    </row>
    <row r="305" spans="1:7" ht="14.25">
      <c r="A305" s="431"/>
      <c r="B305" s="431"/>
      <c r="C305" s="14"/>
      <c r="D305" s="2203"/>
      <c r="E305" s="2203"/>
      <c r="F305" s="2203"/>
    </row>
    <row r="306" spans="1:7" ht="12.75">
      <c r="A306" s="152"/>
      <c r="B306" s="152"/>
      <c r="C306" s="14"/>
      <c r="D306" s="294"/>
      <c r="E306" s="294"/>
      <c r="F306" s="294"/>
    </row>
    <row r="307" spans="1:7" ht="14.45" customHeight="1">
      <c r="A307" s="431"/>
      <c r="B307" s="1000" t="s">
        <v>85</v>
      </c>
      <c r="C307" s="14"/>
      <c r="D307" s="2204" t="s">
        <v>1803</v>
      </c>
      <c r="E307" s="2204"/>
      <c r="F307" s="2204"/>
    </row>
    <row r="308" spans="1:7" ht="14.25">
      <c r="A308" s="431"/>
      <c r="B308" s="431"/>
      <c r="C308" s="14"/>
      <c r="D308" s="2204"/>
      <c r="E308" s="2204"/>
      <c r="F308" s="2204"/>
    </row>
    <row r="309" spans="1:7" ht="14.25">
      <c r="A309" s="431"/>
      <c r="B309" s="431"/>
      <c r="C309" s="14"/>
      <c r="D309" s="2204"/>
      <c r="E309" s="2204"/>
      <c r="F309" s="2204"/>
    </row>
    <row r="310" spans="1:7" ht="12.75">
      <c r="A310" s="152"/>
      <c r="B310" s="152"/>
      <c r="C310" s="14"/>
      <c r="D310" s="155"/>
      <c r="E310"/>
      <c r="F310"/>
      <c r="G310"/>
    </row>
    <row r="311" spans="1:7" ht="14.25">
      <c r="A311" s="431"/>
      <c r="B311" s="1000" t="s">
        <v>85</v>
      </c>
      <c r="C311" s="14"/>
      <c r="D311" s="2203" t="s">
        <v>1804</v>
      </c>
      <c r="E311" s="2203"/>
      <c r="F311" s="2203"/>
    </row>
    <row r="312" spans="1:7" ht="14.25">
      <c r="A312" s="431"/>
      <c r="B312" s="431"/>
      <c r="C312" s="14"/>
      <c r="D312" s="2203"/>
      <c r="E312" s="2203"/>
      <c r="F312" s="2203"/>
    </row>
    <row r="313" spans="1:7" ht="12.75">
      <c r="A313" s="33"/>
      <c r="B313" s="33"/>
      <c r="C313" s="14"/>
      <c r="D313" s="299"/>
      <c r="E313" s="294"/>
      <c r="F313" s="294"/>
    </row>
    <row r="314" spans="1:7" ht="12.75">
      <c r="A314" s="2215" t="s">
        <v>1561</v>
      </c>
      <c r="B314" s="2215"/>
      <c r="C314" s="2215"/>
      <c r="D314" s="2215"/>
      <c r="E314" s="2215"/>
      <c r="F314" s="2215"/>
      <c r="G314" s="2215"/>
    </row>
    <row r="315" spans="1:7" ht="12.75">
      <c r="A315" s="33"/>
      <c r="B315" s="33"/>
      <c r="C315" s="14"/>
      <c r="D315" s="299"/>
      <c r="E315" s="294"/>
      <c r="F315" s="294"/>
      <c r="G315" s="2"/>
    </row>
    <row r="316" spans="1:7" ht="12.75">
      <c r="A316" s="152"/>
      <c r="B316" s="152"/>
      <c r="C316" s="334"/>
      <c r="D316" s="2216" t="s">
        <v>179</v>
      </c>
      <c r="E316" s="2216"/>
      <c r="F316" s="2216"/>
      <c r="G316" s="2"/>
    </row>
    <row r="317" spans="1:7" ht="12.75">
      <c r="A317" s="152"/>
      <c r="B317" s="152"/>
      <c r="C317" s="334"/>
      <c r="D317" s="2200" t="s">
        <v>1607</v>
      </c>
      <c r="E317" s="2200"/>
      <c r="F317" s="2200"/>
      <c r="G317" s="2"/>
    </row>
    <row r="318" spans="1:7" ht="12.75">
      <c r="A318" s="152"/>
      <c r="B318" s="152"/>
      <c r="C318" s="334"/>
      <c r="D318" s="302"/>
      <c r="E318" s="294"/>
      <c r="F318" s="294"/>
      <c r="G318" s="2"/>
    </row>
    <row r="319" spans="1:7" ht="12.75">
      <c r="A319" s="152"/>
      <c r="B319" s="1000" t="s">
        <v>85</v>
      </c>
      <c r="C319" s="14"/>
      <c r="D319" s="2200" t="s">
        <v>1805</v>
      </c>
      <c r="E319" s="2200"/>
      <c r="F319" s="2200"/>
      <c r="G319" s="2"/>
    </row>
    <row r="320" spans="1:7" ht="14.25">
      <c r="A320" s="596"/>
      <c r="B320" s="596"/>
      <c r="D320" s="736"/>
      <c r="G320" s="2"/>
    </row>
    <row r="321" spans="1:7" ht="14.25">
      <c r="A321" s="431"/>
      <c r="B321" s="1000" t="s">
        <v>85</v>
      </c>
      <c r="C321" s="14"/>
      <c r="D321" s="2200" t="s">
        <v>1806</v>
      </c>
      <c r="E321" s="2200"/>
      <c r="F321" s="2200"/>
      <c r="G321" s="2"/>
    </row>
    <row r="322" spans="1:7" ht="12.75">
      <c r="A322" s="152"/>
      <c r="B322" s="152"/>
      <c r="C322" s="14"/>
      <c r="D322" s="294"/>
      <c r="E322" s="294"/>
      <c r="F322" s="294"/>
      <c r="G322" s="2"/>
    </row>
    <row r="323" spans="1:7" ht="14.45" customHeight="1">
      <c r="A323" s="431"/>
      <c r="B323" s="1000" t="s">
        <v>85</v>
      </c>
      <c r="C323" s="14"/>
      <c r="D323" s="2204" t="s">
        <v>1812</v>
      </c>
      <c r="E323" s="2204"/>
      <c r="F323" s="2204"/>
      <c r="G323" s="2"/>
    </row>
    <row r="324" spans="1:7" ht="14.25">
      <c r="A324" s="431"/>
      <c r="B324" s="431"/>
      <c r="C324" s="14"/>
      <c r="D324" s="2204"/>
      <c r="E324" s="2204"/>
      <c r="F324" s="2204"/>
      <c r="G324" s="2"/>
    </row>
    <row r="325" spans="1:7" ht="14.25">
      <c r="A325" s="431"/>
      <c r="B325" s="431"/>
      <c r="C325" s="14"/>
      <c r="D325" s="2204"/>
      <c r="E325" s="2204"/>
      <c r="F325" s="2204"/>
      <c r="G325" s="2"/>
    </row>
    <row r="326" spans="1:7" ht="14.25">
      <c r="A326" s="431"/>
      <c r="B326" s="431"/>
      <c r="C326" s="14"/>
      <c r="D326" s="2204"/>
      <c r="E326" s="2204"/>
      <c r="F326" s="2204"/>
      <c r="G326" s="2"/>
    </row>
    <row r="327" spans="1:7" ht="14.25">
      <c r="A327" s="431"/>
      <c r="B327" s="431"/>
      <c r="C327" s="14"/>
      <c r="D327" s="2204"/>
      <c r="E327" s="2204"/>
      <c r="F327" s="2204"/>
      <c r="G327" s="2"/>
    </row>
    <row r="328" spans="1:7" ht="14.25">
      <c r="A328" s="431"/>
      <c r="B328" s="431"/>
      <c r="C328" s="14"/>
      <c r="D328" s="2204"/>
      <c r="E328" s="2204"/>
      <c r="F328" s="2204"/>
      <c r="G328" s="2"/>
    </row>
    <row r="329" spans="1:7" ht="14.25">
      <c r="A329" s="431"/>
      <c r="B329" s="431"/>
      <c r="C329" s="14"/>
      <c r="D329" s="2204"/>
      <c r="E329" s="2204"/>
      <c r="F329" s="2204"/>
      <c r="G329" s="2"/>
    </row>
    <row r="330" spans="1:7" ht="14.25">
      <c r="A330" s="431"/>
      <c r="B330" s="431"/>
      <c r="C330" s="14"/>
      <c r="D330" s="2204"/>
      <c r="E330" s="2204"/>
      <c r="F330" s="2204"/>
      <c r="G330" s="2"/>
    </row>
    <row r="331" spans="1:7" ht="14.25">
      <c r="A331" s="431"/>
      <c r="B331" s="431"/>
      <c r="C331" s="14"/>
      <c r="D331" s="2204"/>
      <c r="E331" s="2204"/>
      <c r="F331" s="2204"/>
    </row>
    <row r="332" spans="1:7" ht="14.25">
      <c r="A332" s="431"/>
      <c r="B332" s="431"/>
      <c r="C332" s="14"/>
      <c r="D332" s="2204"/>
      <c r="E332" s="2204"/>
      <c r="F332" s="2204"/>
    </row>
    <row r="333" spans="1:7" ht="14.25">
      <c r="A333" s="431"/>
      <c r="B333" s="431"/>
      <c r="C333" s="14"/>
      <c r="D333" s="2204"/>
      <c r="E333" s="2204"/>
      <c r="F333" s="2204"/>
    </row>
    <row r="334" spans="1:7" ht="14.25">
      <c r="A334" s="431"/>
      <c r="B334" s="431"/>
      <c r="C334" s="14"/>
      <c r="D334" s="2204"/>
      <c r="E334" s="2204"/>
      <c r="F334" s="2204"/>
    </row>
    <row r="335" spans="1:7" ht="14.25">
      <c r="A335" s="431"/>
      <c r="B335" s="431"/>
      <c r="C335" s="14"/>
      <c r="D335" s="2204"/>
      <c r="E335" s="2204"/>
      <c r="F335" s="2204"/>
    </row>
    <row r="336" spans="1:7" ht="14.25">
      <c r="A336" s="431"/>
      <c r="B336" s="431"/>
      <c r="C336" s="14"/>
      <c r="D336" s="2204"/>
      <c r="E336" s="2204"/>
      <c r="F336" s="2204"/>
    </row>
    <row r="337" spans="1:8" ht="14.25">
      <c r="A337" s="431"/>
      <c r="B337" s="431"/>
      <c r="C337" s="14"/>
      <c r="D337" s="2204"/>
      <c r="E337" s="2204"/>
      <c r="F337" s="2204"/>
    </row>
    <row r="338" spans="1:8" ht="12.75">
      <c r="A338" s="152"/>
      <c r="B338" s="152"/>
      <c r="C338" s="14"/>
      <c r="D338" s="294"/>
      <c r="E338" s="294"/>
      <c r="F338" s="294"/>
    </row>
    <row r="339" spans="1:8" s="50" customFormat="1" ht="14.45" customHeight="1">
      <c r="A339" s="431"/>
      <c r="B339" s="1000" t="s">
        <v>85</v>
      </c>
      <c r="C339" s="152"/>
      <c r="D339" s="2204" t="s">
        <v>1807</v>
      </c>
      <c r="E339" s="2204"/>
      <c r="F339" s="2204"/>
      <c r="G339" s="8"/>
      <c r="H339" s="16"/>
    </row>
    <row r="340" spans="1:8" s="50" customFormat="1" ht="12.75">
      <c r="A340" s="152"/>
      <c r="B340" s="152"/>
      <c r="C340" s="152"/>
      <c r="D340" s="2204"/>
      <c r="E340" s="2204"/>
      <c r="F340" s="2204"/>
      <c r="G340" s="8"/>
      <c r="H340" s="16"/>
    </row>
    <row r="341" spans="1:8" s="50" customFormat="1" ht="12.75">
      <c r="A341" s="152"/>
      <c r="B341" s="152"/>
      <c r="C341" s="152"/>
      <c r="D341" s="2204"/>
      <c r="E341" s="2204"/>
      <c r="F341" s="2204"/>
      <c r="G341" s="8"/>
      <c r="H341" s="16"/>
    </row>
    <row r="342" spans="1:8" s="50" customFormat="1" ht="12.75">
      <c r="A342" s="152"/>
      <c r="B342" s="152"/>
      <c r="C342" s="152"/>
      <c r="D342" s="2204"/>
      <c r="E342" s="2204"/>
      <c r="F342" s="2204"/>
      <c r="G342" s="8"/>
      <c r="H342" s="16"/>
    </row>
    <row r="343" spans="1:8" s="50" customFormat="1" ht="12.75">
      <c r="A343" s="152"/>
      <c r="B343" s="152"/>
      <c r="C343" s="152"/>
      <c r="D343" s="2204"/>
      <c r="E343" s="2204"/>
      <c r="F343" s="2204"/>
      <c r="G343" s="8"/>
      <c r="H343" s="16"/>
    </row>
    <row r="344" spans="1:8" s="50" customFormat="1" ht="12.75">
      <c r="A344" s="152"/>
      <c r="B344" s="152"/>
      <c r="C344" s="152"/>
      <c r="D344" s="2204"/>
      <c r="E344" s="2204"/>
      <c r="F344" s="2204"/>
      <c r="G344" s="8"/>
      <c r="H344" s="16"/>
    </row>
    <row r="345" spans="1:8" s="50" customFormat="1" ht="12.75">
      <c r="A345" s="152"/>
      <c r="B345" s="152"/>
      <c r="C345" s="152"/>
      <c r="D345" s="2204"/>
      <c r="E345" s="2204"/>
      <c r="F345" s="2204"/>
      <c r="G345" s="8"/>
      <c r="H345" s="16"/>
    </row>
    <row r="346" spans="1:8" s="50" customFormat="1" ht="12.75">
      <c r="A346" s="152"/>
      <c r="B346" s="152"/>
      <c r="C346" s="152"/>
      <c r="D346" s="2204"/>
      <c r="E346" s="2204"/>
      <c r="F346" s="2204"/>
      <c r="G346" s="8"/>
      <c r="H346" s="16"/>
    </row>
    <row r="347" spans="1:8" s="50" customFormat="1" ht="12.75">
      <c r="A347" s="152"/>
      <c r="B347" s="152"/>
      <c r="C347" s="152"/>
      <c r="D347" s="2204"/>
      <c r="E347" s="2204"/>
      <c r="F347" s="2204"/>
      <c r="G347" s="8"/>
      <c r="H347" s="16"/>
    </row>
    <row r="348" spans="1:8" ht="12.75">
      <c r="A348" s="162"/>
      <c r="B348" s="162"/>
      <c r="E348" s="421"/>
      <c r="F348" s="421"/>
    </row>
    <row r="349" spans="1:8" ht="14.25">
      <c r="A349" s="431"/>
      <c r="B349" s="1000" t="s">
        <v>85</v>
      </c>
      <c r="C349" s="14"/>
      <c r="D349" s="2217" t="s">
        <v>2204</v>
      </c>
      <c r="E349" s="2203"/>
      <c r="F349" s="2203"/>
    </row>
    <row r="350" spans="1:8" ht="12.75">
      <c r="A350" s="152"/>
      <c r="B350" s="152"/>
      <c r="C350" s="14"/>
      <c r="D350" s="2203"/>
      <c r="E350" s="2203"/>
      <c r="F350" s="2203"/>
    </row>
    <row r="351" spans="1:8" ht="12.75">
      <c r="A351" s="152"/>
      <c r="B351" s="152"/>
      <c r="C351" s="14"/>
      <c r="D351" s="2203"/>
      <c r="E351" s="2203"/>
      <c r="F351" s="2203"/>
    </row>
    <row r="352" spans="1:8" ht="12.75">
      <c r="A352" s="152"/>
      <c r="B352" s="152"/>
      <c r="C352" s="14"/>
      <c r="D352" s="2203"/>
      <c r="E352" s="2203"/>
      <c r="F352" s="2203"/>
    </row>
    <row r="353" spans="1:7" ht="12.75">
      <c r="A353" s="1036"/>
      <c r="B353" s="1036"/>
      <c r="C353" s="14"/>
      <c r="D353" s="2203"/>
      <c r="E353" s="2203"/>
      <c r="F353" s="2203"/>
    </row>
    <row r="354" spans="1:7" ht="12.75">
      <c r="A354" s="152"/>
      <c r="B354" s="152"/>
      <c r="C354" s="14"/>
      <c r="D354" s="2203"/>
      <c r="E354" s="2203"/>
      <c r="F354" s="2203"/>
    </row>
    <row r="355" spans="1:7" ht="13.5" thickBot="1">
      <c r="A355" s="152"/>
      <c r="B355" s="152"/>
      <c r="C355" s="14"/>
      <c r="D355" s="1355"/>
      <c r="E355" s="856"/>
      <c r="F355" s="856"/>
      <c r="G355" s="300"/>
    </row>
    <row r="356" spans="1:7" ht="14.25" thickTop="1" thickBot="1">
      <c r="A356" s="152"/>
      <c r="B356" s="152"/>
      <c r="C356" s="152"/>
      <c r="D356" s="2219" t="s">
        <v>1428</v>
      </c>
      <c r="E356" s="2219"/>
      <c r="F356" s="2219"/>
      <c r="G356" s="71"/>
    </row>
    <row r="357" spans="1:7" ht="13.5" thickTop="1">
      <c r="A357" s="152"/>
      <c r="B357" s="152"/>
      <c r="C357" s="152"/>
      <c r="D357" s="2223" t="s">
        <v>1808</v>
      </c>
      <c r="E357" s="2223"/>
      <c r="F357" s="2223"/>
      <c r="G357" s="8"/>
    </row>
    <row r="358" spans="1:7" ht="12.75">
      <c r="A358" s="152"/>
      <c r="B358" s="152"/>
      <c r="C358" s="152"/>
      <c r="D358" s="299"/>
      <c r="E358" s="8"/>
      <c r="F358" s="8"/>
      <c r="G358" s="8"/>
    </row>
    <row r="359" spans="1:7" ht="14.25">
      <c r="A359" s="431"/>
      <c r="B359" s="1000" t="s">
        <v>85</v>
      </c>
      <c r="C359" s="625"/>
      <c r="D359" s="2275" t="s">
        <v>1813</v>
      </c>
      <c r="E359" s="2275"/>
      <c r="F359" s="2275"/>
      <c r="G359" s="8"/>
    </row>
    <row r="360" spans="1:7" ht="14.25">
      <c r="A360" s="431"/>
      <c r="B360" s="431"/>
      <c r="C360" s="625"/>
      <c r="D360" s="694"/>
      <c r="E360" s="8"/>
      <c r="F360" s="8"/>
      <c r="G360" s="8"/>
    </row>
    <row r="361" spans="1:7" ht="14.25">
      <c r="A361" s="431"/>
      <c r="B361" s="1000" t="s">
        <v>85</v>
      </c>
      <c r="C361" s="625"/>
      <c r="D361" s="2221" t="s">
        <v>1816</v>
      </c>
      <c r="E361" s="2222"/>
      <c r="F361" s="2222"/>
      <c r="G361" s="8"/>
    </row>
    <row r="362" spans="1:7" ht="14.25">
      <c r="A362" s="431"/>
      <c r="B362" s="431"/>
      <c r="C362" s="625"/>
      <c r="D362" s="2222"/>
      <c r="E362" s="2222"/>
      <c r="F362" s="2222"/>
      <c r="G362" s="8"/>
    </row>
    <row r="363" spans="1:7" ht="14.25">
      <c r="A363" s="431"/>
      <c r="B363" s="431"/>
      <c r="C363" s="625"/>
      <c r="D363" s="2222"/>
      <c r="E363" s="2222"/>
      <c r="F363" s="2222"/>
      <c r="G363" s="8"/>
    </row>
    <row r="364" spans="1:7" ht="14.25">
      <c r="A364" s="431"/>
      <c r="B364" s="431"/>
      <c r="C364" s="625"/>
      <c r="D364" s="2222"/>
      <c r="E364" s="2222"/>
      <c r="F364" s="2222"/>
      <c r="G364" s="8"/>
    </row>
    <row r="365" spans="1:7" ht="14.25">
      <c r="A365" s="431"/>
      <c r="B365" s="431"/>
      <c r="C365" s="625"/>
      <c r="D365" s="2222"/>
      <c r="E365" s="2222"/>
      <c r="F365" s="2222"/>
      <c r="G365" s="8"/>
    </row>
    <row r="366" spans="1:7" ht="14.25">
      <c r="A366" s="431"/>
      <c r="B366" s="431"/>
      <c r="C366" s="625"/>
      <c r="D366" s="2222"/>
      <c r="E366" s="2222"/>
      <c r="F366" s="2222"/>
      <c r="G366" s="8"/>
    </row>
    <row r="367" spans="1:7" ht="14.25">
      <c r="A367" s="431"/>
      <c r="B367" s="431"/>
      <c r="C367" s="625"/>
      <c r="D367" s="2222"/>
      <c r="E367" s="2222"/>
      <c r="F367" s="2222"/>
      <c r="G367" s="8"/>
    </row>
    <row r="368" spans="1:7" ht="14.25">
      <c r="A368" s="431"/>
      <c r="B368" s="431"/>
      <c r="C368" s="625"/>
      <c r="D368" s="2222"/>
      <c r="E368" s="2222"/>
      <c r="F368" s="2222"/>
      <c r="G368" s="8"/>
    </row>
    <row r="369" spans="1:7" ht="14.25">
      <c r="A369" s="431"/>
      <c r="B369" s="431"/>
      <c r="C369" s="625"/>
      <c r="D369" s="2222"/>
      <c r="E369" s="2222"/>
      <c r="F369" s="2222"/>
      <c r="G369" s="8"/>
    </row>
    <row r="370" spans="1:7" ht="14.25">
      <c r="A370" s="431"/>
      <c r="B370" s="431"/>
      <c r="C370" s="625"/>
      <c r="D370" s="2222"/>
      <c r="E370" s="2222"/>
      <c r="F370" s="2222"/>
      <c r="G370" s="8"/>
    </row>
    <row r="371" spans="1:7" ht="14.25">
      <c r="A371" s="431"/>
      <c r="B371" s="431"/>
      <c r="C371" s="625"/>
      <c r="D371" s="1041"/>
      <c r="E371" s="1041"/>
      <c r="F371" s="1041"/>
      <c r="G371" s="8"/>
    </row>
    <row r="372" spans="1:7" ht="14.25">
      <c r="A372" s="431"/>
      <c r="B372" s="1000" t="s">
        <v>85</v>
      </c>
      <c r="C372" s="625"/>
      <c r="D372" s="2201" t="s">
        <v>1809</v>
      </c>
      <c r="E372" s="2201"/>
      <c r="F372" s="2201"/>
      <c r="G372" s="8"/>
    </row>
    <row r="373" spans="1:7" ht="12.75">
      <c r="A373" s="625"/>
      <c r="B373" s="625"/>
      <c r="C373" s="625"/>
      <c r="D373" s="2201"/>
      <c r="E373" s="2201"/>
      <c r="F373" s="2201"/>
      <c r="G373" s="8"/>
    </row>
    <row r="374" spans="1:7" ht="12.75">
      <c r="A374" s="625"/>
      <c r="B374" s="625"/>
      <c r="C374" s="625"/>
      <c r="D374" s="2201"/>
      <c r="E374" s="2201"/>
      <c r="F374" s="2201"/>
      <c r="G374" s="8"/>
    </row>
    <row r="375" spans="1:7" ht="12.75">
      <c r="A375" s="625"/>
      <c r="B375" s="625"/>
      <c r="C375" s="625"/>
      <c r="D375" s="2201"/>
      <c r="E375" s="2201"/>
      <c r="F375" s="2201"/>
      <c r="G375" s="8"/>
    </row>
    <row r="376" spans="1:7" ht="12.75">
      <c r="A376" s="625"/>
      <c r="B376" s="625"/>
      <c r="C376" s="625"/>
      <c r="D376" s="1045"/>
      <c r="E376" s="1045"/>
      <c r="F376" s="1045"/>
      <c r="G376" s="8"/>
    </row>
    <row r="377" spans="1:7" ht="12.75">
      <c r="A377" s="625"/>
      <c r="B377" s="625"/>
      <c r="C377" s="625"/>
      <c r="D377" s="2201" t="s">
        <v>1810</v>
      </c>
      <c r="E377" s="2201"/>
      <c r="F377" s="2201"/>
      <c r="G377" s="8"/>
    </row>
    <row r="378" spans="1:7" ht="12.75">
      <c r="A378" s="625"/>
      <c r="B378" s="625"/>
      <c r="C378" s="625"/>
      <c r="D378" s="2201"/>
      <c r="E378" s="2201"/>
      <c r="F378" s="2201"/>
      <c r="G378" s="8"/>
    </row>
    <row r="379" spans="1:7" ht="12.75">
      <c r="A379" s="625"/>
      <c r="B379" s="625"/>
      <c r="C379" s="625"/>
      <c r="D379" s="2201"/>
      <c r="E379" s="2201"/>
      <c r="F379" s="2201"/>
      <c r="G379" s="8"/>
    </row>
    <row r="380" spans="1:7" ht="12.75">
      <c r="A380" s="625"/>
      <c r="B380" s="625"/>
      <c r="C380" s="625"/>
      <c r="D380" s="2201"/>
      <c r="E380" s="2201"/>
      <c r="F380" s="2201"/>
      <c r="G380" s="8"/>
    </row>
    <row r="381" spans="1:7" ht="12.75">
      <c r="A381" s="625"/>
      <c r="B381" s="625"/>
      <c r="C381" s="625"/>
      <c r="D381" s="2201"/>
      <c r="E381" s="2201"/>
      <c r="F381" s="2201"/>
      <c r="G381" s="8"/>
    </row>
    <row r="382" spans="1:7" ht="12.75">
      <c r="A382" s="625"/>
      <c r="B382" s="625"/>
      <c r="C382" s="625"/>
      <c r="D382" s="2201"/>
      <c r="E382" s="2201"/>
      <c r="F382" s="2201"/>
      <c r="G382" s="8"/>
    </row>
    <row r="383" spans="1:7" ht="12.75">
      <c r="A383" s="625"/>
      <c r="B383" s="625"/>
      <c r="C383" s="625"/>
      <c r="D383" s="2201"/>
      <c r="E383" s="2201"/>
      <c r="F383" s="2201"/>
      <c r="G383" s="8"/>
    </row>
    <row r="384" spans="1:7" ht="12.75">
      <c r="A384" s="625"/>
      <c r="B384" s="625"/>
      <c r="C384" s="625"/>
      <c r="D384" s="2201"/>
      <c r="E384" s="2201"/>
      <c r="F384" s="2201"/>
      <c r="G384" s="8"/>
    </row>
    <row r="385" spans="1:7" ht="12.75">
      <c r="A385" s="625"/>
      <c r="B385" s="625"/>
      <c r="C385" s="625"/>
      <c r="D385" s="2201"/>
      <c r="E385" s="2201"/>
      <c r="F385" s="2201"/>
      <c r="G385" s="8"/>
    </row>
    <row r="386" spans="1:7" ht="13.7" customHeight="1">
      <c r="A386" s="625"/>
      <c r="B386" s="625"/>
      <c r="C386" s="625"/>
      <c r="D386" s="2202" t="s">
        <v>1814</v>
      </c>
      <c r="E386" s="2202"/>
      <c r="F386" s="2202"/>
      <c r="G386" s="8"/>
    </row>
    <row r="387" spans="1:7" ht="13.7" customHeight="1">
      <c r="A387" s="625"/>
      <c r="B387" s="625"/>
      <c r="C387" s="625"/>
      <c r="D387" s="2202"/>
      <c r="E387" s="2202"/>
      <c r="F387" s="2202"/>
      <c r="G387" s="8"/>
    </row>
    <row r="388" spans="1:7" ht="13.7" customHeight="1">
      <c r="A388" s="625"/>
      <c r="B388" s="625"/>
      <c r="C388" s="625"/>
      <c r="D388" s="2202"/>
      <c r="E388" s="2202"/>
      <c r="F388" s="2202"/>
      <c r="G388" s="8"/>
    </row>
    <row r="389" spans="1:7" ht="13.7" customHeight="1">
      <c r="A389" s="625"/>
      <c r="B389" s="625"/>
      <c r="C389" s="625"/>
      <c r="D389" s="2202"/>
      <c r="E389" s="2202"/>
      <c r="F389" s="2202"/>
      <c r="G389" s="8"/>
    </row>
    <row r="390" spans="1:7" ht="13.7" customHeight="1">
      <c r="A390" s="625"/>
      <c r="B390" s="625"/>
      <c r="C390" s="625"/>
      <c r="D390" s="2202"/>
      <c r="E390" s="2202"/>
      <c r="F390" s="2202"/>
      <c r="G390" s="8"/>
    </row>
    <row r="391" spans="1:7" ht="13.7" customHeight="1">
      <c r="A391" s="625"/>
      <c r="B391" s="625"/>
      <c r="C391" s="625"/>
      <c r="D391" s="2202"/>
      <c r="E391" s="2202"/>
      <c r="F391" s="2202"/>
      <c r="G391" s="8"/>
    </row>
    <row r="392" spans="1:7" ht="13.7" customHeight="1">
      <c r="A392" s="625"/>
      <c r="B392" s="625"/>
      <c r="C392" s="625"/>
      <c r="D392" s="2202"/>
      <c r="E392" s="2202"/>
      <c r="F392" s="2202"/>
      <c r="G392" s="8"/>
    </row>
    <row r="393" spans="1:7" ht="13.7" customHeight="1">
      <c r="A393" s="625"/>
      <c r="B393" s="625"/>
      <c r="C393" s="625"/>
      <c r="D393" s="2202"/>
      <c r="E393" s="2202"/>
      <c r="F393" s="2202"/>
      <c r="G393" s="8"/>
    </row>
    <row r="394" spans="1:7" ht="13.7" customHeight="1">
      <c r="A394" s="625"/>
      <c r="B394" s="625"/>
      <c r="C394" s="625"/>
      <c r="D394" s="2202"/>
      <c r="E394" s="2202"/>
      <c r="F394" s="2202"/>
      <c r="G394" s="8"/>
    </row>
    <row r="395" spans="1:7" ht="13.7" customHeight="1">
      <c r="A395" s="625"/>
      <c r="B395" s="625"/>
      <c r="C395" s="625"/>
      <c r="D395" s="2202"/>
      <c r="E395" s="2202"/>
      <c r="F395" s="2202"/>
      <c r="G395" s="8"/>
    </row>
    <row r="396" spans="1:7" ht="13.7" customHeight="1">
      <c r="A396" s="625"/>
      <c r="B396" s="625"/>
      <c r="C396" s="625"/>
      <c r="D396" s="2202"/>
      <c r="E396" s="2202"/>
      <c r="F396" s="2202"/>
      <c r="G396" s="8"/>
    </row>
    <row r="397" spans="1:7" ht="13.7" customHeight="1">
      <c r="A397" s="625"/>
      <c r="B397" s="625"/>
      <c r="C397" s="625"/>
      <c r="D397" s="2202"/>
      <c r="E397" s="2202"/>
      <c r="F397" s="2202"/>
      <c r="G397" s="8"/>
    </row>
    <row r="398" spans="1:7" ht="13.7" customHeight="1">
      <c r="A398" s="625"/>
      <c r="B398" s="625"/>
      <c r="C398" s="625"/>
      <c r="D398" s="2202"/>
      <c r="E398" s="2202"/>
      <c r="F398" s="2202"/>
      <c r="G398" s="8"/>
    </row>
    <row r="399" spans="1:7" ht="13.7" customHeight="1">
      <c r="A399" s="625"/>
      <c r="B399" s="625"/>
      <c r="C399" s="625"/>
      <c r="D399" s="2202"/>
      <c r="E399" s="2202"/>
      <c r="F399" s="2202"/>
      <c r="G399" s="8"/>
    </row>
    <row r="400" spans="1:7" ht="13.7" customHeight="1">
      <c r="A400" s="625"/>
      <c r="B400" s="625"/>
      <c r="C400" s="625"/>
      <c r="D400" s="2202"/>
      <c r="E400" s="2202"/>
      <c r="F400" s="2202"/>
      <c r="G400" s="8"/>
    </row>
    <row r="401" spans="1:7" ht="13.7" customHeight="1">
      <c r="A401" s="625"/>
      <c r="B401" s="625"/>
      <c r="C401" s="625"/>
      <c r="D401" s="2202"/>
      <c r="E401" s="2202"/>
      <c r="F401" s="2202"/>
      <c r="G401" s="8"/>
    </row>
    <row r="402" spans="1:7" ht="13.7" customHeight="1">
      <c r="A402" s="625"/>
      <c r="B402" s="625"/>
      <c r="C402" s="625"/>
      <c r="D402" s="2202"/>
      <c r="E402" s="2202"/>
      <c r="F402" s="2202"/>
      <c r="G402" s="8"/>
    </row>
    <row r="403" spans="1:7" ht="13.7" customHeight="1">
      <c r="A403" s="625"/>
      <c r="B403" s="625"/>
      <c r="C403" s="625"/>
      <c r="D403" s="2202"/>
      <c r="E403" s="2202"/>
      <c r="F403" s="2202"/>
      <c r="G403" s="8"/>
    </row>
    <row r="404" spans="1:7" ht="12.75">
      <c r="A404" s="625"/>
      <c r="B404" s="625"/>
      <c r="C404" s="625"/>
      <c r="D404" s="853"/>
      <c r="E404" s="8"/>
      <c r="F404" s="8"/>
      <c r="G404" s="8"/>
    </row>
    <row r="405" spans="1:7" ht="13.7" customHeight="1">
      <c r="A405" s="625"/>
      <c r="B405" s="1000" t="s">
        <v>85</v>
      </c>
      <c r="C405" s="625"/>
      <c r="D405" s="2202" t="s">
        <v>1811</v>
      </c>
      <c r="E405" s="2202"/>
      <c r="F405" s="2202"/>
      <c r="G405" s="8"/>
    </row>
    <row r="406" spans="1:7" ht="12.75">
      <c r="A406" s="625"/>
      <c r="B406" s="625"/>
      <c r="C406" s="625"/>
      <c r="D406" s="2202"/>
      <c r="E406" s="2202"/>
      <c r="F406" s="2202"/>
      <c r="G406" s="8"/>
    </row>
    <row r="407" spans="1:7" ht="12.75">
      <c r="A407" s="625"/>
      <c r="B407" s="625"/>
      <c r="C407" s="625"/>
      <c r="D407" s="1412"/>
      <c r="E407" s="1412"/>
      <c r="F407" s="1412"/>
      <c r="G407" s="8"/>
    </row>
    <row r="408" spans="1:7" ht="12.75">
      <c r="A408" s="625"/>
      <c r="B408" s="1414" t="s">
        <v>85</v>
      </c>
      <c r="C408" s="625"/>
      <c r="D408" s="2207" t="s">
        <v>2209</v>
      </c>
      <c r="E408" s="2207"/>
      <c r="F408" s="2207"/>
      <c r="G408" s="8"/>
    </row>
    <row r="409" spans="1:7" ht="12.75">
      <c r="A409" s="625"/>
      <c r="B409" s="625"/>
      <c r="C409" s="625"/>
      <c r="D409" s="2207"/>
      <c r="E409" s="2207"/>
      <c r="F409" s="2207"/>
      <c r="G409" s="8"/>
    </row>
    <row r="410" spans="1:7" ht="12.75">
      <c r="A410" s="625"/>
      <c r="B410" s="625"/>
      <c r="C410" s="625"/>
      <c r="D410" s="2207"/>
      <c r="E410" s="2207"/>
      <c r="F410" s="2207"/>
      <c r="G410" s="8"/>
    </row>
    <row r="411" spans="1:7" ht="12.75">
      <c r="A411" s="625"/>
      <c r="B411" s="625"/>
      <c r="C411" s="625"/>
      <c r="D411" s="2207"/>
      <c r="E411" s="2207"/>
      <c r="F411" s="2207"/>
      <c r="G411" s="8"/>
    </row>
    <row r="412" spans="1:7" ht="12.75">
      <c r="A412" s="625"/>
      <c r="B412" s="625"/>
      <c r="C412" s="625"/>
      <c r="D412" s="2207"/>
      <c r="E412" s="2207"/>
      <c r="F412" s="2207"/>
      <c r="G412" s="8"/>
    </row>
    <row r="413" spans="1:7" ht="12.75">
      <c r="A413" s="625"/>
      <c r="B413" s="625"/>
      <c r="C413" s="625"/>
      <c r="D413" s="2207"/>
      <c r="E413" s="2207"/>
      <c r="F413" s="2207"/>
      <c r="G413" s="8"/>
    </row>
    <row r="414" spans="1:7" ht="14.45" customHeight="1">
      <c r="A414" s="431"/>
      <c r="B414" s="1000" t="s">
        <v>85</v>
      </c>
      <c r="C414" s="625"/>
      <c r="D414" s="2207" t="s">
        <v>2184</v>
      </c>
      <c r="E414" s="2207"/>
      <c r="F414" s="2207"/>
      <c r="G414" s="8"/>
    </row>
    <row r="415" spans="1:7" ht="14.25">
      <c r="A415" s="854"/>
      <c r="B415" s="854"/>
      <c r="C415" s="625"/>
      <c r="D415" s="2207"/>
      <c r="E415" s="2207"/>
      <c r="F415" s="2207"/>
      <c r="G415" s="8"/>
    </row>
    <row r="416" spans="1:7" ht="14.25">
      <c r="A416" s="854"/>
      <c r="B416" s="854"/>
      <c r="C416" s="625"/>
      <c r="D416" s="2207"/>
      <c r="E416" s="2207"/>
      <c r="F416" s="2207"/>
      <c r="G416" s="8"/>
    </row>
    <row r="417" spans="1:7" ht="14.25">
      <c r="A417" s="854"/>
      <c r="B417" s="854"/>
      <c r="C417" s="625"/>
      <c r="D417" s="2207"/>
      <c r="E417" s="2207"/>
      <c r="F417" s="2207"/>
      <c r="G417" s="8"/>
    </row>
    <row r="418" spans="1:7" ht="14.25" customHeight="1">
      <c r="A418" s="854"/>
      <c r="B418" s="854"/>
      <c r="C418" s="625"/>
      <c r="D418" s="2208" t="s">
        <v>2205</v>
      </c>
      <c r="E418" s="2208"/>
      <c r="F418" s="2208"/>
      <c r="G418" s="8"/>
    </row>
    <row r="419" spans="1:7" ht="12.75">
      <c r="A419" s="152"/>
      <c r="B419" s="152"/>
      <c r="C419" s="152"/>
      <c r="D419" s="155"/>
      <c r="E419" s="8"/>
      <c r="F419" s="8"/>
      <c r="G419" s="8"/>
    </row>
    <row r="420" spans="1:7" ht="14.45" customHeight="1">
      <c r="A420" s="431"/>
      <c r="B420" s="1000" t="s">
        <v>85</v>
      </c>
      <c r="C420" s="373"/>
      <c r="D420" s="2203" t="s">
        <v>1817</v>
      </c>
      <c r="E420" s="2203"/>
      <c r="F420" s="2203"/>
      <c r="G420" s="8"/>
    </row>
    <row r="421" spans="1:7" ht="14.25">
      <c r="A421" s="431"/>
      <c r="B421" s="431"/>
      <c r="C421" s="152"/>
      <c r="D421" s="2203"/>
      <c r="E421" s="2203"/>
      <c r="F421" s="2203"/>
      <c r="G421" s="8"/>
    </row>
    <row r="422" spans="1:7" ht="14.25">
      <c r="A422" s="431"/>
      <c r="B422" s="431"/>
      <c r="C422" s="1042"/>
      <c r="D422" s="2203"/>
      <c r="E422" s="2203"/>
      <c r="F422" s="2203"/>
      <c r="G422" s="8"/>
    </row>
    <row r="423" spans="1:7" ht="14.25">
      <c r="A423" s="431"/>
      <c r="B423" s="431"/>
      <c r="C423" s="1042"/>
      <c r="D423" s="2203"/>
      <c r="E423" s="2203"/>
      <c r="F423" s="2203"/>
      <c r="G423" s="8"/>
    </row>
    <row r="424" spans="1:7" ht="14.25">
      <c r="A424" s="431"/>
      <c r="B424" s="431"/>
      <c r="C424" s="1042"/>
      <c r="D424" s="2203"/>
      <c r="E424" s="2203"/>
      <c r="F424" s="2203"/>
      <c r="G424" s="8"/>
    </row>
    <row r="425" spans="1:7" ht="14.25">
      <c r="A425" s="431"/>
      <c r="B425" s="431"/>
      <c r="C425" s="1042"/>
      <c r="D425" s="2203"/>
      <c r="E425" s="2203"/>
      <c r="F425" s="2203"/>
      <c r="G425" s="8"/>
    </row>
    <row r="426" spans="1:7" ht="14.25">
      <c r="A426" s="431"/>
      <c r="B426" s="431"/>
      <c r="C426" s="1042"/>
      <c r="D426" s="2203"/>
      <c r="E426" s="2203"/>
      <c r="F426" s="2203"/>
      <c r="G426" s="8"/>
    </row>
    <row r="427" spans="1:7" ht="14.25">
      <c r="A427" s="431"/>
      <c r="B427" s="431"/>
      <c r="C427" s="1042"/>
      <c r="D427" s="2203"/>
      <c r="E427" s="2203"/>
      <c r="F427" s="2203"/>
      <c r="G427" s="8"/>
    </row>
    <row r="428" spans="1:7" ht="14.25">
      <c r="A428" s="431"/>
      <c r="B428" s="431"/>
      <c r="C428" s="1042"/>
      <c r="D428" s="2203"/>
      <c r="E428" s="2203"/>
      <c r="F428" s="2203"/>
      <c r="G428" s="8"/>
    </row>
    <row r="429" spans="1:7" ht="14.25">
      <c r="A429" s="431"/>
      <c r="B429" s="431"/>
      <c r="C429" s="1042"/>
      <c r="D429" s="2203"/>
      <c r="E429" s="2203"/>
      <c r="F429" s="2203"/>
      <c r="G429" s="8"/>
    </row>
    <row r="430" spans="1:7" ht="14.25">
      <c r="A430" s="431"/>
      <c r="B430" s="431"/>
      <c r="C430" s="1042"/>
      <c r="D430" s="2203"/>
      <c r="E430" s="2203"/>
      <c r="F430" s="2203"/>
      <c r="G430" s="8"/>
    </row>
    <row r="431" spans="1:7" ht="14.25">
      <c r="A431" s="431"/>
      <c r="B431" s="431"/>
      <c r="C431" s="1042"/>
      <c r="D431" s="2203"/>
      <c r="E431" s="2203"/>
      <c r="F431" s="2203"/>
      <c r="G431" s="8"/>
    </row>
    <row r="432" spans="1:7" ht="14.25">
      <c r="A432" s="431"/>
      <c r="B432" s="431"/>
      <c r="C432" s="1042"/>
      <c r="D432" s="2203"/>
      <c r="E432" s="2203"/>
      <c r="F432" s="2203"/>
      <c r="G432" s="8"/>
    </row>
    <row r="433" spans="1:7" ht="14.25">
      <c r="A433" s="431"/>
      <c r="B433" s="431"/>
      <c r="C433" s="1042"/>
      <c r="D433" s="2203"/>
      <c r="E433" s="2203"/>
      <c r="F433" s="2203"/>
      <c r="G433" s="8"/>
    </row>
    <row r="434" spans="1:7" ht="14.25">
      <c r="A434" s="431"/>
      <c r="B434" s="431"/>
      <c r="C434" s="1042"/>
      <c r="D434" s="2203"/>
      <c r="E434" s="2203"/>
      <c r="F434" s="2203"/>
      <c r="G434" s="8"/>
    </row>
    <row r="435" spans="1:7" ht="14.25">
      <c r="A435" s="431"/>
      <c r="B435" s="431"/>
      <c r="C435" s="1042"/>
      <c r="D435" s="2203"/>
      <c r="E435" s="2203"/>
      <c r="F435" s="2203"/>
      <c r="G435" s="8"/>
    </row>
    <row r="436" spans="1:7" ht="14.25">
      <c r="A436" s="431"/>
      <c r="B436" s="431"/>
      <c r="C436" s="1042"/>
      <c r="D436" s="2203"/>
      <c r="E436" s="2203"/>
      <c r="F436" s="2203"/>
      <c r="G436" s="8"/>
    </row>
    <row r="437" spans="1:7" ht="14.25">
      <c r="A437" s="431"/>
      <c r="B437" s="431"/>
      <c r="C437" s="1042"/>
      <c r="D437" s="2203"/>
      <c r="E437" s="2203"/>
      <c r="F437" s="2203"/>
      <c r="G437" s="8"/>
    </row>
    <row r="438" spans="1:7" ht="14.25">
      <c r="A438" s="431"/>
      <c r="B438" s="431"/>
      <c r="C438" s="1042"/>
      <c r="D438" s="2203"/>
      <c r="E438" s="2203"/>
      <c r="F438" s="2203"/>
      <c r="G438" s="8"/>
    </row>
    <row r="439" spans="1:7" ht="14.25">
      <c r="A439" s="431"/>
      <c r="B439" s="431"/>
      <c r="C439" s="1042"/>
      <c r="D439" s="2203"/>
      <c r="E439" s="2203"/>
      <c r="F439" s="2203"/>
      <c r="G439" s="8"/>
    </row>
    <row r="440" spans="1:7" ht="14.25">
      <c r="A440" s="431"/>
      <c r="B440" s="431"/>
      <c r="C440" s="1042"/>
      <c r="D440" s="2203"/>
      <c r="E440" s="2203"/>
      <c r="F440" s="2203"/>
      <c r="G440" s="8"/>
    </row>
    <row r="441" spans="1:7" ht="14.25">
      <c r="A441" s="431"/>
      <c r="B441" s="431"/>
      <c r="C441" s="1042"/>
      <c r="D441" s="2203"/>
      <c r="E441" s="2203"/>
      <c r="F441" s="2203"/>
      <c r="G441" s="8"/>
    </row>
    <row r="442" spans="1:7" ht="14.25">
      <c r="A442" s="431"/>
      <c r="B442" s="431"/>
      <c r="C442" s="1042"/>
      <c r="D442" s="2203"/>
      <c r="E442" s="2203"/>
      <c r="F442" s="2203"/>
      <c r="G442" s="8"/>
    </row>
    <row r="443" spans="1:7" ht="14.25">
      <c r="A443" s="431"/>
      <c r="B443" s="431"/>
      <c r="C443" s="1042"/>
      <c r="D443" s="2203"/>
      <c r="E443" s="2203"/>
      <c r="F443" s="2203"/>
      <c r="G443" s="8"/>
    </row>
    <row r="444" spans="1:7" ht="14.25">
      <c r="A444" s="431"/>
      <c r="B444" s="431"/>
      <c r="C444" s="1042"/>
      <c r="D444" s="2203"/>
      <c r="E444" s="2203"/>
      <c r="F444" s="2203"/>
      <c r="G444" s="8"/>
    </row>
    <row r="445" spans="1:7" ht="14.25">
      <c r="A445" s="431"/>
      <c r="B445" s="431"/>
      <c r="C445" s="1042"/>
      <c r="D445" s="2203"/>
      <c r="E445" s="2203"/>
      <c r="F445" s="2203"/>
      <c r="G445" s="8"/>
    </row>
    <row r="446" spans="1:7" ht="14.25">
      <c r="A446" s="431"/>
      <c r="B446" s="431"/>
      <c r="C446" s="1042"/>
      <c r="D446" s="2203"/>
      <c r="E446" s="2203"/>
      <c r="F446" s="2203"/>
      <c r="G446" s="8"/>
    </row>
    <row r="447" spans="1:7" ht="14.25">
      <c r="A447" s="431"/>
      <c r="B447" s="431"/>
      <c r="C447" s="1042"/>
      <c r="D447" s="2203"/>
      <c r="E447" s="2203"/>
      <c r="F447" s="2203"/>
      <c r="G447" s="8"/>
    </row>
    <row r="448" spans="1:7" ht="14.25">
      <c r="A448" s="431"/>
      <c r="B448" s="431"/>
      <c r="C448" s="1042"/>
      <c r="D448" s="2203"/>
      <c r="E448" s="2203"/>
      <c r="F448" s="2203"/>
      <c r="G448" s="8"/>
    </row>
    <row r="449" spans="1:7" ht="14.25">
      <c r="A449" s="431"/>
      <c r="B449" s="431"/>
      <c r="C449" s="1042"/>
      <c r="D449" s="2203"/>
      <c r="E449" s="2203"/>
      <c r="F449" s="2203"/>
      <c r="G449" s="8"/>
    </row>
    <row r="450" spans="1:7" ht="12.75" hidden="1">
      <c r="A450" s="152"/>
      <c r="B450" s="152"/>
      <c r="C450" s="152"/>
      <c r="D450" s="2203"/>
      <c r="E450" s="2203"/>
      <c r="F450" s="2203"/>
      <c r="G450" s="8"/>
    </row>
    <row r="451" spans="1:7" ht="12.75" hidden="1">
      <c r="A451" s="152"/>
      <c r="B451" s="152"/>
      <c r="C451" s="152"/>
      <c r="D451" s="155"/>
      <c r="E451" s="40"/>
      <c r="F451" s="40"/>
      <c r="G451" s="40"/>
    </row>
    <row r="452" spans="1:7" ht="14.25">
      <c r="A452" s="431"/>
      <c r="B452" s="1000" t="s">
        <v>85</v>
      </c>
      <c r="C452" s="373"/>
      <c r="D452" s="2200" t="s">
        <v>1815</v>
      </c>
      <c r="E452" s="2200"/>
      <c r="F452" s="2200"/>
      <c r="G452" s="8"/>
    </row>
    <row r="453" spans="1:7" ht="12.75">
      <c r="A453" s="152"/>
      <c r="B453" s="152"/>
      <c r="C453" s="152"/>
      <c r="D453" s="2205" t="s">
        <v>2180</v>
      </c>
      <c r="E453" s="2205"/>
      <c r="F453" s="2205"/>
      <c r="G453" s="8"/>
    </row>
    <row r="454" spans="1:7" ht="13.7" customHeight="1">
      <c r="A454" s="152"/>
      <c r="B454" s="152"/>
      <c r="C454" s="152"/>
      <c r="D454" s="2206" t="s">
        <v>2181</v>
      </c>
      <c r="E454" s="2204"/>
      <c r="F454" s="2204"/>
      <c r="G454" s="8"/>
    </row>
    <row r="455" spans="1:7" ht="13.7" customHeight="1">
      <c r="A455" s="1042"/>
      <c r="B455" s="1042"/>
      <c r="C455" s="1042"/>
      <c r="D455" s="2204"/>
      <c r="E455" s="2204"/>
      <c r="F455" s="2204"/>
      <c r="G455" s="8"/>
    </row>
    <row r="456" spans="1:7" ht="13.7" customHeight="1">
      <c r="A456" s="1042"/>
      <c r="B456" s="1042"/>
      <c r="C456" s="1042"/>
      <c r="D456" s="2204"/>
      <c r="E456" s="2204"/>
      <c r="F456" s="2204"/>
      <c r="G456" s="8"/>
    </row>
    <row r="457" spans="1:7" ht="12.75">
      <c r="A457" s="152"/>
      <c r="B457" s="152"/>
      <c r="C457" s="152"/>
      <c r="D457" s="155"/>
      <c r="E457" s="8"/>
      <c r="F457" s="8"/>
      <c r="G457" s="8"/>
    </row>
    <row r="458" spans="1:7" ht="14.45" customHeight="1">
      <c r="A458" s="431"/>
      <c r="B458" s="1000" t="s">
        <v>85</v>
      </c>
      <c r="C458" s="373"/>
      <c r="D458" s="2203" t="s">
        <v>1818</v>
      </c>
      <c r="E458" s="2203"/>
      <c r="F458" s="2203"/>
      <c r="G458" s="8"/>
    </row>
    <row r="459" spans="1:7" ht="12.75">
      <c r="A459" s="152"/>
      <c r="B459" s="152"/>
      <c r="C459" s="152"/>
      <c r="D459" s="2203"/>
      <c r="E459" s="2203"/>
      <c r="F459" s="2203"/>
      <c r="G459" s="8"/>
    </row>
    <row r="460" spans="1:7" ht="12.75">
      <c r="A460" s="152"/>
      <c r="B460" s="152"/>
      <c r="C460" s="152"/>
      <c r="D460" s="2203"/>
      <c r="E460" s="2203"/>
      <c r="F460" s="2203"/>
      <c r="G460" s="8"/>
    </row>
    <row r="461" spans="1:7" ht="12.75">
      <c r="A461" s="1042"/>
      <c r="B461" s="1042"/>
      <c r="C461" s="1042"/>
      <c r="D461" s="1040"/>
      <c r="E461" s="1040"/>
      <c r="F461" s="1040"/>
      <c r="G461" s="8"/>
    </row>
    <row r="462" spans="1:7" ht="14.25">
      <c r="A462" s="152"/>
      <c r="B462" s="1000" t="s">
        <v>85</v>
      </c>
      <c r="C462" s="431"/>
      <c r="D462" s="2206" t="s">
        <v>1988</v>
      </c>
      <c r="E462" s="2204"/>
      <c r="F462" s="2204"/>
      <c r="G462" s="8"/>
    </row>
    <row r="463" spans="1:7" ht="12.75">
      <c r="A463" s="152"/>
      <c r="B463" s="152"/>
      <c r="C463" s="152"/>
      <c r="D463" s="2204"/>
      <c r="E463" s="2204"/>
      <c r="F463" s="2204"/>
      <c r="G463" s="8"/>
    </row>
    <row r="464" spans="1:7" ht="12.75">
      <c r="A464" s="152"/>
      <c r="B464" s="152"/>
      <c r="C464" s="152"/>
      <c r="D464" s="155"/>
      <c r="E464" s="735"/>
      <c r="F464" s="8"/>
      <c r="G464" s="8"/>
    </row>
    <row r="465" spans="1:7" ht="14.25">
      <c r="A465" s="152"/>
      <c r="B465" s="1000" t="s">
        <v>85</v>
      </c>
      <c r="C465" s="431"/>
      <c r="D465" s="2204" t="s">
        <v>1819</v>
      </c>
      <c r="E465" s="2204"/>
      <c r="F465" s="2204"/>
      <c r="G465" s="8"/>
    </row>
    <row r="466" spans="1:7" ht="12.75">
      <c r="A466" s="152"/>
      <c r="B466" s="152"/>
      <c r="C466" s="152"/>
      <c r="D466" s="2204"/>
      <c r="E466" s="2204"/>
      <c r="F466" s="2204"/>
      <c r="G466" s="8"/>
    </row>
    <row r="467" spans="1:7" ht="12.75">
      <c r="A467" s="152"/>
      <c r="B467" s="152"/>
      <c r="C467" s="152"/>
      <c r="D467" s="2204"/>
      <c r="E467" s="2204"/>
      <c r="F467" s="2204"/>
      <c r="G467" s="8"/>
    </row>
    <row r="468" spans="1:7" ht="12.75">
      <c r="A468" s="1042"/>
      <c r="B468" s="1042"/>
      <c r="C468" s="1042"/>
      <c r="D468" s="2204"/>
      <c r="E468" s="2204"/>
      <c r="F468" s="2204"/>
      <c r="G468" s="8"/>
    </row>
    <row r="469" spans="1:7" ht="12.75">
      <c r="A469" s="1042"/>
      <c r="B469" s="1000" t="s">
        <v>85</v>
      </c>
      <c r="C469" s="1042"/>
      <c r="D469" s="2204"/>
      <c r="E469" s="2204"/>
      <c r="F469" s="2204"/>
      <c r="G469" s="8"/>
    </row>
    <row r="470" spans="1:7" ht="12.75">
      <c r="A470" s="1042"/>
      <c r="B470" s="1042"/>
      <c r="C470" s="1042"/>
      <c r="D470" s="2204"/>
      <c r="E470" s="2204"/>
      <c r="F470" s="2204"/>
      <c r="G470" s="8"/>
    </row>
    <row r="471" spans="1:7" ht="12.75">
      <c r="A471" s="1042"/>
      <c r="B471" s="1042"/>
      <c r="C471" s="1042"/>
      <c r="D471" s="2204"/>
      <c r="E471" s="2204"/>
      <c r="F471" s="2204"/>
      <c r="G471" s="8"/>
    </row>
    <row r="472" spans="1:7" ht="12.75">
      <c r="A472" s="1042"/>
      <c r="B472" s="1000" t="s">
        <v>85</v>
      </c>
      <c r="C472" s="1042"/>
      <c r="D472" s="2204"/>
      <c r="E472" s="2204"/>
      <c r="F472" s="2204"/>
      <c r="G472" s="8"/>
    </row>
    <row r="473" spans="1:7" ht="12.75">
      <c r="A473" s="1042"/>
      <c r="B473" s="1042"/>
      <c r="C473" s="1042"/>
      <c r="D473" s="2204"/>
      <c r="E473" s="2204"/>
      <c r="F473" s="2204"/>
      <c r="G473" s="8"/>
    </row>
    <row r="474" spans="1:7" ht="12.75">
      <c r="A474" s="1042"/>
      <c r="B474" s="1042"/>
      <c r="C474" s="1042"/>
      <c r="D474" s="2204"/>
      <c r="E474" s="2204"/>
      <c r="F474" s="2204"/>
      <c r="G474" s="8"/>
    </row>
    <row r="475" spans="1:7" ht="12.75">
      <c r="A475" s="1042"/>
      <c r="B475" s="1042"/>
      <c r="C475" s="1042"/>
      <c r="D475" s="2204"/>
      <c r="E475" s="2204"/>
      <c r="F475" s="2204"/>
      <c r="G475" s="8"/>
    </row>
    <row r="476" spans="1:7" ht="12.75">
      <c r="A476" s="1042"/>
      <c r="B476" s="1000" t="s">
        <v>85</v>
      </c>
      <c r="C476" s="1042"/>
      <c r="D476" s="2204"/>
      <c r="E476" s="2204"/>
      <c r="F476" s="2204"/>
      <c r="G476" s="8"/>
    </row>
    <row r="477" spans="1:7" ht="12.75">
      <c r="A477" s="1042"/>
      <c r="B477" s="1042"/>
      <c r="C477" s="1042"/>
      <c r="D477" s="2204"/>
      <c r="E477" s="2204"/>
      <c r="F477" s="2204"/>
      <c r="G477" s="8"/>
    </row>
    <row r="478" spans="1:7" ht="12.75">
      <c r="A478" s="1042"/>
      <c r="B478" s="1000" t="s">
        <v>85</v>
      </c>
      <c r="C478" s="1042"/>
      <c r="D478" s="2204"/>
      <c r="E478" s="2204"/>
      <c r="F478" s="2204"/>
      <c r="G478" s="8"/>
    </row>
    <row r="479" spans="1:7" ht="12.75">
      <c r="A479" s="1042"/>
      <c r="B479" s="14"/>
      <c r="C479" s="1042"/>
      <c r="D479" s="2204"/>
      <c r="E479" s="2204"/>
      <c r="F479" s="2204"/>
      <c r="G479" s="8"/>
    </row>
    <row r="480" spans="1:7" ht="13.7" customHeight="1">
      <c r="A480" s="152"/>
      <c r="B480" s="1043" t="s">
        <v>85</v>
      </c>
      <c r="C480" s="152"/>
      <c r="D480" s="2204" t="s">
        <v>1820</v>
      </c>
      <c r="E480" s="2204"/>
      <c r="F480" s="2204"/>
      <c r="G480" s="8"/>
    </row>
    <row r="481" spans="1:7" ht="12.75">
      <c r="A481" s="152"/>
      <c r="B481" s="152"/>
      <c r="C481" s="152"/>
      <c r="D481" s="2204"/>
      <c r="E481" s="2204"/>
      <c r="F481" s="2204"/>
      <c r="G481" s="8"/>
    </row>
    <row r="482" spans="1:7" ht="12.75">
      <c r="A482" s="152"/>
      <c r="B482" s="152"/>
      <c r="C482" s="152"/>
      <c r="D482" s="2204"/>
      <c r="E482" s="2204"/>
      <c r="F482" s="2204"/>
      <c r="G482" s="8"/>
    </row>
    <row r="483" spans="1:7" ht="12.75">
      <c r="A483" s="152"/>
      <c r="B483" s="152"/>
      <c r="C483" s="152"/>
      <c r="D483" s="2204"/>
      <c r="E483" s="2204"/>
      <c r="F483" s="2204"/>
      <c r="G483" s="8"/>
    </row>
    <row r="484" spans="1:7" ht="12.75">
      <c r="A484" s="152"/>
      <c r="B484" s="152"/>
      <c r="C484" s="152"/>
      <c r="D484" s="2204"/>
      <c r="E484" s="2204"/>
      <c r="F484" s="2204"/>
      <c r="G484" s="8"/>
    </row>
    <row r="485" spans="1:7" ht="12.75">
      <c r="A485" s="152"/>
      <c r="B485" s="152"/>
      <c r="C485" s="152"/>
      <c r="D485" s="155"/>
      <c r="E485" s="8"/>
      <c r="F485" s="8"/>
      <c r="G485" s="8"/>
    </row>
    <row r="486" spans="1:7" ht="12.75">
      <c r="A486" s="152"/>
      <c r="B486" s="1000" t="s">
        <v>85</v>
      </c>
      <c r="C486" s="152"/>
      <c r="D486" s="2209" t="s">
        <v>1608</v>
      </c>
      <c r="E486" s="2209"/>
      <c r="F486" s="2209"/>
      <c r="G486" s="8"/>
    </row>
    <row r="487" spans="1:7" ht="12.75">
      <c r="A487" s="155"/>
      <c r="B487" s="155"/>
      <c r="C487" s="14"/>
      <c r="D487" s="294"/>
      <c r="E487" s="294"/>
      <c r="F487" s="294"/>
    </row>
    <row r="488" spans="1:7" ht="12.75">
      <c r="A488" s="2215" t="s">
        <v>1562</v>
      </c>
      <c r="B488" s="2215"/>
      <c r="C488" s="2215"/>
      <c r="D488" s="2215"/>
      <c r="E488" s="2215"/>
      <c r="F488" s="2215"/>
      <c r="G488" s="2215"/>
    </row>
    <row r="489" spans="1:7" ht="12.75">
      <c r="A489" s="155"/>
      <c r="B489" s="155"/>
      <c r="C489" s="14"/>
      <c r="D489" s="294"/>
      <c r="E489" s="294"/>
      <c r="F489" s="294"/>
    </row>
    <row r="490" spans="1:7" ht="12.75">
      <c r="A490" s="152"/>
      <c r="B490" s="152"/>
      <c r="C490" s="14"/>
      <c r="D490" s="2210" t="s">
        <v>1264</v>
      </c>
      <c r="E490" s="2210"/>
      <c r="F490" s="2210"/>
    </row>
    <row r="491" spans="1:7" ht="12.75">
      <c r="D491" s="2211" t="s">
        <v>1600</v>
      </c>
      <c r="E491" s="2211"/>
      <c r="F491" s="2211"/>
    </row>
    <row r="492" spans="1:7" ht="14.25">
      <c r="A492" s="431"/>
      <c r="B492" s="431"/>
      <c r="C492" s="14"/>
      <c r="D492" s="695"/>
      <c r="E492" s="294"/>
      <c r="F492" s="294"/>
    </row>
    <row r="493" spans="1:7" ht="14.25">
      <c r="A493" s="431"/>
      <c r="B493" s="1000" t="s">
        <v>85</v>
      </c>
      <c r="C493" s="14"/>
      <c r="D493" s="2212" t="s">
        <v>1821</v>
      </c>
      <c r="E493" s="2212"/>
      <c r="F493" s="2212"/>
    </row>
    <row r="494" spans="1:7" ht="14.25">
      <c r="A494" s="431"/>
      <c r="B494" s="431"/>
      <c r="C494" s="14"/>
      <c r="D494" s="2212"/>
      <c r="E494" s="2212"/>
      <c r="F494" s="2212"/>
    </row>
    <row r="495" spans="1:7" ht="14.25">
      <c r="A495" s="431"/>
      <c r="B495" s="431"/>
      <c r="C495" s="14"/>
      <c r="D495" s="299"/>
      <c r="E495" s="294"/>
      <c r="F495" s="294"/>
    </row>
    <row r="496" spans="1:7" ht="14.25">
      <c r="A496" s="596"/>
      <c r="B496" s="1000" t="s">
        <v>85</v>
      </c>
      <c r="D496" s="2213" t="s">
        <v>2206</v>
      </c>
      <c r="E496" s="2214"/>
      <c r="F496" s="2214"/>
    </row>
    <row r="497" spans="1:7" ht="14.25">
      <c r="A497" s="596"/>
      <c r="B497" s="596"/>
      <c r="D497" s="2214"/>
      <c r="E497" s="2214"/>
      <c r="F497" s="2214"/>
    </row>
    <row r="498" spans="1:7" ht="14.25">
      <c r="A498" s="596"/>
      <c r="B498" s="596"/>
      <c r="D498" s="2214"/>
      <c r="E498" s="2214"/>
      <c r="F498" s="2214"/>
      <c r="G498" s="2"/>
    </row>
    <row r="499" spans="1:7" ht="14.25">
      <c r="A499" s="596"/>
      <c r="B499" s="596"/>
      <c r="D499" s="2214"/>
      <c r="E499" s="2214"/>
      <c r="F499" s="2214"/>
      <c r="G499" s="2"/>
    </row>
    <row r="500" spans="1:7" ht="12.75">
      <c r="A500" s="162"/>
      <c r="B500" s="162"/>
      <c r="G500" s="2"/>
    </row>
    <row r="501" spans="1:7" ht="14.25">
      <c r="A501" s="431"/>
      <c r="B501" s="1000" t="s">
        <v>85</v>
      </c>
      <c r="C501" s="14"/>
      <c r="D501" s="2200" t="s">
        <v>1823</v>
      </c>
      <c r="E501" s="2200"/>
      <c r="F501" s="2200"/>
      <c r="G501" s="2"/>
    </row>
    <row r="502" spans="1:7" ht="12.75">
      <c r="A502" s="152"/>
      <c r="B502" s="152"/>
      <c r="C502" s="14"/>
      <c r="D502" s="299"/>
      <c r="E502" s="294"/>
      <c r="F502" s="294"/>
      <c r="G502" s="2"/>
    </row>
    <row r="503" spans="1:7" ht="14.25">
      <c r="A503" s="431"/>
      <c r="B503" s="1000" t="s">
        <v>85</v>
      </c>
      <c r="C503" s="14"/>
      <c r="D503" s="2203" t="s">
        <v>1824</v>
      </c>
      <c r="E503" s="2203"/>
      <c r="F503" s="2203"/>
      <c r="G503" s="2"/>
    </row>
    <row r="504" spans="1:7" ht="12.75">
      <c r="A504" s="152"/>
      <c r="B504" s="152"/>
      <c r="C504" s="14"/>
      <c r="D504" s="2203"/>
      <c r="E504" s="2203"/>
      <c r="F504" s="2203"/>
      <c r="G504" s="2"/>
    </row>
    <row r="505" spans="1:7" ht="12.75">
      <c r="A505" s="152"/>
      <c r="B505" s="152"/>
      <c r="C505" s="14"/>
      <c r="D505" s="736"/>
      <c r="E505" s="294"/>
      <c r="F505" s="294"/>
      <c r="G505" s="2"/>
    </row>
    <row r="506" spans="1:7" ht="14.25">
      <c r="A506" s="431"/>
      <c r="B506" s="1000" t="s">
        <v>85</v>
      </c>
      <c r="C506" s="14"/>
      <c r="D506" s="2200" t="s">
        <v>1822</v>
      </c>
      <c r="E506" s="2200"/>
      <c r="F506" s="2200"/>
    </row>
    <row r="507" spans="1:7" ht="14.25">
      <c r="A507" s="431"/>
      <c r="B507" s="431"/>
      <c r="C507" s="14"/>
      <c r="D507" s="299"/>
      <c r="E507" s="294"/>
      <c r="F507" s="294"/>
    </row>
    <row r="508" spans="1:7" ht="12.75">
      <c r="A508" s="2215" t="s">
        <v>1563</v>
      </c>
      <c r="B508" s="2215"/>
      <c r="C508" s="2215"/>
      <c r="D508" s="2215"/>
      <c r="E508" s="2215"/>
      <c r="F508" s="2215"/>
      <c r="G508" s="2215"/>
    </row>
    <row r="509" spans="1:7" ht="12" customHeight="1">
      <c r="A509" s="431"/>
      <c r="B509" s="431"/>
      <c r="C509" s="14"/>
      <c r="D509" s="299"/>
      <c r="E509" s="294"/>
      <c r="F509" s="294"/>
    </row>
    <row r="510" spans="1:7" ht="12.75">
      <c r="A510" s="162"/>
      <c r="B510" s="1000" t="s">
        <v>85</v>
      </c>
      <c r="C510" s="424"/>
      <c r="D510" s="2254" t="s">
        <v>1751</v>
      </c>
      <c r="E510" s="2254"/>
      <c r="F510" s="2254"/>
    </row>
    <row r="511" spans="1:7" ht="12.75">
      <c r="A511" s="162"/>
      <c r="C511" s="424"/>
      <c r="D511" s="2254"/>
      <c r="E511" s="2254"/>
      <c r="F511" s="2254"/>
    </row>
    <row r="512" spans="1:7" ht="12.75">
      <c r="A512" s="599"/>
      <c r="B512" s="599"/>
      <c r="C512" s="597"/>
      <c r="D512" s="2254"/>
      <c r="E512" s="2254"/>
      <c r="F512" s="2254"/>
    </row>
    <row r="513" spans="1:7" ht="12.75">
      <c r="A513" s="599"/>
      <c r="B513" s="599"/>
      <c r="C513" s="597"/>
      <c r="D513" s="2254"/>
      <c r="E513" s="2254"/>
      <c r="F513" s="2254"/>
    </row>
    <row r="514" spans="1:7" ht="12.75">
      <c r="A514" s="599"/>
      <c r="B514" s="599"/>
      <c r="C514" s="597"/>
    </row>
    <row r="515" spans="1:7" ht="14.25">
      <c r="A515" s="596"/>
      <c r="C515" s="597"/>
      <c r="D515" s="1437" t="s">
        <v>2285</v>
      </c>
      <c r="E515" s="1441"/>
      <c r="F515" s="1441"/>
    </row>
    <row r="516" spans="1:7" ht="12.75">
      <c r="A516" s="599"/>
      <c r="B516" s="1000" t="s">
        <v>85</v>
      </c>
      <c r="C516" s="597"/>
      <c r="D516" s="2255" t="s">
        <v>1740</v>
      </c>
      <c r="E516" s="2255"/>
      <c r="F516" s="2255"/>
      <c r="G516" s="2"/>
    </row>
    <row r="517" spans="1:7" ht="12.75">
      <c r="A517" s="599"/>
      <c r="B517" s="599"/>
      <c r="C517" s="597"/>
      <c r="D517" s="2255"/>
      <c r="E517" s="2255"/>
      <c r="F517" s="2255"/>
      <c r="G517" s="2"/>
    </row>
    <row r="518" spans="1:7" ht="12.75">
      <c r="A518" s="599"/>
      <c r="B518" s="599"/>
      <c r="C518" s="597"/>
      <c r="D518" s="2255"/>
      <c r="E518" s="2255"/>
      <c r="F518" s="2255"/>
      <c r="G518" s="2"/>
    </row>
    <row r="519" spans="1:7" ht="12.75">
      <c r="A519" s="599"/>
      <c r="B519" s="599"/>
      <c r="C519" s="597"/>
      <c r="D519" s="2255"/>
      <c r="E519" s="2255"/>
      <c r="F519" s="2255"/>
      <c r="G519" s="2"/>
    </row>
    <row r="520" spans="1:7" ht="12.75">
      <c r="A520" s="599"/>
      <c r="B520" s="599"/>
      <c r="C520" s="597"/>
      <c r="D520" s="2255"/>
      <c r="E520" s="2255"/>
      <c r="F520" s="2255"/>
      <c r="G520" s="2"/>
    </row>
    <row r="521" spans="1:7" ht="12.75">
      <c r="A521" s="599"/>
      <c r="B521" s="599"/>
      <c r="C521" s="597"/>
      <c r="D521" s="1436"/>
      <c r="E521" s="1436"/>
      <c r="F521" s="1436"/>
      <c r="G521" s="2"/>
    </row>
    <row r="522" spans="1:7" ht="12.75">
      <c r="A522" s="599"/>
      <c r="B522" s="1000" t="s">
        <v>85</v>
      </c>
      <c r="C522" s="597"/>
      <c r="D522" s="2229" t="s">
        <v>2286</v>
      </c>
      <c r="E522" s="2229"/>
      <c r="F522" s="2229"/>
    </row>
    <row r="523" spans="1:7" ht="12.75">
      <c r="A523" s="599"/>
      <c r="B523" s="599"/>
      <c r="C523" s="597"/>
      <c r="D523" s="2229"/>
      <c r="E523" s="2229"/>
      <c r="F523" s="2229"/>
    </row>
    <row r="524" spans="1:7" ht="12.75">
      <c r="A524" s="599"/>
      <c r="B524" s="599"/>
      <c r="C524" s="597"/>
      <c r="D524" s="1441"/>
      <c r="E524" s="1441"/>
      <c r="F524" s="1441"/>
    </row>
    <row r="525" spans="1:7" ht="12.75">
      <c r="A525" s="599"/>
      <c r="B525" s="1000" t="s">
        <v>85</v>
      </c>
      <c r="C525" s="597"/>
      <c r="D525" s="2255" t="s">
        <v>1738</v>
      </c>
      <c r="E525" s="2255"/>
      <c r="F525" s="2255"/>
    </row>
    <row r="526" spans="1:7" ht="12.75">
      <c r="A526" s="599"/>
      <c r="B526" s="599"/>
      <c r="C526" s="597"/>
      <c r="D526" s="2255"/>
      <c r="E526" s="2255"/>
      <c r="F526" s="2255"/>
    </row>
    <row r="527" spans="1:7" ht="12.75">
      <c r="A527" s="599"/>
      <c r="B527" s="599"/>
      <c r="C527" s="597"/>
      <c r="D527" s="2255"/>
      <c r="E527" s="2255"/>
      <c r="F527" s="2255"/>
      <c r="G527" s="2"/>
    </row>
    <row r="528" spans="1:7" ht="12.75">
      <c r="A528" s="599"/>
      <c r="B528" s="599"/>
      <c r="C528" s="597"/>
      <c r="D528" s="2255"/>
      <c r="E528" s="2255"/>
      <c r="F528" s="2255"/>
      <c r="G528" s="2"/>
    </row>
    <row r="529" spans="1:7" ht="12.75">
      <c r="A529" s="599"/>
      <c r="B529" s="599"/>
      <c r="C529" s="597"/>
      <c r="D529" s="2255"/>
      <c r="E529" s="2255"/>
      <c r="F529" s="2255"/>
      <c r="G529" s="2"/>
    </row>
    <row r="530" spans="1:7" ht="12.75">
      <c r="A530" s="599"/>
      <c r="B530" s="599"/>
      <c r="C530" s="597"/>
      <c r="D530" s="2255"/>
      <c r="E530" s="2255"/>
      <c r="F530" s="2255"/>
      <c r="G530" s="2"/>
    </row>
    <row r="531" spans="1:7" ht="12.75">
      <c r="A531" s="599"/>
      <c r="B531" s="599"/>
      <c r="C531" s="597"/>
      <c r="D531" s="2255"/>
      <c r="E531" s="2255"/>
      <c r="F531" s="2255"/>
      <c r="G531" s="2"/>
    </row>
    <row r="532" spans="1:7" ht="12.75">
      <c r="A532" s="599"/>
      <c r="B532" s="599"/>
      <c r="C532" s="597"/>
      <c r="D532" s="2255"/>
      <c r="E532" s="2255"/>
      <c r="F532" s="2255"/>
      <c r="G532" s="2"/>
    </row>
    <row r="533" spans="1:7" ht="12.75">
      <c r="A533" s="599"/>
      <c r="B533" s="599"/>
      <c r="C533" s="597"/>
      <c r="D533" s="2255"/>
      <c r="E533" s="2255"/>
      <c r="F533" s="2255"/>
      <c r="G533" s="2"/>
    </row>
    <row r="534" spans="1:7" ht="12.75">
      <c r="A534" s="599"/>
      <c r="B534" s="599"/>
      <c r="C534" s="597"/>
      <c r="D534" s="421"/>
      <c r="G534" s="2"/>
    </row>
    <row r="535" spans="1:7" ht="14.25">
      <c r="A535" s="431"/>
      <c r="B535" s="1000" t="s">
        <v>85</v>
      </c>
      <c r="C535" s="336"/>
      <c r="D535" s="2229" t="s">
        <v>1767</v>
      </c>
      <c r="E535" s="2229"/>
      <c r="F535" s="2229"/>
      <c r="G535" s="2"/>
    </row>
    <row r="536" spans="1:7" ht="12.75">
      <c r="A536" s="373"/>
      <c r="B536" s="373"/>
      <c r="C536" s="336"/>
      <c r="D536" s="2229"/>
      <c r="E536" s="2229"/>
      <c r="F536" s="2229"/>
      <c r="G536" s="2"/>
    </row>
    <row r="537" spans="1:7" ht="12.75">
      <c r="A537" s="599"/>
      <c r="B537" s="599"/>
      <c r="C537" s="597"/>
      <c r="D537" s="421"/>
      <c r="G537" s="2"/>
    </row>
    <row r="538" spans="1:7" ht="14.25">
      <c r="A538" s="596"/>
      <c r="B538" s="1000" t="s">
        <v>85</v>
      </c>
      <c r="D538" s="2255" t="s">
        <v>1739</v>
      </c>
      <c r="E538" s="2255"/>
      <c r="F538" s="2255"/>
      <c r="G538" s="2"/>
    </row>
    <row r="539" spans="1:7" ht="14.25">
      <c r="A539" s="596"/>
      <c r="B539" s="596"/>
      <c r="D539" s="2255"/>
      <c r="E539" s="2255"/>
      <c r="F539" s="2255"/>
      <c r="G539" s="2"/>
    </row>
    <row r="540" spans="1:7" ht="12.75">
      <c r="A540" s="162"/>
      <c r="B540" s="162"/>
      <c r="D540" s="2255"/>
      <c r="E540" s="2255"/>
      <c r="F540" s="2255"/>
    </row>
    <row r="541" spans="1:7" ht="12" customHeight="1">
      <c r="A541" s="735"/>
      <c r="B541" s="735"/>
      <c r="C541" s="423"/>
      <c r="E541" s="421"/>
    </row>
    <row r="542" spans="1:7" ht="12.75">
      <c r="A542" s="2215" t="s">
        <v>1575</v>
      </c>
      <c r="B542" s="2215"/>
      <c r="C542" s="2215"/>
      <c r="D542" s="2215"/>
      <c r="E542" s="2215"/>
      <c r="F542" s="2215"/>
      <c r="G542" s="2215"/>
    </row>
    <row r="543" spans="1:7" ht="12" customHeight="1">
      <c r="A543" s="155"/>
      <c r="B543" s="155"/>
      <c r="C543" s="336"/>
      <c r="D543" s="294"/>
      <c r="E543" s="299"/>
      <c r="F543" s="294"/>
    </row>
    <row r="544" spans="1:7" ht="12.75">
      <c r="A544" s="152"/>
      <c r="B544" s="152"/>
      <c r="C544" s="336"/>
      <c r="D544" s="2216" t="s">
        <v>1609</v>
      </c>
      <c r="E544" s="2216"/>
      <c r="F544" s="2216"/>
    </row>
    <row r="545" spans="1:7" ht="12.75">
      <c r="A545" s="152"/>
      <c r="B545" s="152"/>
      <c r="C545" s="14"/>
      <c r="D545" s="294"/>
      <c r="E545" s="294"/>
      <c r="F545" s="294"/>
    </row>
    <row r="546" spans="1:7" ht="12.75">
      <c r="A546" s="152"/>
      <c r="B546" s="1000" t="s">
        <v>85</v>
      </c>
      <c r="C546" s="14"/>
      <c r="D546" s="2203" t="s">
        <v>1786</v>
      </c>
      <c r="E546" s="2203"/>
      <c r="F546" s="2203"/>
    </row>
    <row r="547" spans="1:7" ht="12.75">
      <c r="A547" s="152"/>
      <c r="B547" s="152"/>
      <c r="C547" s="14"/>
      <c r="D547" s="2203"/>
      <c r="E547" s="2203"/>
      <c r="F547" s="2203"/>
    </row>
    <row r="548" spans="1:7" ht="12" customHeight="1">
      <c r="A548" s="373"/>
      <c r="B548" s="373"/>
      <c r="C548" s="336"/>
      <c r="D548" s="299"/>
      <c r="E548" s="294"/>
      <c r="F548" s="294"/>
    </row>
    <row r="549" spans="1:7" ht="14.25">
      <c r="A549" s="431"/>
      <c r="B549" s="1000" t="s">
        <v>85</v>
      </c>
      <c r="C549" s="336"/>
      <c r="D549" s="2203" t="s">
        <v>1787</v>
      </c>
      <c r="E549" s="2203"/>
      <c r="F549" s="2203"/>
    </row>
    <row r="550" spans="1:7" ht="12.75">
      <c r="A550" s="373"/>
      <c r="B550" s="373"/>
      <c r="C550" s="336"/>
      <c r="D550" s="2203"/>
      <c r="E550" s="2203"/>
      <c r="F550" s="2203"/>
    </row>
    <row r="551" spans="1:7" ht="12" customHeight="1">
      <c r="A551" s="373"/>
      <c r="B551" s="373"/>
      <c r="C551" s="336"/>
      <c r="D551" s="299"/>
      <c r="E551" s="294"/>
      <c r="F551" s="294"/>
    </row>
    <row r="552" spans="1:7" ht="12.75">
      <c r="A552" s="2247" t="s">
        <v>1618</v>
      </c>
      <c r="B552" s="2247"/>
      <c r="C552" s="2247"/>
      <c r="D552" s="2247"/>
      <c r="E552" s="2247"/>
      <c r="F552" s="2247"/>
      <c r="G552" s="2247"/>
    </row>
    <row r="553" spans="1:7" ht="12" customHeight="1">
      <c r="A553" s="155"/>
      <c r="B553" s="155"/>
      <c r="C553" s="336"/>
      <c r="D553" s="299"/>
      <c r="E553" s="294"/>
      <c r="F553" s="294"/>
    </row>
    <row r="554" spans="1:7" ht="12.75">
      <c r="A554" s="152"/>
      <c r="B554" s="152"/>
      <c r="C554" s="336"/>
      <c r="D554" s="2216" t="s">
        <v>180</v>
      </c>
      <c r="E554" s="2216"/>
      <c r="F554" s="2216"/>
    </row>
    <row r="555" spans="1:7" ht="12.75">
      <c r="A555" s="152"/>
      <c r="B555" s="152"/>
      <c r="C555" s="336"/>
      <c r="D555" s="2200" t="s">
        <v>1763</v>
      </c>
      <c r="E555" s="2200"/>
      <c r="F555" s="2200"/>
    </row>
    <row r="556" spans="1:7" ht="12.75">
      <c r="A556" s="152"/>
      <c r="B556" s="152"/>
      <c r="C556" s="336"/>
      <c r="D556" s="299"/>
      <c r="E556" s="299"/>
      <c r="F556" s="299"/>
    </row>
    <row r="557" spans="1:7" ht="14.25">
      <c r="A557" s="431"/>
      <c r="B557" s="1000" t="s">
        <v>85</v>
      </c>
      <c r="C557" s="336"/>
      <c r="D557" s="2200" t="s">
        <v>1257</v>
      </c>
      <c r="E557" s="2200"/>
      <c r="F557" s="2200"/>
    </row>
    <row r="558" spans="1:7" ht="12" customHeight="1">
      <c r="A558" s="373"/>
      <c r="B558" s="373"/>
      <c r="C558" s="336"/>
      <c r="D558" s="299"/>
      <c r="E558" s="2"/>
      <c r="F558" s="2"/>
      <c r="G558" s="2"/>
    </row>
    <row r="559" spans="1:7" ht="14.45" customHeight="1">
      <c r="A559" s="431"/>
      <c r="B559" s="1000" t="s">
        <v>85</v>
      </c>
      <c r="C559" s="336"/>
      <c r="D559" s="2203" t="s">
        <v>1762</v>
      </c>
      <c r="E559" s="2203"/>
      <c r="F559" s="2203"/>
      <c r="G559" s="2"/>
    </row>
    <row r="560" spans="1:7" ht="12.75">
      <c r="A560" s="373"/>
      <c r="B560" s="373"/>
      <c r="C560" s="336"/>
      <c r="D560" s="2203"/>
      <c r="E560" s="2203"/>
      <c r="F560" s="2203"/>
      <c r="G560" s="2"/>
    </row>
    <row r="561" spans="1:7" ht="12" customHeight="1">
      <c r="A561" s="373"/>
      <c r="B561" s="373"/>
      <c r="C561" s="336"/>
      <c r="D561" s="299"/>
      <c r="E561" s="2"/>
      <c r="F561" s="2"/>
      <c r="G561" s="2"/>
    </row>
    <row r="562" spans="1:7" ht="14.25">
      <c r="A562" s="431"/>
      <c r="B562" s="1000" t="s">
        <v>85</v>
      </c>
      <c r="C562" s="336"/>
      <c r="D562" s="2203" t="s">
        <v>1764</v>
      </c>
      <c r="E562" s="2203"/>
      <c r="F562" s="2203"/>
      <c r="G562" s="2"/>
    </row>
    <row r="563" spans="1:7" ht="12.75">
      <c r="A563" s="373"/>
      <c r="B563" s="373"/>
      <c r="C563" s="336"/>
      <c r="D563" s="2203"/>
      <c r="E563" s="2203"/>
      <c r="F563" s="2203"/>
      <c r="G563" s="2"/>
    </row>
    <row r="564" spans="1:7" ht="12" customHeight="1">
      <c r="A564" s="373"/>
      <c r="B564" s="373"/>
      <c r="C564" s="336"/>
      <c r="D564" s="299"/>
      <c r="E564" s="2"/>
      <c r="F564" s="2"/>
      <c r="G564" s="2"/>
    </row>
    <row r="565" spans="1:7" ht="14.25">
      <c r="A565" s="431"/>
      <c r="B565" s="1000" t="s">
        <v>85</v>
      </c>
      <c r="C565" s="336"/>
      <c r="D565" s="2203" t="s">
        <v>1765</v>
      </c>
      <c r="E565" s="2203"/>
      <c r="F565" s="2203"/>
      <c r="G565" s="2"/>
    </row>
    <row r="566" spans="1:7" ht="12.75">
      <c r="A566" s="373"/>
      <c r="B566" s="373"/>
      <c r="C566" s="336"/>
      <c r="D566" s="2203"/>
      <c r="E566" s="2203"/>
      <c r="F566" s="2203"/>
      <c r="G566" s="2"/>
    </row>
    <row r="567" spans="1:7" ht="12" customHeight="1">
      <c r="A567" s="373"/>
      <c r="B567" s="373"/>
      <c r="C567" s="336"/>
      <c r="D567" s="299"/>
      <c r="E567" s="2"/>
      <c r="F567" s="2"/>
      <c r="G567" s="2"/>
    </row>
    <row r="568" spans="1:7" ht="14.45" customHeight="1">
      <c r="A568" s="431"/>
      <c r="B568" s="1000" t="s">
        <v>85</v>
      </c>
      <c r="C568" s="336"/>
      <c r="D568" s="2203" t="s">
        <v>1766</v>
      </c>
      <c r="E568" s="2203"/>
      <c r="F568" s="2203"/>
      <c r="G568" s="2"/>
    </row>
    <row r="569" spans="1:7" ht="12.75">
      <c r="A569" s="373"/>
      <c r="B569" s="373"/>
      <c r="C569" s="336"/>
      <c r="D569" s="2203"/>
      <c r="E569" s="2203"/>
      <c r="F569" s="2203"/>
      <c r="G569" s="2"/>
    </row>
    <row r="570" spans="1:7" ht="12.75">
      <c r="A570" s="373"/>
      <c r="B570" s="373"/>
      <c r="C570" s="336"/>
      <c r="D570" s="2203"/>
      <c r="E570" s="2203"/>
      <c r="F570" s="2203"/>
      <c r="G570" s="2"/>
    </row>
    <row r="571" spans="1:7" ht="12.75">
      <c r="A571" s="373"/>
      <c r="B571" s="373"/>
      <c r="C571" s="336"/>
      <c r="D571" s="299"/>
      <c r="E571" s="2"/>
      <c r="F571" s="2"/>
      <c r="G571" s="2"/>
    </row>
    <row r="572" spans="1:7" ht="14.25">
      <c r="A572" s="431"/>
      <c r="B572" s="1000" t="s">
        <v>85</v>
      </c>
      <c r="C572" s="336"/>
      <c r="D572" s="2228" t="s">
        <v>1879</v>
      </c>
      <c r="E572" s="2229"/>
      <c r="F572" s="2229"/>
      <c r="G572" s="2"/>
    </row>
    <row r="573" spans="1:7" ht="12.75">
      <c r="A573" s="373"/>
      <c r="B573" s="373"/>
      <c r="C573" s="336"/>
      <c r="D573" s="2229"/>
      <c r="E573" s="2229"/>
      <c r="F573" s="2229"/>
      <c r="G573" s="2"/>
    </row>
    <row r="574" spans="1:7" ht="12.75">
      <c r="A574" s="373"/>
      <c r="B574" s="373"/>
      <c r="C574" s="336"/>
      <c r="D574" s="735"/>
      <c r="E574" s="294"/>
      <c r="F574" s="294"/>
      <c r="G574" s="2"/>
    </row>
    <row r="575" spans="1:7" ht="14.25">
      <c r="A575" s="431"/>
      <c r="B575" s="1000" t="s">
        <v>85</v>
      </c>
      <c r="C575" s="336"/>
      <c r="D575" s="2203" t="s">
        <v>1768</v>
      </c>
      <c r="E575" s="2203"/>
      <c r="F575" s="2203"/>
      <c r="G575" s="2"/>
    </row>
    <row r="576" spans="1:7" ht="12.75">
      <c r="A576" s="373"/>
      <c r="B576" s="373"/>
      <c r="C576" s="336"/>
      <c r="D576" s="2203"/>
      <c r="E576" s="2203"/>
      <c r="F576" s="2203"/>
      <c r="G576" s="2"/>
    </row>
    <row r="577" spans="1:7" ht="12" customHeight="1">
      <c r="A577" s="373"/>
      <c r="B577" s="373"/>
      <c r="C577" s="336"/>
      <c r="D577" s="299"/>
      <c r="E577" s="294"/>
      <c r="F577" s="294"/>
      <c r="G577" s="2"/>
    </row>
    <row r="578" spans="1:7" ht="14.25">
      <c r="A578" s="431"/>
      <c r="B578" s="1000" t="s">
        <v>85</v>
      </c>
      <c r="C578" s="336"/>
      <c r="D578" s="2200" t="s">
        <v>1769</v>
      </c>
      <c r="E578" s="2200"/>
      <c r="F578" s="2200"/>
      <c r="G578" s="2"/>
    </row>
    <row r="579" spans="1:7" ht="14.25">
      <c r="A579" s="431"/>
      <c r="B579" s="431"/>
      <c r="C579" s="336"/>
      <c r="D579" s="2200" t="s">
        <v>1155</v>
      </c>
      <c r="E579" s="2200"/>
      <c r="F579" s="2200"/>
      <c r="G579" s="2"/>
    </row>
    <row r="580" spans="1:7" ht="12.75">
      <c r="A580" s="428"/>
      <c r="B580" s="428"/>
      <c r="C580" s="423"/>
      <c r="D580" s="294"/>
      <c r="E580" s="2220" t="s">
        <v>1770</v>
      </c>
      <c r="F580" s="2220"/>
      <c r="G580" s="2"/>
    </row>
    <row r="581" spans="1:7" ht="15" customHeight="1">
      <c r="A581" s="428"/>
      <c r="B581" s="428"/>
      <c r="C581" s="423"/>
      <c r="D581" s="2230" t="s">
        <v>2034</v>
      </c>
      <c r="E581" s="2231"/>
      <c r="F581" s="2231"/>
      <c r="G581" s="2"/>
    </row>
    <row r="582" spans="1:7" ht="12.75">
      <c r="A582" s="428"/>
      <c r="B582" s="428"/>
      <c r="C582" s="423"/>
      <c r="D582" s="2231"/>
      <c r="E582" s="2231"/>
      <c r="F582" s="2231"/>
      <c r="G582" s="2"/>
    </row>
    <row r="583" spans="1:7" ht="12.75">
      <c r="A583" s="428"/>
      <c r="B583" s="428"/>
      <c r="C583" s="423"/>
      <c r="D583" s="2231"/>
      <c r="E583" s="2231"/>
      <c r="F583" s="2231"/>
      <c r="G583" s="2"/>
    </row>
    <row r="584" spans="1:7" ht="12.75">
      <c r="A584" s="428"/>
      <c r="B584" s="428"/>
      <c r="C584" s="423"/>
      <c r="D584" s="2231"/>
      <c r="E584" s="2231"/>
      <c r="F584" s="2231"/>
      <c r="G584" s="2"/>
    </row>
    <row r="585" spans="1:7" ht="12.75">
      <c r="A585" s="428"/>
      <c r="B585" s="428"/>
      <c r="C585" s="423"/>
      <c r="D585" s="2231"/>
      <c r="E585" s="2231"/>
      <c r="F585" s="2231"/>
      <c r="G585" s="2"/>
    </row>
    <row r="586" spans="1:7" ht="12.75">
      <c r="A586" s="428"/>
      <c r="B586" s="428"/>
      <c r="C586" s="423"/>
      <c r="D586" s="2231"/>
      <c r="E586" s="2231"/>
      <c r="F586" s="2231"/>
      <c r="G586" s="2"/>
    </row>
    <row r="587" spans="1:7" ht="12.75">
      <c r="A587" s="428"/>
      <c r="B587" s="428"/>
      <c r="C587" s="423"/>
      <c r="D587" s="2231"/>
      <c r="E587" s="2231"/>
      <c r="F587" s="2231"/>
      <c r="G587" s="2"/>
    </row>
    <row r="588" spans="1:7" ht="12.75">
      <c r="A588" s="428"/>
      <c r="B588" s="428"/>
      <c r="C588" s="423"/>
      <c r="D588" s="2231"/>
      <c r="E588" s="2231"/>
      <c r="F588" s="2231"/>
      <c r="G588" s="2"/>
    </row>
    <row r="589" spans="1:7" ht="12.75">
      <c r="A589" s="428"/>
      <c r="B589" s="428"/>
      <c r="C589" s="423"/>
      <c r="D589" s="2231"/>
      <c r="E589" s="2231"/>
      <c r="F589" s="2231"/>
      <c r="G589" s="2"/>
    </row>
    <row r="590" spans="1:7" ht="12.75">
      <c r="A590" s="428"/>
      <c r="B590" s="428"/>
      <c r="C590" s="423"/>
      <c r="D590" s="1004"/>
      <c r="E590" s="1004"/>
      <c r="F590" s="1004"/>
      <c r="G590" s="2"/>
    </row>
    <row r="591" spans="1:7" ht="14.25">
      <c r="A591" s="596"/>
      <c r="B591" s="1000" t="s">
        <v>85</v>
      </c>
      <c r="C591" s="423"/>
      <c r="D591" s="2232" t="s">
        <v>1771</v>
      </c>
      <c r="E591" s="2232"/>
      <c r="F591" s="2232"/>
      <c r="G591" s="2"/>
    </row>
    <row r="592" spans="1:7" ht="13.7" customHeight="1">
      <c r="A592" s="152"/>
      <c r="B592" s="152"/>
      <c r="C592" s="336"/>
      <c r="D592" s="2203" t="s">
        <v>1772</v>
      </c>
      <c r="E592" s="2203"/>
      <c r="F592" s="2203"/>
      <c r="G592" s="2"/>
    </row>
    <row r="593" spans="1:7" ht="12.75">
      <c r="A593" s="373"/>
      <c r="B593" s="373"/>
      <c r="C593" s="336"/>
      <c r="D593" s="2203"/>
      <c r="E593" s="2203"/>
      <c r="F593" s="2203"/>
      <c r="G593" s="2"/>
    </row>
    <row r="594" spans="1:7" ht="12.75">
      <c r="A594" s="373"/>
      <c r="B594" s="373"/>
      <c r="C594" s="336"/>
      <c r="D594" s="2203"/>
      <c r="E594" s="2203"/>
      <c r="F594" s="2203"/>
      <c r="G594" s="2"/>
    </row>
    <row r="595" spans="1:7" ht="12.75">
      <c r="A595" s="373"/>
      <c r="B595" s="373"/>
      <c r="C595" s="336"/>
      <c r="D595" s="1030"/>
      <c r="E595" s="1030"/>
      <c r="F595" s="1030"/>
      <c r="G595" s="2"/>
    </row>
    <row r="596" spans="1:7" ht="14.45" customHeight="1">
      <c r="A596" s="431"/>
      <c r="B596" s="1000" t="s">
        <v>85</v>
      </c>
      <c r="C596" s="336"/>
      <c r="D596" s="2203" t="s">
        <v>1773</v>
      </c>
      <c r="E596" s="2203"/>
      <c r="F596" s="2203"/>
      <c r="G596" s="2"/>
    </row>
    <row r="597" spans="1:7" ht="14.25">
      <c r="A597" s="431"/>
      <c r="B597" s="431"/>
      <c r="C597" s="336"/>
      <c r="D597" s="2203"/>
      <c r="E597" s="2203"/>
      <c r="F597" s="2203"/>
      <c r="G597" s="2"/>
    </row>
    <row r="598" spans="1:7" ht="14.25">
      <c r="A598" s="431"/>
      <c r="B598" s="431"/>
      <c r="C598" s="336"/>
      <c r="D598" s="2203"/>
      <c r="E598" s="2203"/>
      <c r="F598" s="2203"/>
    </row>
    <row r="599" spans="1:7" ht="12.75">
      <c r="A599" s="373"/>
      <c r="B599" s="373"/>
      <c r="C599" s="336"/>
      <c r="D599" s="2203"/>
      <c r="E599" s="2203"/>
      <c r="F599" s="2203"/>
    </row>
    <row r="600" spans="1:7" ht="12.75">
      <c r="A600" s="373"/>
      <c r="B600" s="373"/>
      <c r="C600" s="336"/>
      <c r="D600" s="299"/>
      <c r="E600" s="294"/>
      <c r="F600" s="294"/>
    </row>
    <row r="601" spans="1:7" ht="12.75">
      <c r="A601" s="433"/>
      <c r="B601" s="1000" t="s">
        <v>85</v>
      </c>
      <c r="C601" s="311"/>
      <c r="D601" s="2194" t="s">
        <v>2113</v>
      </c>
      <c r="E601" s="2195"/>
      <c r="F601" s="219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2215" t="s">
        <v>1577</v>
      </c>
      <c r="B604" s="2215"/>
      <c r="C604" s="2215"/>
      <c r="D604" s="2215"/>
      <c r="E604" s="2215"/>
      <c r="F604" s="2215"/>
      <c r="G604" s="2215"/>
    </row>
    <row r="605" spans="1:7" ht="12.75">
      <c r="A605" s="373"/>
      <c r="B605" s="373"/>
      <c r="C605" s="336"/>
      <c r="D605" s="294"/>
      <c r="E605" s="294"/>
      <c r="F605" s="294"/>
    </row>
    <row r="606" spans="1:7" ht="12.75">
      <c r="A606" s="152"/>
      <c r="B606" s="152"/>
      <c r="C606" s="310"/>
      <c r="D606" s="2218" t="s">
        <v>181</v>
      </c>
      <c r="E606" s="2218"/>
      <c r="F606" s="2218"/>
      <c r="G606" s="300"/>
    </row>
    <row r="607" spans="1:7" ht="12.75">
      <c r="A607" s="152"/>
      <c r="B607" s="152"/>
      <c r="C607" s="310"/>
      <c r="D607" s="2224" t="s">
        <v>1640</v>
      </c>
      <c r="E607" s="2224"/>
      <c r="F607" s="2224"/>
      <c r="G607" s="300"/>
    </row>
    <row r="608" spans="1:7" ht="12.75">
      <c r="A608" s="152"/>
      <c r="B608" s="152"/>
      <c r="C608" s="310"/>
      <c r="D608" s="621"/>
      <c r="E608" s="294"/>
      <c r="F608" s="294"/>
      <c r="G608" s="300"/>
    </row>
    <row r="609" spans="1:7" ht="14.25">
      <c r="A609" s="431"/>
      <c r="B609" s="1000" t="s">
        <v>85</v>
      </c>
      <c r="C609" s="14"/>
      <c r="D609" s="2224" t="s">
        <v>1258</v>
      </c>
      <c r="E609" s="2224"/>
      <c r="F609" s="2224"/>
      <c r="G609" s="300"/>
    </row>
    <row r="610" spans="1:7" ht="12.75">
      <c r="A610" s="33"/>
      <c r="B610" s="33"/>
      <c r="C610" s="14"/>
      <c r="D610" s="625"/>
      <c r="E610" s="294"/>
      <c r="F610" s="294"/>
      <c r="G610" s="300"/>
    </row>
    <row r="611" spans="1:7" ht="14.45" customHeight="1">
      <c r="A611" s="431"/>
      <c r="B611" s="1000" t="s">
        <v>85</v>
      </c>
      <c r="C611" s="14"/>
      <c r="D611" s="2214" t="s">
        <v>1642</v>
      </c>
      <c r="E611" s="2214"/>
      <c r="F611" s="2214"/>
      <c r="G611" s="300"/>
    </row>
    <row r="612" spans="1:7" ht="14.45" customHeight="1">
      <c r="A612" s="431"/>
      <c r="B612" s="431"/>
      <c r="C612" s="14"/>
      <c r="D612" s="2214"/>
      <c r="E612" s="2214"/>
      <c r="F612" s="2214"/>
      <c r="G612" s="300"/>
    </row>
    <row r="613" spans="1:7" ht="14.25">
      <c r="A613" s="431"/>
      <c r="B613" s="431"/>
      <c r="C613" s="14"/>
      <c r="D613" s="2214"/>
      <c r="E613" s="2214"/>
      <c r="F613" s="2214"/>
      <c r="G613" s="300"/>
    </row>
    <row r="614" spans="1:7" ht="14.25">
      <c r="A614" s="431"/>
      <c r="B614" s="431"/>
      <c r="C614" s="14"/>
      <c r="D614" s="1008"/>
      <c r="E614" s="1008"/>
      <c r="F614" s="1008"/>
      <c r="G614" s="300"/>
    </row>
    <row r="615" spans="1:7" ht="14.25">
      <c r="A615" s="431"/>
      <c r="B615" s="1000" t="s">
        <v>85</v>
      </c>
      <c r="C615" s="14"/>
      <c r="D615" s="2214" t="s">
        <v>1641</v>
      </c>
      <c r="E615" s="2214"/>
      <c r="F615" s="2214"/>
      <c r="G615" s="300"/>
    </row>
    <row r="616" spans="1:7" ht="14.25">
      <c r="A616" s="431"/>
      <c r="B616" s="431"/>
      <c r="C616" s="14"/>
      <c r="D616" s="2214"/>
      <c r="E616" s="2214"/>
      <c r="F616" s="2214"/>
      <c r="G616" s="300"/>
    </row>
    <row r="617" spans="1:7" ht="14.25">
      <c r="A617" s="431"/>
      <c r="B617" s="431"/>
      <c r="C617" s="14"/>
      <c r="D617" s="2214"/>
      <c r="E617" s="2214"/>
      <c r="F617" s="2214"/>
      <c r="G617" s="300"/>
    </row>
    <row r="618" spans="1:7" ht="14.25">
      <c r="A618" s="431"/>
      <c r="B618" s="431"/>
      <c r="C618" s="14"/>
      <c r="D618" s="2214"/>
      <c r="E618" s="2214"/>
      <c r="F618" s="2214"/>
      <c r="G618" s="300"/>
    </row>
    <row r="619" spans="1:7" ht="14.25">
      <c r="A619" s="431"/>
      <c r="B619" s="431"/>
      <c r="C619" s="14"/>
      <c r="D619" s="621"/>
      <c r="E619" s="294"/>
      <c r="F619" s="294"/>
      <c r="G619" s="300"/>
    </row>
    <row r="620" spans="1:7" ht="14.25">
      <c r="A620" s="596"/>
      <c r="B620" s="1000" t="s">
        <v>85</v>
      </c>
      <c r="D620" s="2214" t="s">
        <v>1643</v>
      </c>
      <c r="E620" s="2214"/>
      <c r="F620" s="2214"/>
      <c r="G620" s="300"/>
    </row>
    <row r="621" spans="1:7" ht="14.25">
      <c r="A621" s="596"/>
      <c r="B621" s="596"/>
      <c r="D621" s="2214"/>
      <c r="E621" s="2214"/>
      <c r="F621" s="2214"/>
      <c r="G621" s="300"/>
    </row>
    <row r="622" spans="1:7" ht="14.25">
      <c r="A622" s="431"/>
      <c r="B622" s="431"/>
      <c r="C622" s="14"/>
      <c r="D622" s="621"/>
      <c r="E622" s="294"/>
      <c r="F622" s="294"/>
      <c r="G622" s="300"/>
    </row>
    <row r="623" spans="1:7" ht="14.45" customHeight="1">
      <c r="A623" s="431"/>
      <c r="B623" s="1000" t="s">
        <v>85</v>
      </c>
      <c r="C623" s="14"/>
      <c r="D623" s="2224" t="s">
        <v>1649</v>
      </c>
      <c r="E623" s="2224"/>
      <c r="F623" s="2224"/>
      <c r="G623" s="300"/>
    </row>
    <row r="624" spans="1:7" ht="14.25">
      <c r="A624" s="431"/>
      <c r="B624" s="431"/>
      <c r="C624" s="14"/>
      <c r="D624" s="2224"/>
      <c r="E624" s="2224"/>
      <c r="F624" s="2224"/>
      <c r="G624" s="300"/>
    </row>
    <row r="625" spans="1:7" ht="14.25">
      <c r="A625" s="431"/>
      <c r="B625" s="431"/>
      <c r="C625" s="14"/>
      <c r="D625" s="621"/>
      <c r="E625" s="294"/>
      <c r="F625" s="294"/>
      <c r="G625" s="300"/>
    </row>
    <row r="626" spans="1:7" ht="14.25">
      <c r="A626" s="431"/>
      <c r="B626" s="1000" t="s">
        <v>85</v>
      </c>
      <c r="C626" s="14"/>
      <c r="D626" s="2224" t="s">
        <v>1259</v>
      </c>
      <c r="E626" s="2224"/>
      <c r="F626" s="2224"/>
      <c r="G626" s="300"/>
    </row>
    <row r="627" spans="1:7" ht="12.75">
      <c r="A627" s="33"/>
      <c r="B627" s="33"/>
      <c r="C627" s="14"/>
      <c r="D627" s="294"/>
      <c r="E627" s="294"/>
      <c r="F627" s="294"/>
      <c r="G627" s="300"/>
    </row>
    <row r="628" spans="1:7" ht="12.75">
      <c r="A628" s="2215" t="s">
        <v>1579</v>
      </c>
      <c r="B628" s="2215"/>
      <c r="C628" s="2215"/>
      <c r="D628" s="2215"/>
      <c r="E628" s="2215"/>
      <c r="F628" s="2215"/>
      <c r="G628" s="2215"/>
    </row>
    <row r="629" spans="1:7" ht="12.75">
      <c r="A629" s="107"/>
      <c r="B629" s="107"/>
      <c r="C629" s="314"/>
      <c r="D629" s="295"/>
      <c r="E629" s="295"/>
      <c r="F629" s="295"/>
      <c r="G629" s="300"/>
    </row>
    <row r="630" spans="1:7" ht="12.75">
      <c r="A630" s="152"/>
      <c r="B630" s="152"/>
      <c r="C630" s="311"/>
      <c r="D630" s="2261" t="s">
        <v>1578</v>
      </c>
      <c r="E630" s="2261"/>
      <c r="F630" s="2261"/>
    </row>
    <row r="631" spans="1:7" ht="12.75">
      <c r="A631" s="152"/>
      <c r="B631" s="152"/>
      <c r="C631" s="311"/>
      <c r="D631" s="2195" t="s">
        <v>1610</v>
      </c>
      <c r="E631" s="2195"/>
      <c r="F631" s="2195"/>
    </row>
    <row r="632" spans="1:7" ht="12.75">
      <c r="A632" s="1034"/>
      <c r="B632" s="1034"/>
      <c r="C632" s="311"/>
      <c r="D632" s="1032"/>
      <c r="E632" s="1032"/>
      <c r="F632" s="1032"/>
    </row>
    <row r="633" spans="1:7" ht="14.25">
      <c r="A633" s="596"/>
      <c r="B633" s="1000" t="s">
        <v>85</v>
      </c>
      <c r="D633" s="2274" t="s">
        <v>1788</v>
      </c>
      <c r="E633" s="2274"/>
      <c r="F633" s="2274"/>
    </row>
    <row r="634" spans="1:7" ht="12.75">
      <c r="A634" s="152"/>
      <c r="B634" s="152"/>
      <c r="C634" s="14"/>
      <c r="D634" s="2274"/>
      <c r="E634" s="2274"/>
      <c r="F634" s="2274"/>
    </row>
    <row r="635" spans="1:7" ht="12.75">
      <c r="A635" s="152"/>
      <c r="B635" s="152"/>
      <c r="C635" s="14"/>
      <c r="D635" s="2274"/>
      <c r="E635" s="2274"/>
      <c r="F635" s="2274"/>
    </row>
    <row r="636" spans="1:7" ht="12.75">
      <c r="A636" s="107"/>
      <c r="B636" s="107"/>
      <c r="C636" s="314"/>
      <c r="D636" s="295"/>
      <c r="E636" s="295"/>
      <c r="F636" s="295"/>
      <c r="G636" s="300"/>
    </row>
    <row r="637" spans="1:7" ht="12" customHeight="1">
      <c r="A637" s="2215" t="s">
        <v>1581</v>
      </c>
      <c r="B637" s="2215"/>
      <c r="C637" s="2215"/>
      <c r="D637" s="2215"/>
      <c r="E637" s="2215"/>
      <c r="F637" s="2215"/>
      <c r="G637" s="2215"/>
    </row>
    <row r="638" spans="1:7" ht="12.75">
      <c r="A638" s="155"/>
      <c r="B638" s="155"/>
      <c r="C638" s="14"/>
      <c r="D638" s="294"/>
      <c r="E638" s="294"/>
      <c r="F638" s="294"/>
      <c r="G638" s="300"/>
    </row>
    <row r="639" spans="1:7" ht="12.75">
      <c r="A639" s="152"/>
      <c r="B639" s="152"/>
      <c r="C639" s="315"/>
      <c r="D639" s="2216" t="s">
        <v>1580</v>
      </c>
      <c r="E639" s="2216"/>
      <c r="F639" s="2216"/>
      <c r="G639" s="300"/>
    </row>
    <row r="640" spans="1:7" ht="12.75">
      <c r="A640" s="433"/>
      <c r="B640" s="433"/>
      <c r="C640" s="311"/>
      <c r="D640" s="2200" t="s">
        <v>1789</v>
      </c>
      <c r="E640" s="2200"/>
      <c r="F640" s="2200"/>
      <c r="G640" s="300"/>
    </row>
    <row r="641" spans="1:7" ht="12.75">
      <c r="A641" s="433"/>
      <c r="B641" s="433"/>
      <c r="C641" s="311"/>
      <c r="D641" s="294"/>
      <c r="E641" s="294"/>
      <c r="F641" s="294"/>
      <c r="G641" s="300"/>
    </row>
    <row r="642" spans="1:7" ht="14.25">
      <c r="A642" s="431"/>
      <c r="B642" s="431"/>
      <c r="C642" s="14"/>
      <c r="D642" s="2261" t="s">
        <v>965</v>
      </c>
      <c r="E642" s="2261"/>
      <c r="F642" s="2261"/>
      <c r="G642" s="300"/>
    </row>
    <row r="643" spans="1:7" ht="14.25">
      <c r="A643" s="431"/>
      <c r="B643" s="1000" t="s">
        <v>85</v>
      </c>
      <c r="C643" s="14"/>
      <c r="D643" s="2195" t="s">
        <v>1790</v>
      </c>
      <c r="E643" s="2195"/>
      <c r="F643" s="2195"/>
      <c r="G643" s="300"/>
    </row>
    <row r="644" spans="1:7" ht="14.25">
      <c r="A644" s="431"/>
      <c r="B644" s="431"/>
      <c r="C644" s="14"/>
      <c r="D644" s="299"/>
      <c r="E644" s="294"/>
      <c r="F644" s="294"/>
      <c r="G644" s="300"/>
    </row>
    <row r="645" spans="1:7" ht="14.25">
      <c r="A645" s="431"/>
      <c r="B645" s="1000" t="s">
        <v>85</v>
      </c>
      <c r="C645" s="14"/>
      <c r="D645" s="2203" t="s">
        <v>1791</v>
      </c>
      <c r="E645" s="2203"/>
      <c r="F645" s="2203"/>
      <c r="G645" s="300"/>
    </row>
    <row r="646" spans="1:7" ht="14.25">
      <c r="A646" s="431"/>
      <c r="B646" s="431"/>
      <c r="C646" s="14"/>
      <c r="D646" s="2203"/>
      <c r="E646" s="2203"/>
      <c r="F646" s="2203"/>
      <c r="G646" s="300"/>
    </row>
    <row r="647" spans="1:7" ht="14.25">
      <c r="A647" s="431"/>
      <c r="B647" s="431"/>
      <c r="C647" s="14"/>
      <c r="D647" s="299"/>
      <c r="E647" s="294"/>
      <c r="F647" s="294"/>
      <c r="G647" s="300"/>
    </row>
    <row r="648" spans="1:7" ht="14.25">
      <c r="A648" s="596"/>
      <c r="B648" s="1000" t="s">
        <v>85</v>
      </c>
      <c r="D648" s="2230" t="s">
        <v>2273</v>
      </c>
      <c r="E648" s="2230"/>
      <c r="F648" s="2230"/>
      <c r="G648" s="300"/>
    </row>
    <row r="649" spans="1:7" ht="13.7" customHeight="1">
      <c r="D649" s="2230"/>
      <c r="E649" s="2230"/>
      <c r="F649" s="2230"/>
    </row>
    <row r="650" spans="1:7" ht="12.75">
      <c r="A650" s="152"/>
      <c r="B650" s="152"/>
      <c r="C650" s="14"/>
      <c r="D650" s="294"/>
      <c r="E650" s="294"/>
      <c r="F650" s="294"/>
      <c r="G650" s="300"/>
    </row>
    <row r="651" spans="1:7" ht="14.25">
      <c r="A651" s="431"/>
      <c r="B651" s="1000" t="s">
        <v>85</v>
      </c>
      <c r="C651" s="14"/>
      <c r="D651" s="2195" t="s">
        <v>1792</v>
      </c>
      <c r="E651" s="2195"/>
      <c r="F651" s="2195"/>
      <c r="G651" s="300"/>
    </row>
    <row r="652" spans="1:7" ht="12.75">
      <c r="A652" s="436"/>
      <c r="B652" s="436"/>
      <c r="C652" s="315"/>
      <c r="D652" s="294"/>
      <c r="E652" s="294"/>
      <c r="F652" s="294"/>
      <c r="G652" s="300"/>
    </row>
    <row r="653" spans="1:7" ht="12.75">
      <c r="A653" s="2215" t="s">
        <v>1582</v>
      </c>
      <c r="B653" s="2215"/>
      <c r="C653" s="2215"/>
      <c r="D653" s="2215"/>
      <c r="E653" s="2215"/>
      <c r="F653" s="2215"/>
      <c r="G653" s="2215"/>
    </row>
    <row r="654" spans="1:7" ht="12.75">
      <c r="A654" s="436"/>
      <c r="B654" s="436"/>
      <c r="C654" s="315"/>
      <c r="D654" s="294"/>
      <c r="E654" s="294"/>
      <c r="F654" s="294"/>
      <c r="G654" s="300"/>
    </row>
    <row r="655" spans="1:7" ht="12.75">
      <c r="A655" s="152"/>
      <c r="B655" s="152"/>
      <c r="C655" s="334"/>
      <c r="D655" s="2276" t="s">
        <v>1611</v>
      </c>
      <c r="E655" s="2276"/>
      <c r="F655" s="2276"/>
      <c r="G655" s="300"/>
    </row>
    <row r="656" spans="1:7" ht="12.75">
      <c r="A656" s="33"/>
      <c r="B656" s="33"/>
      <c r="C656" s="314"/>
      <c r="D656" s="6"/>
      <c r="E656" s="295"/>
      <c r="F656" s="295"/>
      <c r="G656" s="300"/>
    </row>
    <row r="657" spans="1:9" ht="14.25">
      <c r="A657" s="431"/>
      <c r="B657" s="1000" t="s">
        <v>85</v>
      </c>
      <c r="C657" s="314"/>
      <c r="D657" s="2277" t="s">
        <v>1793</v>
      </c>
      <c r="E657" s="2277"/>
      <c r="F657" s="2277"/>
      <c r="G657" s="300"/>
    </row>
    <row r="658" spans="1:9" ht="14.25">
      <c r="A658" s="431"/>
      <c r="B658" s="431"/>
      <c r="C658" s="314"/>
      <c r="D658" s="2277"/>
      <c r="E658" s="2277"/>
      <c r="F658" s="2277"/>
      <c r="G658" s="300"/>
    </row>
    <row r="659" spans="1:9" ht="12.75">
      <c r="A659" s="152"/>
      <c r="B659" s="152"/>
      <c r="C659" s="314"/>
      <c r="D659" s="2277"/>
      <c r="E659" s="2277"/>
      <c r="F659" s="2277"/>
      <c r="G659" s="300"/>
    </row>
    <row r="660" spans="1:9" ht="12.75">
      <c r="A660" s="152"/>
      <c r="B660" s="152"/>
      <c r="C660" s="314"/>
      <c r="D660" s="2277"/>
      <c r="E660" s="2277"/>
      <c r="F660" s="2277"/>
      <c r="G660" s="300"/>
    </row>
    <row r="661" spans="1:9" ht="12.75">
      <c r="A661" s="152"/>
      <c r="B661" s="152"/>
      <c r="C661" s="314"/>
      <c r="D661" s="2277"/>
      <c r="E661" s="2277"/>
      <c r="F661" s="2277"/>
      <c r="G661" s="300"/>
    </row>
    <row r="662" spans="1:9" ht="12.75">
      <c r="A662" s="152"/>
      <c r="B662" s="152"/>
      <c r="C662" s="314"/>
      <c r="D662" s="2277"/>
      <c r="E662" s="2277"/>
      <c r="F662" s="2277"/>
      <c r="G662" s="300"/>
    </row>
    <row r="663" spans="1:9" ht="12.75">
      <c r="A663" s="152"/>
      <c r="B663" s="152"/>
      <c r="C663" s="314"/>
      <c r="D663" s="294"/>
      <c r="E663" s="295"/>
      <c r="F663" s="295"/>
      <c r="G663" s="300"/>
    </row>
    <row r="664" spans="1:9" ht="14.25">
      <c r="A664" s="503"/>
      <c r="B664" s="1000" t="s">
        <v>85</v>
      </c>
      <c r="C664" s="314"/>
      <c r="D664" s="2277" t="s">
        <v>1794</v>
      </c>
      <c r="E664" s="2277"/>
      <c r="F664" s="2277"/>
      <c r="G664" s="296"/>
    </row>
    <row r="665" spans="1:9" ht="14.25">
      <c r="A665" s="503"/>
      <c r="B665" s="503"/>
      <c r="C665" s="314"/>
      <c r="D665" s="2277"/>
      <c r="E665" s="2277"/>
      <c r="F665" s="2277"/>
      <c r="G665" s="296"/>
    </row>
    <row r="666" spans="1:9" ht="14.25">
      <c r="A666" s="503"/>
      <c r="B666" s="503"/>
      <c r="C666" s="314"/>
      <c r="D666" s="299"/>
      <c r="E666" s="298"/>
      <c r="F666" s="298"/>
      <c r="G666" s="296"/>
    </row>
    <row r="667" spans="1:9" ht="13.7" customHeight="1">
      <c r="A667" s="503"/>
      <c r="B667" s="1000" t="s">
        <v>85</v>
      </c>
      <c r="C667" s="314"/>
      <c r="D667" s="2251" t="s">
        <v>2114</v>
      </c>
      <c r="E667" s="2251"/>
      <c r="F667" s="2251"/>
      <c r="G667" s="296"/>
    </row>
    <row r="668" spans="1:9" ht="14.25">
      <c r="A668" s="503"/>
      <c r="B668" s="503"/>
      <c r="C668" s="314"/>
      <c r="D668" s="2251"/>
      <c r="E668" s="2251"/>
      <c r="F668" s="2251"/>
      <c r="G668" s="296"/>
    </row>
    <row r="669" spans="1:9" ht="14.25">
      <c r="A669" s="431"/>
      <c r="B669" s="431"/>
      <c r="C669" s="314"/>
      <c r="D669" s="2251"/>
      <c r="E669" s="2251"/>
      <c r="F669" s="2251"/>
      <c r="G669" s="296"/>
    </row>
    <row r="670" spans="1:9" ht="14.25">
      <c r="A670" s="596"/>
      <c r="B670" s="596"/>
      <c r="C670" s="297"/>
      <c r="D670" s="1038"/>
      <c r="E670" s="1038"/>
      <c r="F670" s="1038"/>
      <c r="G670" s="296"/>
    </row>
    <row r="671" spans="1:9" ht="14.25">
      <c r="A671" s="431"/>
      <c r="B671" s="1000" t="s">
        <v>85</v>
      </c>
      <c r="C671" s="336"/>
      <c r="D671" s="2278" t="s">
        <v>1795</v>
      </c>
      <c r="E671" s="2278"/>
      <c r="F671" s="2278"/>
      <c r="G671" s="296"/>
    </row>
    <row r="672" spans="1:9" ht="12.75">
      <c r="A672" s="155"/>
      <c r="B672" s="155"/>
      <c r="C672" s="336"/>
      <c r="D672" s="298"/>
      <c r="E672" s="298"/>
      <c r="F672" s="298"/>
      <c r="G672" s="296"/>
      <c r="H672" s="422"/>
      <c r="I672" s="422"/>
    </row>
    <row r="673" spans="1:7" ht="12.75">
      <c r="A673" s="2215" t="s">
        <v>1584</v>
      </c>
      <c r="B673" s="2215"/>
      <c r="C673" s="2215"/>
      <c r="D673" s="2215"/>
      <c r="E673" s="2215"/>
      <c r="F673" s="2215"/>
      <c r="G673" s="2215"/>
    </row>
    <row r="674" spans="1:7" ht="12.75">
      <c r="A674" s="155"/>
      <c r="B674" s="155"/>
      <c r="C674" s="336"/>
      <c r="D674" s="298"/>
      <c r="E674" s="298"/>
      <c r="F674" s="298"/>
      <c r="G674" s="296"/>
    </row>
    <row r="675" spans="1:7" ht="12.75">
      <c r="A675" s="152"/>
      <c r="B675" s="152"/>
      <c r="C675" s="315"/>
      <c r="D675" s="2281" t="s">
        <v>1583</v>
      </c>
      <c r="E675" s="2281"/>
      <c r="F675" s="2281"/>
      <c r="G675" s="296"/>
    </row>
    <row r="676" spans="1:7" ht="12.75">
      <c r="A676" s="433"/>
      <c r="B676" s="433"/>
      <c r="C676" s="311"/>
      <c r="D676" s="2268" t="s">
        <v>1612</v>
      </c>
      <c r="E676" s="2268"/>
      <c r="F676" s="2268"/>
      <c r="G676" s="296"/>
    </row>
    <row r="677" spans="1:7" ht="12.75">
      <c r="A677" s="433"/>
      <c r="B677" s="433"/>
      <c r="C677" s="311"/>
      <c r="D677" s="1044"/>
      <c r="E677" s="1044"/>
      <c r="F677" s="1044"/>
      <c r="G677" s="296"/>
    </row>
    <row r="678" spans="1:7" ht="14.45" customHeight="1">
      <c r="A678" s="431"/>
      <c r="B678" s="1000" t="s">
        <v>85</v>
      </c>
      <c r="C678" s="336"/>
      <c r="D678" s="2171" t="s">
        <v>2208</v>
      </c>
      <c r="E678" s="2178"/>
      <c r="F678" s="2178"/>
      <c r="G678" s="296"/>
    </row>
    <row r="679" spans="1:7" ht="14.25">
      <c r="A679" s="431"/>
      <c r="B679" s="431"/>
      <c r="C679" s="336"/>
      <c r="D679" s="2178"/>
      <c r="E679" s="2178"/>
      <c r="F679" s="2178"/>
      <c r="G679" s="296"/>
    </row>
    <row r="680" spans="1:7" ht="14.25">
      <c r="A680" s="431"/>
      <c r="B680" s="431"/>
      <c r="C680" s="336"/>
      <c r="D680" s="2178"/>
      <c r="E680" s="2178"/>
      <c r="F680" s="2178"/>
      <c r="G680" s="296"/>
    </row>
    <row r="681" spans="1:7" ht="14.25">
      <c r="A681" s="431"/>
      <c r="B681" s="431"/>
      <c r="C681" s="336"/>
      <c r="D681" s="2178"/>
      <c r="E681" s="2178"/>
      <c r="F681" s="2178"/>
      <c r="G681" s="296"/>
    </row>
    <row r="682" spans="1:7" ht="14.25">
      <c r="A682" s="431"/>
      <c r="B682" s="431"/>
      <c r="C682" s="336"/>
      <c r="D682" s="2178"/>
      <c r="E682" s="2178"/>
      <c r="F682" s="2178"/>
      <c r="G682" s="296"/>
    </row>
    <row r="683" spans="1:7" ht="14.25">
      <c r="A683" s="431"/>
      <c r="B683" s="431"/>
      <c r="C683" s="336"/>
      <c r="D683" s="2178"/>
      <c r="E683" s="2178"/>
      <c r="F683" s="2178"/>
      <c r="G683" s="296"/>
    </row>
    <row r="684" spans="1:7" ht="14.25">
      <c r="A684" s="431"/>
      <c r="B684" s="431"/>
      <c r="C684" s="336"/>
      <c r="D684" s="2178"/>
      <c r="E684" s="2178"/>
      <c r="F684" s="2178"/>
      <c r="G684" s="296"/>
    </row>
    <row r="685" spans="1:7" ht="14.25">
      <c r="A685" s="596"/>
      <c r="B685" s="596"/>
      <c r="C685" s="423"/>
      <c r="D685" s="744"/>
      <c r="F685" s="296"/>
      <c r="G685" s="296"/>
    </row>
    <row r="686" spans="1:7" ht="14.25">
      <c r="A686" s="596"/>
      <c r="B686" s="1000" t="s">
        <v>85</v>
      </c>
      <c r="C686" s="423"/>
      <c r="D686" s="2258" t="s">
        <v>1638</v>
      </c>
      <c r="E686" s="2258"/>
      <c r="F686" s="2258"/>
      <c r="G686" s="296"/>
    </row>
    <row r="687" spans="1:7" ht="14.25">
      <c r="A687" s="596"/>
      <c r="B687" s="596"/>
      <c r="C687" s="423"/>
      <c r="D687" s="2280" t="s">
        <v>1825</v>
      </c>
      <c r="E687" s="2280"/>
      <c r="F687" s="2280"/>
      <c r="G687" s="296"/>
    </row>
    <row r="688" spans="1:7" ht="14.25">
      <c r="A688" s="596"/>
      <c r="B688" s="596"/>
      <c r="C688" s="423"/>
      <c r="D688" s="2280"/>
      <c r="E688" s="2280"/>
      <c r="F688" s="2280"/>
      <c r="G688" s="296"/>
    </row>
    <row r="689" spans="1:7" ht="14.25">
      <c r="A689" s="596"/>
      <c r="B689" s="596"/>
      <c r="C689" s="423"/>
      <c r="D689" s="2280"/>
      <c r="E689" s="2280"/>
      <c r="F689" s="2280"/>
      <c r="G689" s="296"/>
    </row>
    <row r="690" spans="1:7" ht="14.25">
      <c r="A690" s="596"/>
      <c r="B690" s="596"/>
      <c r="C690" s="423"/>
      <c r="D690" s="2280"/>
      <c r="E690" s="2280"/>
      <c r="F690" s="2280"/>
      <c r="G690" s="296"/>
    </row>
    <row r="691" spans="1:7" ht="14.25">
      <c r="A691" s="596"/>
      <c r="B691" s="596"/>
      <c r="C691" s="423"/>
      <c r="D691" s="2280"/>
      <c r="E691" s="2280"/>
      <c r="F691" s="2280"/>
      <c r="G691" s="296"/>
    </row>
    <row r="692" spans="1:7" ht="14.25">
      <c r="A692" s="596"/>
      <c r="B692" s="596"/>
      <c r="C692" s="423"/>
      <c r="D692" s="2282" t="s">
        <v>2207</v>
      </c>
      <c r="E692" s="2282"/>
      <c r="F692" s="2282"/>
      <c r="G692" s="296"/>
    </row>
    <row r="693" spans="1:7" ht="12.75">
      <c r="A693" s="155"/>
      <c r="B693" s="155"/>
      <c r="C693" s="336"/>
      <c r="D693" s="298"/>
      <c r="E693" s="298"/>
      <c r="F693" s="298"/>
      <c r="G693" s="296"/>
    </row>
    <row r="694" spans="1:7" ht="12.75">
      <c r="A694" s="2215" t="s">
        <v>1585</v>
      </c>
      <c r="B694" s="2215"/>
      <c r="C694" s="2215"/>
      <c r="D694" s="2215"/>
      <c r="E694" s="2215"/>
      <c r="F694" s="2215"/>
      <c r="G694" s="2215"/>
    </row>
    <row r="695" spans="1:7" ht="12.75">
      <c r="A695" s="155"/>
      <c r="B695" s="155"/>
      <c r="C695" s="336"/>
      <c r="D695" s="298"/>
      <c r="E695" s="298"/>
      <c r="F695" s="298"/>
      <c r="G695" s="296"/>
    </row>
    <row r="696" spans="1:7" ht="12.75">
      <c r="A696" s="152"/>
      <c r="B696" s="152"/>
      <c r="C696" s="315"/>
      <c r="D696" s="2216" t="s">
        <v>863</v>
      </c>
      <c r="E696" s="2216"/>
      <c r="F696" s="2216"/>
      <c r="G696" s="296"/>
    </row>
    <row r="697" spans="1:7" ht="12.75">
      <c r="A697" s="436"/>
      <c r="B697" s="436"/>
      <c r="C697" s="315"/>
      <c r="D697" s="2216" t="s">
        <v>966</v>
      </c>
      <c r="E697" s="2216"/>
      <c r="F697" s="2216"/>
      <c r="G697" s="296"/>
    </row>
    <row r="698" spans="1:7" ht="12.75">
      <c r="A698" s="433"/>
      <c r="B698" s="433"/>
      <c r="C698" s="311"/>
      <c r="D698" s="2200" t="s">
        <v>1750</v>
      </c>
      <c r="E698" s="2200"/>
      <c r="F698" s="2200"/>
      <c r="G698" s="300"/>
    </row>
    <row r="699" spans="1:7" ht="14.25" customHeight="1">
      <c r="A699" s="433"/>
      <c r="B699" s="433"/>
      <c r="C699" s="311"/>
      <c r="D699" s="294"/>
      <c r="E699" s="294"/>
      <c r="F699" s="294"/>
      <c r="G699" s="300"/>
    </row>
    <row r="700" spans="1:7" ht="14.25">
      <c r="A700" s="431"/>
      <c r="B700" s="1000" t="s">
        <v>85</v>
      </c>
      <c r="C700" s="311"/>
      <c r="D700" s="2200" t="s">
        <v>1260</v>
      </c>
      <c r="E700" s="2200"/>
      <c r="F700" s="2200"/>
      <c r="G700" s="300"/>
    </row>
    <row r="701" spans="1:7" ht="12.75">
      <c r="A701" s="433"/>
      <c r="B701" s="433"/>
      <c r="C701" s="311"/>
      <c r="D701" s="2200" t="s">
        <v>1282</v>
      </c>
      <c r="E701" s="2200"/>
      <c r="F701" s="2200"/>
      <c r="G701" s="300"/>
    </row>
    <row r="702" spans="1:7" ht="12.75">
      <c r="A702" s="433"/>
      <c r="B702" s="433"/>
      <c r="C702" s="311"/>
      <c r="D702" s="294"/>
      <c r="E702" s="2264" t="s">
        <v>1755</v>
      </c>
      <c r="F702" s="2264"/>
      <c r="G702" s="300"/>
    </row>
    <row r="703" spans="1:7" ht="12.75">
      <c r="A703" s="433"/>
      <c r="B703" s="433"/>
      <c r="C703" s="311"/>
      <c r="D703" s="294"/>
      <c r="E703" s="2264"/>
      <c r="F703" s="2264"/>
      <c r="G703" s="300"/>
    </row>
    <row r="704" spans="1:7" ht="12.75">
      <c r="A704" s="433"/>
      <c r="B704" s="433"/>
      <c r="C704" s="311"/>
      <c r="D704" s="349"/>
      <c r="E704" s="349"/>
      <c r="F704" s="349"/>
      <c r="G704" s="300"/>
    </row>
    <row r="705" spans="1:7" ht="14.25">
      <c r="A705" s="431"/>
      <c r="B705" s="1000" t="s">
        <v>85</v>
      </c>
      <c r="C705" s="311"/>
      <c r="D705" s="2203" t="s">
        <v>1752</v>
      </c>
      <c r="E705" s="2203"/>
      <c r="F705" s="2203"/>
      <c r="G705" s="300"/>
    </row>
    <row r="706" spans="1:7" ht="12.75">
      <c r="A706" s="33"/>
      <c r="B706" s="33"/>
      <c r="C706" s="311"/>
      <c r="D706" s="2203"/>
      <c r="E706" s="2203"/>
      <c r="F706" s="2203"/>
      <c r="G706" s="300"/>
    </row>
    <row r="707" spans="1:7" ht="12.75">
      <c r="A707" s="433"/>
      <c r="B707" s="433"/>
      <c r="C707" s="311"/>
      <c r="D707" s="2203"/>
      <c r="E707" s="2203"/>
      <c r="F707" s="2203"/>
      <c r="G707" s="300"/>
    </row>
    <row r="708" spans="1:7" ht="12.75">
      <c r="A708" s="433"/>
      <c r="B708" s="433"/>
      <c r="C708" s="311"/>
      <c r="D708" s="294"/>
      <c r="E708" s="294"/>
      <c r="F708" s="294"/>
      <c r="G708" s="300"/>
    </row>
    <row r="709" spans="1:7" ht="14.25">
      <c r="A709" s="431"/>
      <c r="B709" s="1000" t="s">
        <v>85</v>
      </c>
      <c r="C709" s="311"/>
      <c r="D709" s="2200" t="s">
        <v>1327</v>
      </c>
      <c r="E709" s="2200"/>
      <c r="F709" s="2200"/>
      <c r="G709" s="300"/>
    </row>
    <row r="710" spans="1:7" ht="14.25">
      <c r="A710" s="431"/>
      <c r="B710" s="431"/>
      <c r="C710" s="311"/>
      <c r="D710" s="2200" t="s">
        <v>1282</v>
      </c>
      <c r="E710" s="2200"/>
      <c r="F710" s="2200"/>
      <c r="G710" s="300"/>
    </row>
    <row r="711" spans="1:7" ht="12.75">
      <c r="A711" s="433"/>
      <c r="B711" s="433"/>
      <c r="C711" s="311"/>
      <c r="D711" s="294"/>
      <c r="E711" s="2220" t="s">
        <v>1753</v>
      </c>
      <c r="F711" s="2220"/>
      <c r="G711" s="300"/>
    </row>
    <row r="712" spans="1:7" ht="12.75">
      <c r="A712" s="433"/>
      <c r="B712" s="433"/>
      <c r="C712" s="311"/>
      <c r="D712" s="6"/>
      <c r="E712" s="294"/>
      <c r="F712" s="294"/>
      <c r="G712" s="300"/>
    </row>
    <row r="713" spans="1:7" ht="14.25">
      <c r="A713" s="431"/>
      <c r="B713" s="1000" t="s">
        <v>85</v>
      </c>
      <c r="C713" s="311"/>
      <c r="D713" s="2229" t="s">
        <v>1754</v>
      </c>
      <c r="E713" s="2229"/>
      <c r="F713" s="2229"/>
      <c r="G713" s="300"/>
    </row>
    <row r="714" spans="1:7" ht="12.75">
      <c r="A714" s="433"/>
      <c r="B714" s="433"/>
      <c r="C714" s="311"/>
      <c r="D714" s="2229"/>
      <c r="E714" s="2229"/>
      <c r="F714" s="2229"/>
      <c r="G714" s="300"/>
    </row>
    <row r="715" spans="1:7" ht="12.75">
      <c r="A715" s="433"/>
      <c r="B715" s="433"/>
      <c r="C715" s="311"/>
      <c r="D715" s="2229"/>
      <c r="E715" s="2229"/>
      <c r="F715" s="2229"/>
      <c r="G715" s="300"/>
    </row>
    <row r="716" spans="1:7" ht="12.75">
      <c r="A716" s="433"/>
      <c r="B716" s="433"/>
      <c r="C716" s="311"/>
      <c r="D716" s="2229"/>
      <c r="E716" s="2229"/>
      <c r="F716" s="2229"/>
      <c r="G716" s="300"/>
    </row>
    <row r="717" spans="1:7" ht="12.75">
      <c r="A717" s="433"/>
      <c r="B717" s="433"/>
      <c r="C717" s="311"/>
      <c r="D717" s="2229"/>
      <c r="E717" s="2229"/>
      <c r="F717" s="2229"/>
      <c r="G717" s="300"/>
    </row>
    <row r="718" spans="1:7" ht="12.75">
      <c r="A718" s="433"/>
      <c r="B718" s="433"/>
      <c r="C718" s="311"/>
      <c r="D718" s="2229"/>
      <c r="E718" s="2229"/>
      <c r="F718" s="2229"/>
      <c r="G718" s="300"/>
    </row>
    <row r="719" spans="1:7" ht="12.75">
      <c r="A719" s="433"/>
      <c r="B719" s="433"/>
      <c r="C719" s="311"/>
      <c r="D719" s="2229"/>
      <c r="E719" s="2229"/>
      <c r="F719" s="2229"/>
      <c r="G719" s="300"/>
    </row>
    <row r="720" spans="1:7" ht="12.75">
      <c r="A720" s="433"/>
      <c r="B720" s="1000" t="s">
        <v>85</v>
      </c>
      <c r="C720" s="311"/>
      <c r="D720" s="2228" t="s">
        <v>2010</v>
      </c>
      <c r="E720" s="2229"/>
      <c r="F720" s="2229"/>
      <c r="G720" s="300"/>
    </row>
    <row r="721" spans="1:9" ht="12.75">
      <c r="A721" s="433"/>
      <c r="B721" s="433"/>
      <c r="C721" s="311"/>
      <c r="D721" s="2229"/>
      <c r="E721" s="2229"/>
      <c r="F721" s="2229"/>
      <c r="G721" s="300"/>
    </row>
    <row r="722" spans="1:9" ht="12.75">
      <c r="A722" s="433"/>
      <c r="B722" s="433"/>
      <c r="C722" s="311"/>
      <c r="D722" s="147"/>
      <c r="E722" s="294"/>
      <c r="F722" s="294"/>
      <c r="G722" s="300"/>
    </row>
    <row r="723" spans="1:9" ht="14.45" customHeight="1">
      <c r="A723" s="431"/>
      <c r="B723" s="1000" t="s">
        <v>85</v>
      </c>
      <c r="C723" s="311"/>
      <c r="D723" s="2229" t="s">
        <v>1756</v>
      </c>
      <c r="E723" s="2229"/>
      <c r="F723" s="2229"/>
      <c r="G723" s="300"/>
    </row>
    <row r="724" spans="1:9" ht="12.75">
      <c r="A724" s="433"/>
      <c r="B724" s="433"/>
      <c r="C724" s="311"/>
      <c r="D724" s="2229"/>
      <c r="E724" s="2229"/>
      <c r="F724" s="2229"/>
      <c r="G724" s="300"/>
    </row>
    <row r="725" spans="1:9" ht="12.75">
      <c r="A725" s="433"/>
      <c r="B725" s="433"/>
      <c r="C725" s="311"/>
      <c r="D725" s="2229"/>
      <c r="E725" s="2229"/>
      <c r="F725" s="2229"/>
      <c r="G725" s="300"/>
    </row>
    <row r="726" spans="1:9" ht="12.75">
      <c r="A726" s="433"/>
      <c r="B726" s="433"/>
      <c r="C726" s="311"/>
      <c r="D726" s="2229"/>
      <c r="E726" s="2229"/>
      <c r="F726" s="2229"/>
      <c r="G726" s="300"/>
    </row>
    <row r="727" spans="1:9" ht="12.75">
      <c r="A727" s="433"/>
      <c r="B727" s="433"/>
      <c r="C727" s="311"/>
      <c r="D727" s="2229"/>
      <c r="E727" s="2229"/>
      <c r="F727" s="2229"/>
      <c r="G727" s="300"/>
    </row>
    <row r="728" spans="1:9" ht="12.75">
      <c r="A728" s="433"/>
      <c r="B728" s="433"/>
      <c r="C728" s="311"/>
      <c r="D728" s="2229"/>
      <c r="E728" s="2229"/>
      <c r="F728" s="2229"/>
      <c r="G728" s="300"/>
    </row>
    <row r="729" spans="1:9" ht="12.75">
      <c r="A729" s="433"/>
      <c r="B729" s="433"/>
      <c r="C729" s="311"/>
      <c r="D729" s="2229"/>
      <c r="E729" s="2229"/>
      <c r="F729" s="2229"/>
      <c r="G729" s="300"/>
    </row>
    <row r="730" spans="1:9" ht="12.75">
      <c r="A730" s="433"/>
      <c r="B730" s="433"/>
      <c r="C730" s="311"/>
      <c r="D730" s="2229"/>
      <c r="E730" s="2229"/>
      <c r="F730" s="2229"/>
      <c r="G730" s="300"/>
    </row>
    <row r="731" spans="1:9" ht="12.75">
      <c r="A731" s="433"/>
      <c r="B731" s="433"/>
      <c r="C731" s="311"/>
      <c r="D731" s="2229"/>
      <c r="E731" s="2229"/>
      <c r="F731" s="2229"/>
      <c r="G731" s="300"/>
    </row>
    <row r="732" spans="1:9" ht="12.75">
      <c r="A732" s="433"/>
      <c r="B732" s="433"/>
      <c r="C732" s="311"/>
      <c r="D732" s="2229"/>
      <c r="E732" s="2229"/>
      <c r="F732" s="2229"/>
      <c r="G732" s="300"/>
    </row>
    <row r="733" spans="1:9" ht="12.75">
      <c r="A733" s="433"/>
      <c r="B733" s="433"/>
      <c r="C733" s="311"/>
      <c r="D733" s="2229"/>
      <c r="E733" s="2229"/>
      <c r="F733" s="2229"/>
      <c r="G733" s="300"/>
    </row>
    <row r="734" spans="1:9" ht="12.75">
      <c r="A734" s="433"/>
      <c r="B734" s="433"/>
      <c r="C734" s="311"/>
      <c r="D734" s="2229"/>
      <c r="E734" s="2229"/>
      <c r="F734" s="2229"/>
      <c r="G734" s="300"/>
    </row>
    <row r="735" spans="1:9" ht="12.75">
      <c r="A735" s="433"/>
      <c r="B735" s="433"/>
      <c r="C735" s="311"/>
      <c r="D735" s="2229"/>
      <c r="E735" s="2229"/>
      <c r="F735" s="2229"/>
      <c r="G735" s="300"/>
    </row>
    <row r="736" spans="1:9" s="50" customFormat="1" ht="12.75">
      <c r="A736" s="433"/>
      <c r="B736" s="1000" t="s">
        <v>85</v>
      </c>
      <c r="C736" s="433"/>
      <c r="D736" s="2229" t="s">
        <v>1760</v>
      </c>
      <c r="E736" s="2229"/>
      <c r="F736" s="2229"/>
      <c r="G736" s="71"/>
      <c r="H736" s="936"/>
      <c r="I736" s="1136"/>
    </row>
    <row r="737" spans="1:9" s="50" customFormat="1" ht="12.75">
      <c r="A737" s="433"/>
      <c r="B737" s="433"/>
      <c r="C737" s="433"/>
      <c r="D737" s="2229"/>
      <c r="E737" s="2229"/>
      <c r="F737" s="2229"/>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85</v>
      </c>
      <c r="C739" s="433"/>
      <c r="D739" s="2229" t="s">
        <v>1761</v>
      </c>
      <c r="E739" s="2229"/>
      <c r="F739" s="2229"/>
      <c r="G739" s="71"/>
      <c r="H739" s="936"/>
      <c r="I739" s="1136"/>
    </row>
    <row r="740" spans="1:9" s="50" customFormat="1" ht="12.75">
      <c r="A740" s="433"/>
      <c r="B740" s="433"/>
      <c r="C740" s="433"/>
      <c r="D740" s="2229"/>
      <c r="E740" s="2229"/>
      <c r="F740" s="2229"/>
      <c r="G740" s="71"/>
      <c r="H740" s="936"/>
      <c r="I740" s="1136"/>
    </row>
    <row r="741" spans="1:9" s="50" customFormat="1" ht="12.75">
      <c r="A741" s="433"/>
      <c r="B741" s="433"/>
      <c r="C741" s="433"/>
      <c r="D741" s="2229"/>
      <c r="E741" s="2229"/>
      <c r="F741" s="2229"/>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85</v>
      </c>
      <c r="C743" s="311"/>
      <c r="D743" s="2228" t="s">
        <v>2274</v>
      </c>
      <c r="E743" s="2229"/>
      <c r="F743" s="2229"/>
      <c r="G743" s="300"/>
    </row>
    <row r="744" spans="1:9" ht="12.75">
      <c r="A744" s="433"/>
      <c r="B744" s="433"/>
      <c r="C744" s="311"/>
      <c r="D744" s="2229"/>
      <c r="E744" s="2229"/>
      <c r="F744" s="2229"/>
      <c r="G744" s="300"/>
    </row>
    <row r="745" spans="1:9" ht="12.75">
      <c r="A745" s="433"/>
      <c r="B745" s="433"/>
      <c r="C745" s="311"/>
      <c r="D745" s="2229"/>
      <c r="E745" s="2229"/>
      <c r="F745" s="2229"/>
      <c r="G745" s="300"/>
    </row>
    <row r="746" spans="1:9" ht="12.75">
      <c r="A746" s="433"/>
      <c r="B746" s="433"/>
      <c r="C746" s="311"/>
      <c r="D746" s="147"/>
      <c r="E746" s="294"/>
      <c r="F746" s="294"/>
      <c r="G746" s="300"/>
    </row>
    <row r="747" spans="1:9" ht="14.45" customHeight="1">
      <c r="A747" s="431"/>
      <c r="B747" s="1000" t="s">
        <v>85</v>
      </c>
      <c r="C747" s="311"/>
      <c r="D747" s="2229" t="s">
        <v>1757</v>
      </c>
      <c r="E747" s="2229"/>
      <c r="F747" s="2229"/>
      <c r="G747" s="300"/>
    </row>
    <row r="748" spans="1:9" ht="12.75">
      <c r="A748" s="433"/>
      <c r="B748" s="433"/>
      <c r="C748" s="311"/>
      <c r="D748" s="2229"/>
      <c r="E748" s="2229"/>
      <c r="F748" s="2229"/>
      <c r="G748" s="300"/>
    </row>
    <row r="749" spans="1:9" ht="12.75">
      <c r="A749" s="433"/>
      <c r="B749" s="433"/>
      <c r="C749" s="311"/>
      <c r="D749" s="2229"/>
      <c r="E749" s="2229"/>
      <c r="F749" s="2229"/>
      <c r="G749" s="300"/>
    </row>
    <row r="750" spans="1:9" ht="12.75">
      <c r="A750" s="433"/>
      <c r="B750" s="433"/>
      <c r="C750" s="311"/>
      <c r="D750" s="349"/>
      <c r="E750" s="294"/>
      <c r="F750" s="294"/>
      <c r="G750" s="300"/>
      <c r="H750" s="422"/>
      <c r="I750" s="422"/>
    </row>
    <row r="751" spans="1:9" ht="14.25">
      <c r="A751" s="431"/>
      <c r="B751" s="1000" t="s">
        <v>85</v>
      </c>
      <c r="C751" s="311"/>
      <c r="D751" s="2203" t="s">
        <v>1759</v>
      </c>
      <c r="E751" s="2203"/>
      <c r="F751" s="2203"/>
      <c r="G751" s="300"/>
    </row>
    <row r="752" spans="1:9" ht="12.75">
      <c r="A752" s="433"/>
      <c r="B752" s="433"/>
      <c r="C752" s="311"/>
      <c r="D752" s="2203"/>
      <c r="E752" s="2203"/>
      <c r="F752" s="2203"/>
      <c r="G752" s="300"/>
    </row>
    <row r="753" spans="1:9" ht="12.75">
      <c r="A753" s="433"/>
      <c r="B753" s="433"/>
      <c r="C753" s="311"/>
      <c r="D753" s="2203"/>
      <c r="E753" s="2203"/>
      <c r="F753" s="2203"/>
      <c r="G753" s="300"/>
    </row>
    <row r="754" spans="1:9" ht="12.75">
      <c r="A754" s="433"/>
      <c r="B754" s="433"/>
      <c r="C754" s="311"/>
      <c r="D754" s="2203"/>
      <c r="E754" s="2203"/>
      <c r="F754" s="2203"/>
      <c r="G754" s="300"/>
    </row>
    <row r="755" spans="1:9" ht="12.75">
      <c r="A755" s="433"/>
      <c r="B755" s="433"/>
      <c r="C755" s="311"/>
      <c r="D755" s="1009"/>
      <c r="E755" s="1009"/>
      <c r="F755" s="1009"/>
      <c r="G755" s="300"/>
    </row>
    <row r="756" spans="1:9" s="50" customFormat="1" ht="14.25">
      <c r="A756" s="431"/>
      <c r="B756" s="1000" t="s">
        <v>85</v>
      </c>
      <c r="C756" s="433"/>
      <c r="D756" s="2229" t="s">
        <v>1942</v>
      </c>
      <c r="E756" s="2229"/>
      <c r="F756" s="2229"/>
      <c r="G756" s="71"/>
      <c r="H756" s="936"/>
      <c r="I756" s="1136"/>
    </row>
    <row r="757" spans="1:9" s="50" customFormat="1" ht="12.75">
      <c r="A757" s="433"/>
      <c r="B757" s="433"/>
      <c r="C757" s="433"/>
      <c r="D757" s="2229"/>
      <c r="E757" s="2229"/>
      <c r="F757" s="2229"/>
      <c r="G757" s="71"/>
      <c r="H757" s="936"/>
      <c r="I757" s="1136"/>
    </row>
    <row r="758" spans="1:9" s="50" customFormat="1" ht="12.75">
      <c r="A758" s="433"/>
      <c r="B758" s="433"/>
      <c r="C758" s="433"/>
      <c r="D758" s="2229"/>
      <c r="E758" s="2229"/>
      <c r="F758" s="2229"/>
      <c r="G758" s="71"/>
      <c r="H758" s="936"/>
      <c r="I758" s="1136"/>
    </row>
    <row r="759" spans="1:9" s="50" customFormat="1" ht="12.75">
      <c r="A759" s="433"/>
      <c r="B759" s="433"/>
      <c r="C759" s="433"/>
      <c r="D759" s="2229"/>
      <c r="E759" s="2229"/>
      <c r="F759" s="2229"/>
      <c r="G759" s="71"/>
      <c r="H759" s="936"/>
      <c r="I759" s="1136"/>
    </row>
    <row r="760" spans="1:9" s="50" customFormat="1" ht="12.75">
      <c r="A760" s="433"/>
      <c r="B760" s="433"/>
      <c r="C760" s="433"/>
      <c r="D760" s="2229"/>
      <c r="E760" s="2229"/>
      <c r="F760" s="2229"/>
      <c r="G760" s="71"/>
      <c r="H760" s="936"/>
      <c r="I760" s="1136"/>
    </row>
    <row r="761" spans="1:9" s="50" customFormat="1" ht="12.75">
      <c r="A761" s="433"/>
      <c r="B761" s="433"/>
      <c r="C761" s="433"/>
      <c r="D761" s="2229"/>
      <c r="E761" s="2229"/>
      <c r="F761" s="2229"/>
      <c r="G761" s="71"/>
      <c r="H761" s="936"/>
      <c r="I761" s="1136"/>
    </row>
    <row r="762" spans="1:9" s="50" customFormat="1" ht="12.75">
      <c r="A762" s="433"/>
      <c r="B762" s="433"/>
      <c r="C762" s="433"/>
      <c r="D762" s="2229"/>
      <c r="E762" s="2229"/>
      <c r="F762" s="2229"/>
      <c r="G762" s="71"/>
      <c r="H762" s="936"/>
      <c r="I762" s="1136"/>
    </row>
    <row r="763" spans="1:9" s="50" customFormat="1" ht="12.75">
      <c r="A763" s="433"/>
      <c r="B763" s="433"/>
      <c r="C763" s="433"/>
      <c r="D763" s="2279" t="s">
        <v>1758</v>
      </c>
      <c r="E763" s="2279"/>
      <c r="F763" s="2279"/>
      <c r="G763" s="71"/>
      <c r="H763" s="936"/>
      <c r="I763" s="1136"/>
    </row>
    <row r="764" spans="1:9" s="50" customFormat="1" ht="12.75">
      <c r="A764" s="433"/>
      <c r="B764" s="433"/>
      <c r="C764" s="433"/>
      <c r="D764" s="941"/>
      <c r="E764" s="8"/>
      <c r="F764" s="8"/>
      <c r="G764" s="71"/>
      <c r="H764" s="936"/>
      <c r="I764" s="1136"/>
    </row>
    <row r="765" spans="1:9" ht="12.75">
      <c r="A765" s="2247" t="s">
        <v>1619</v>
      </c>
      <c r="B765" s="2247"/>
      <c r="C765" s="2247"/>
      <c r="D765" s="2247"/>
      <c r="E765" s="2247"/>
      <c r="F765" s="2247"/>
      <c r="G765" s="2247"/>
      <c r="H765" s="422"/>
      <c r="I765" s="422"/>
    </row>
    <row r="766" spans="1:9" ht="12.75">
      <c r="A766" s="433"/>
      <c r="B766" s="433"/>
      <c r="C766" s="311"/>
      <c r="D766" s="349"/>
      <c r="E766" s="294"/>
      <c r="F766" s="294"/>
      <c r="G766" s="300"/>
      <c r="H766" s="422"/>
      <c r="I766" s="422"/>
    </row>
    <row r="767" spans="1:9" ht="12.75">
      <c r="A767" s="152"/>
      <c r="B767" s="152"/>
      <c r="C767" s="311"/>
      <c r="D767" s="2218" t="s">
        <v>1650</v>
      </c>
      <c r="E767" s="2218"/>
      <c r="F767" s="2218"/>
      <c r="G767" s="300"/>
      <c r="H767" s="422"/>
      <c r="I767" s="422"/>
    </row>
    <row r="768" spans="1:9" ht="12.75">
      <c r="A768" s="432"/>
      <c r="B768" s="432"/>
      <c r="C768" s="310"/>
      <c r="D768" s="2195" t="s">
        <v>1653</v>
      </c>
      <c r="E768" s="2195"/>
      <c r="F768" s="2195"/>
      <c r="G768" s="300"/>
      <c r="H768" s="422"/>
      <c r="I768" s="422"/>
    </row>
    <row r="769" spans="1:9" ht="12.75">
      <c r="A769" s="433"/>
      <c r="B769" s="433"/>
      <c r="C769" s="311"/>
      <c r="D769" s="294"/>
      <c r="E769" s="294"/>
      <c r="F769" s="294"/>
      <c r="G769" s="300"/>
      <c r="H769" s="422"/>
      <c r="I769" s="422"/>
    </row>
    <row r="770" spans="1:9" ht="14.25" customHeight="1">
      <c r="A770" s="431"/>
      <c r="B770" s="1000" t="s">
        <v>85</v>
      </c>
      <c r="C770" s="14"/>
      <c r="D770" s="2203" t="s">
        <v>1651</v>
      </c>
      <c r="E770" s="2203"/>
      <c r="F770" s="2203"/>
      <c r="G770" s="300"/>
      <c r="H770" s="422"/>
      <c r="I770" s="422"/>
    </row>
    <row r="771" spans="1:9" ht="11.25" customHeight="1">
      <c r="A771" s="152"/>
      <c r="B771" s="152"/>
      <c r="C771" s="14"/>
      <c r="D771" s="2203"/>
      <c r="E771" s="2203"/>
      <c r="F771" s="2203"/>
      <c r="G771" s="300"/>
      <c r="H771" s="422"/>
      <c r="I771" s="422"/>
    </row>
    <row r="772" spans="1:9" ht="12.75">
      <c r="A772" s="152"/>
      <c r="B772" s="152"/>
      <c r="C772" s="14"/>
      <c r="D772" s="2203"/>
      <c r="E772" s="2203"/>
      <c r="F772" s="2203"/>
      <c r="G772" s="300"/>
      <c r="H772" s="422"/>
      <c r="I772" s="422"/>
    </row>
    <row r="773" spans="1:9" ht="12.75">
      <c r="A773" s="152"/>
      <c r="B773" s="152"/>
      <c r="C773" s="14"/>
      <c r="D773" s="2203"/>
      <c r="E773" s="2203"/>
      <c r="F773" s="2203"/>
      <c r="G773" s="300"/>
      <c r="H773" s="422"/>
      <c r="I773" s="422"/>
    </row>
    <row r="774" spans="1:9" ht="12.75">
      <c r="A774" s="162"/>
      <c r="B774" s="162"/>
      <c r="D774" s="2203"/>
      <c r="E774" s="2203"/>
      <c r="F774" s="2203"/>
      <c r="G774" s="300"/>
      <c r="H774" s="422"/>
      <c r="I774" s="422"/>
    </row>
    <row r="775" spans="1:9" ht="17.25" customHeight="1">
      <c r="A775" s="162"/>
      <c r="B775" s="162"/>
      <c r="D775" s="2203"/>
      <c r="E775" s="2203"/>
      <c r="F775" s="2203"/>
      <c r="G775" s="300"/>
      <c r="H775" s="422"/>
      <c r="I775" s="422"/>
    </row>
    <row r="776" spans="1:9" ht="12.75">
      <c r="A776" s="162"/>
      <c r="B776" s="162"/>
      <c r="D776" s="421"/>
      <c r="E776" s="421"/>
      <c r="F776" s="421"/>
      <c r="G776" s="300"/>
      <c r="H776" s="422"/>
      <c r="I776" s="422"/>
    </row>
    <row r="777" spans="1:9" ht="12.75" customHeight="1">
      <c r="A777" s="152"/>
      <c r="B777" s="1000" t="s">
        <v>85</v>
      </c>
      <c r="C777" s="14"/>
      <c r="D777" s="2251" t="s">
        <v>2188</v>
      </c>
      <c r="E777" s="2251"/>
      <c r="F777" s="2251"/>
      <c r="G777" s="300"/>
      <c r="H777" s="422"/>
      <c r="I777" s="422"/>
    </row>
    <row r="778" spans="1:9" ht="12.75">
      <c r="A778" s="152"/>
      <c r="B778" s="152"/>
      <c r="C778" s="14"/>
      <c r="D778" s="2251"/>
      <c r="E778" s="2251"/>
      <c r="F778" s="2251"/>
      <c r="G778" s="300"/>
      <c r="H778" s="422"/>
      <c r="I778" s="422"/>
    </row>
    <row r="779" spans="1:9" ht="12.75">
      <c r="A779" s="152"/>
      <c r="B779" s="152"/>
      <c r="C779" s="14"/>
      <c r="D779" s="2251"/>
      <c r="E779" s="2251"/>
      <c r="F779" s="2251"/>
      <c r="G779" s="300"/>
      <c r="H779" s="422"/>
      <c r="I779" s="422"/>
    </row>
    <row r="780" spans="1:9" ht="12.75">
      <c r="A780" s="152"/>
      <c r="B780" s="152"/>
      <c r="C780" s="14"/>
      <c r="D780" s="2251"/>
      <c r="E780" s="2251"/>
      <c r="F780" s="2251"/>
      <c r="G780" s="300"/>
      <c r="H780" s="422"/>
      <c r="I780" s="422"/>
    </row>
    <row r="781" spans="1:9" ht="12.75">
      <c r="A781" s="152"/>
      <c r="B781" s="152"/>
      <c r="C781" s="14"/>
      <c r="D781" s="421"/>
      <c r="G781" s="300"/>
      <c r="H781" s="422"/>
      <c r="I781" s="422"/>
    </row>
    <row r="782" spans="1:9" ht="12.75">
      <c r="A782" s="152"/>
      <c r="B782" s="1000" t="s">
        <v>85</v>
      </c>
      <c r="C782" s="717"/>
      <c r="D782" s="2248" t="s">
        <v>2189</v>
      </c>
      <c r="E782" s="2249"/>
      <c r="F782" s="2249"/>
      <c r="G782" s="745"/>
      <c r="H782" s="422"/>
      <c r="I782" s="422"/>
    </row>
    <row r="783" spans="1:9" ht="12.75">
      <c r="A783" s="717"/>
      <c r="B783" s="717"/>
      <c r="C783" s="717"/>
      <c r="D783" s="2249"/>
      <c r="E783" s="2249"/>
      <c r="F783" s="2249"/>
      <c r="G783" s="745"/>
      <c r="H783" s="422"/>
      <c r="I783" s="422"/>
    </row>
    <row r="784" spans="1:9" ht="12.75">
      <c r="A784" s="717"/>
      <c r="B784" s="717"/>
      <c r="C784" s="717"/>
      <c r="D784" s="2249"/>
      <c r="E784" s="2249"/>
      <c r="F784" s="2249"/>
      <c r="G784" s="745"/>
      <c r="H784" s="422"/>
      <c r="I784" s="422"/>
    </row>
    <row r="785" spans="1:9" ht="12.75">
      <c r="A785" s="162"/>
      <c r="B785" s="162"/>
      <c r="D785" s="421"/>
      <c r="E785" s="421"/>
      <c r="F785" s="421"/>
      <c r="G785" s="300"/>
      <c r="H785" s="422"/>
      <c r="I785" s="422"/>
    </row>
    <row r="786" spans="1:9" ht="12.75">
      <c r="A786" s="162"/>
      <c r="B786" s="1000" t="s">
        <v>85</v>
      </c>
      <c r="D786" s="2231" t="s">
        <v>1652</v>
      </c>
      <c r="E786" s="2231"/>
      <c r="F786" s="2231"/>
      <c r="G786" s="300"/>
      <c r="H786" s="422"/>
      <c r="I786" s="422"/>
    </row>
    <row r="787" spans="1:9" ht="12.75">
      <c r="A787" s="162"/>
      <c r="B787" s="162"/>
      <c r="D787" s="2231"/>
      <c r="E787" s="2231"/>
      <c r="F787" s="2231"/>
      <c r="G787" s="300"/>
      <c r="H787" s="422"/>
      <c r="I787" s="422"/>
    </row>
    <row r="788" spans="1:9" ht="12.75">
      <c r="A788" s="162"/>
      <c r="B788" s="162"/>
      <c r="D788" s="1007"/>
      <c r="E788" s="1007"/>
      <c r="F788" s="1007"/>
      <c r="G788" s="300"/>
      <c r="H788" s="422"/>
      <c r="I788" s="422"/>
    </row>
    <row r="789" spans="1:9" ht="13.7" customHeight="1">
      <c r="A789" s="162"/>
      <c r="B789" s="1000" t="s">
        <v>85</v>
      </c>
      <c r="D789" s="2230" t="s">
        <v>2037</v>
      </c>
      <c r="E789" s="2231"/>
      <c r="F789" s="2231"/>
      <c r="G789" s="300"/>
      <c r="H789" s="422"/>
      <c r="I789" s="422"/>
    </row>
    <row r="790" spans="1:9" ht="12.75">
      <c r="A790" s="162"/>
      <c r="B790" s="162"/>
      <c r="D790" s="2231"/>
      <c r="E790" s="2231"/>
      <c r="F790" s="2231"/>
      <c r="G790" s="300"/>
      <c r="H790" s="422"/>
      <c r="I790" s="422"/>
    </row>
    <row r="791" spans="1:9" ht="12.75">
      <c r="A791" s="162"/>
      <c r="B791" s="162"/>
      <c r="D791" s="2231"/>
      <c r="E791" s="2231"/>
      <c r="F791" s="2231"/>
      <c r="G791" s="300"/>
      <c r="H791" s="422"/>
      <c r="I791" s="422"/>
    </row>
    <row r="792" spans="1:9" ht="12.75">
      <c r="A792" s="162"/>
      <c r="B792" s="162"/>
      <c r="D792" s="1007"/>
      <c r="E792" s="1007"/>
      <c r="F792" s="1007"/>
      <c r="G792" s="300"/>
      <c r="H792" s="422"/>
      <c r="I792" s="422"/>
    </row>
    <row r="793" spans="1:9" ht="12" customHeight="1">
      <c r="A793" s="2247" t="s">
        <v>1836</v>
      </c>
      <c r="B793" s="2247"/>
      <c r="C793" s="2247"/>
      <c r="D793" s="2247"/>
      <c r="E793" s="2247"/>
      <c r="F793" s="2247"/>
      <c r="G793" s="2247"/>
      <c r="H793" s="422"/>
      <c r="I793" s="422"/>
    </row>
    <row r="794" spans="1:9" ht="12.75">
      <c r="A794" s="107"/>
      <c r="B794" s="107"/>
      <c r="C794" s="314"/>
      <c r="D794" s="295"/>
      <c r="E794" s="295"/>
      <c r="F794" s="295"/>
      <c r="G794" s="300"/>
      <c r="H794" s="422"/>
      <c r="I794" s="422"/>
    </row>
    <row r="795" spans="1:9" ht="13.7" customHeight="1">
      <c r="A795" s="107"/>
      <c r="B795" s="107"/>
      <c r="C795" s="314"/>
      <c r="D795" s="2291" t="s">
        <v>1837</v>
      </c>
      <c r="E795" s="2291"/>
      <c r="F795" s="2291"/>
      <c r="G795" s="300"/>
      <c r="H795" s="422"/>
      <c r="I795" s="422"/>
    </row>
    <row r="796" spans="1:9" ht="12.75">
      <c r="A796" s="107"/>
      <c r="B796" s="107"/>
      <c r="C796" s="314"/>
      <c r="D796" s="2292" t="s">
        <v>1838</v>
      </c>
      <c r="E796" s="2292"/>
      <c r="F796" s="2292"/>
      <c r="G796" s="300"/>
      <c r="H796" s="422"/>
      <c r="I796" s="422"/>
    </row>
    <row r="797" spans="1:9" ht="12.75">
      <c r="A797" s="107"/>
      <c r="B797" s="107"/>
      <c r="C797" s="314"/>
      <c r="D797" s="1046"/>
      <c r="E797" s="1046"/>
      <c r="F797" s="1046"/>
      <c r="G797" s="300"/>
      <c r="H797" s="422"/>
      <c r="I797" s="422"/>
    </row>
    <row r="798" spans="1:9" ht="12.75">
      <c r="A798" s="107"/>
      <c r="B798" s="1000" t="s">
        <v>85</v>
      </c>
      <c r="C798" s="314"/>
      <c r="D798" s="2280" t="s">
        <v>1839</v>
      </c>
      <c r="E798" s="2280"/>
      <c r="F798" s="2280"/>
      <c r="G798" s="300"/>
      <c r="H798" s="422"/>
      <c r="I798" s="422"/>
    </row>
    <row r="799" spans="1:9" ht="12.75">
      <c r="A799" s="107"/>
      <c r="B799" s="107"/>
      <c r="C799" s="314"/>
      <c r="D799" s="2280"/>
      <c r="E799" s="2280"/>
      <c r="F799" s="2280"/>
      <c r="G799" s="300"/>
      <c r="H799" s="422"/>
      <c r="I799" s="422"/>
    </row>
    <row r="800" spans="1:9" ht="12.75">
      <c r="A800" s="433"/>
      <c r="B800" s="433"/>
      <c r="C800" s="311"/>
      <c r="D800" s="2280"/>
      <c r="E800" s="2280"/>
      <c r="F800" s="2280"/>
      <c r="G800" s="296"/>
      <c r="H800" s="422"/>
      <c r="I800" s="422"/>
    </row>
    <row r="801" spans="1:9" ht="12.75">
      <c r="A801" s="162"/>
      <c r="B801" s="162"/>
      <c r="C801" s="297"/>
      <c r="D801" s="429"/>
      <c r="E801" s="300"/>
      <c r="F801" s="300"/>
      <c r="G801" s="300"/>
      <c r="H801" s="422"/>
      <c r="I801" s="422"/>
    </row>
    <row r="802" spans="1:9" ht="12.75">
      <c r="A802" s="436"/>
      <c r="B802" s="1000" t="s">
        <v>85</v>
      </c>
      <c r="C802" s="315"/>
      <c r="D802" s="2280" t="s">
        <v>1840</v>
      </c>
      <c r="E802" s="2280"/>
      <c r="F802" s="2280"/>
      <c r="G802" s="300"/>
      <c r="H802" s="422"/>
      <c r="I802" s="422"/>
    </row>
    <row r="803" spans="1:9" ht="12.75">
      <c r="A803" s="775"/>
      <c r="B803" s="775"/>
      <c r="C803" s="776"/>
      <c r="D803" s="2280"/>
      <c r="E803" s="2280"/>
      <c r="F803" s="2280"/>
      <c r="G803" s="300"/>
      <c r="H803" s="422"/>
      <c r="I803" s="422"/>
    </row>
    <row r="804" spans="1:9" ht="12.75">
      <c r="A804" s="436"/>
      <c r="B804" s="436"/>
      <c r="C804" s="315"/>
      <c r="D804" s="2280"/>
      <c r="E804" s="2280"/>
      <c r="F804" s="2280"/>
      <c r="G804" s="300"/>
      <c r="H804" s="422"/>
      <c r="I804" s="422"/>
    </row>
    <row r="805" spans="1:9" ht="12.75">
      <c r="A805" s="433"/>
      <c r="B805" s="433"/>
      <c r="C805" s="311"/>
      <c r="D805" s="294"/>
      <c r="E805" s="308"/>
      <c r="F805" s="308"/>
      <c r="G805" s="598"/>
      <c r="H805" s="422"/>
      <c r="I805" s="422"/>
    </row>
    <row r="806" spans="1:9" ht="14.45" customHeight="1">
      <c r="A806" s="431"/>
      <c r="B806" s="1000" t="s">
        <v>85</v>
      </c>
      <c r="C806" s="336"/>
      <c r="D806" s="2197" t="s">
        <v>1964</v>
      </c>
      <c r="E806" s="2197"/>
      <c r="F806" s="2197"/>
      <c r="G806" s="598"/>
      <c r="H806" s="422"/>
      <c r="I806" s="422"/>
    </row>
    <row r="807" spans="1:9" ht="14.25">
      <c r="A807" s="431"/>
      <c r="B807" s="431"/>
      <c r="C807" s="336"/>
      <c r="D807" s="2197"/>
      <c r="E807" s="2197"/>
      <c r="F807" s="2197"/>
      <c r="G807" s="598"/>
      <c r="H807" s="422"/>
      <c r="I807" s="422"/>
    </row>
    <row r="808" spans="1:9" ht="14.25">
      <c r="A808" s="431"/>
      <c r="B808" s="431"/>
      <c r="C808" s="336"/>
      <c r="D808" s="2197"/>
      <c r="E808" s="2197"/>
      <c r="F808" s="2197"/>
      <c r="G808" s="598"/>
      <c r="H808" s="422"/>
      <c r="I808" s="422"/>
    </row>
    <row r="809" spans="1:9" ht="14.25">
      <c r="A809" s="431"/>
      <c r="B809" s="431"/>
      <c r="C809" s="336"/>
      <c r="D809" s="1105"/>
      <c r="E809" s="294"/>
      <c r="F809" s="294"/>
      <c r="G809" s="598"/>
      <c r="H809" s="422"/>
      <c r="I809" s="422"/>
    </row>
    <row r="810" spans="1:9" ht="14.25" customHeight="1">
      <c r="A810" s="431"/>
      <c r="B810" s="1000" t="s">
        <v>85</v>
      </c>
      <c r="C810" s="336"/>
      <c r="D810" s="2280" t="s">
        <v>1841</v>
      </c>
      <c r="E810" s="2280"/>
      <c r="F810" s="2280"/>
      <c r="G810" s="598"/>
      <c r="H810" s="422"/>
      <c r="I810" s="422"/>
    </row>
    <row r="811" spans="1:9" ht="14.25">
      <c r="A811" s="431"/>
      <c r="B811" s="431"/>
      <c r="C811" s="336"/>
      <c r="D811" s="2280"/>
      <c r="E811" s="2280"/>
      <c r="F811" s="2280"/>
      <c r="G811" s="598"/>
      <c r="H811" s="422"/>
      <c r="I811" s="422"/>
    </row>
    <row r="812" spans="1:9" ht="14.25">
      <c r="A812" s="431"/>
      <c r="B812" s="431"/>
      <c r="C812" s="336"/>
      <c r="D812" s="2280"/>
      <c r="E812" s="2280"/>
      <c r="F812" s="2280"/>
      <c r="G812" s="598"/>
      <c r="H812" s="422"/>
      <c r="I812" s="422"/>
    </row>
    <row r="813" spans="1:9" ht="14.25">
      <c r="A813" s="431"/>
      <c r="B813" s="431"/>
      <c r="C813" s="336"/>
      <c r="D813" s="2280"/>
      <c r="E813" s="2280"/>
      <c r="F813" s="2280"/>
      <c r="G813" s="598"/>
      <c r="H813" s="422"/>
      <c r="I813" s="422"/>
    </row>
    <row r="814" spans="1:9" ht="14.25">
      <c r="A814" s="431"/>
      <c r="B814" s="431"/>
      <c r="C814" s="336"/>
      <c r="D814" s="2280"/>
      <c r="E814" s="2280"/>
      <c r="F814" s="2280"/>
      <c r="G814" s="598"/>
      <c r="H814" s="422"/>
      <c r="I814" s="422"/>
    </row>
    <row r="815" spans="1:9" ht="14.25">
      <c r="A815" s="431"/>
      <c r="B815" s="14"/>
      <c r="C815" s="336"/>
      <c r="D815" s="1408"/>
      <c r="E815" s="1408"/>
      <c r="F815" s="1408"/>
      <c r="G815" s="598"/>
      <c r="H815" s="422"/>
      <c r="I815" s="422"/>
    </row>
    <row r="816" spans="1:9" ht="14.25">
      <c r="A816" s="431"/>
      <c r="B816" s="1000" t="s">
        <v>85</v>
      </c>
      <c r="C816" s="336"/>
      <c r="D816" s="2280" t="s">
        <v>1843</v>
      </c>
      <c r="E816" s="2280"/>
      <c r="F816" s="2280"/>
      <c r="G816" s="598"/>
      <c r="H816" s="422"/>
      <c r="I816" s="422"/>
    </row>
    <row r="817" spans="1:9" ht="14.25">
      <c r="A817" s="431"/>
      <c r="B817" s="431"/>
      <c r="C817" s="336"/>
      <c r="D817" s="2280"/>
      <c r="E817" s="2280"/>
      <c r="F817" s="2280"/>
      <c r="G817" s="598"/>
      <c r="H817" s="422"/>
      <c r="I817" s="422"/>
    </row>
    <row r="818" spans="1:9" ht="14.25">
      <c r="A818" s="431"/>
      <c r="B818" s="431"/>
      <c r="C818" s="336"/>
      <c r="D818" s="2280"/>
      <c r="E818" s="2280"/>
      <c r="F818" s="2280"/>
      <c r="G818" s="598"/>
      <c r="H818" s="422"/>
      <c r="I818" s="422"/>
    </row>
    <row r="819" spans="1:9" ht="14.25">
      <c r="A819" s="431"/>
      <c r="B819" s="431"/>
      <c r="C819" s="336"/>
      <c r="D819" s="2280"/>
      <c r="E819" s="2280"/>
      <c r="F819" s="2280"/>
      <c r="G819" s="598"/>
      <c r="H819" s="422"/>
      <c r="I819" s="422"/>
    </row>
    <row r="820" spans="1:9" ht="14.25">
      <c r="A820" s="431"/>
      <c r="B820" s="431"/>
      <c r="C820" s="336"/>
      <c r="D820" s="2280"/>
      <c r="E820" s="2280"/>
      <c r="F820" s="2280"/>
      <c r="G820" s="598"/>
      <c r="H820" s="422"/>
      <c r="I820" s="422"/>
    </row>
    <row r="821" spans="1:9" ht="14.25">
      <c r="A821" s="431"/>
      <c r="B821" s="431"/>
      <c r="C821" s="336"/>
      <c r="D821" s="2280"/>
      <c r="E821" s="2280"/>
      <c r="F821" s="2280"/>
      <c r="G821" s="598"/>
      <c r="H821" s="422"/>
      <c r="I821" s="422"/>
    </row>
    <row r="822" spans="1:9" ht="14.25">
      <c r="A822" s="431"/>
      <c r="B822" s="431"/>
      <c r="C822" s="336"/>
      <c r="D822" s="1396"/>
      <c r="E822" s="1396"/>
      <c r="F822" s="1396"/>
      <c r="G822" s="598"/>
      <c r="H822" s="422"/>
      <c r="I822" s="422"/>
    </row>
    <row r="823" spans="1:9" ht="14.25">
      <c r="A823" s="431"/>
      <c r="B823" s="1397" t="s">
        <v>85</v>
      </c>
      <c r="C823" s="336"/>
      <c r="D823" s="2197" t="s">
        <v>2190</v>
      </c>
      <c r="E823" s="2280"/>
      <c r="F823" s="2280"/>
      <c r="G823" s="598"/>
      <c r="H823" s="422"/>
      <c r="I823" s="422"/>
    </row>
    <row r="824" spans="1:9" ht="14.25">
      <c r="A824" s="431"/>
      <c r="B824" s="431"/>
      <c r="C824" s="336"/>
      <c r="D824" s="2280"/>
      <c r="E824" s="2280"/>
      <c r="F824" s="2280"/>
      <c r="G824" s="598"/>
      <c r="H824" s="422"/>
      <c r="I824" s="422"/>
    </row>
    <row r="825" spans="1:9" ht="14.25">
      <c r="A825" s="431"/>
      <c r="B825" s="431"/>
      <c r="C825" s="336"/>
      <c r="D825" s="2280"/>
      <c r="E825" s="2280"/>
      <c r="F825" s="2280"/>
      <c r="G825" s="598"/>
      <c r="H825" s="422"/>
      <c r="I825" s="422"/>
    </row>
    <row r="826" spans="1:9" ht="14.25">
      <c r="A826" s="431"/>
      <c r="B826" s="431"/>
      <c r="C826" s="336"/>
      <c r="D826" s="2280"/>
      <c r="E826" s="2280"/>
      <c r="F826" s="2280"/>
      <c r="G826" s="598"/>
      <c r="H826" s="422"/>
      <c r="I826" s="422"/>
    </row>
    <row r="827" spans="1:9" ht="14.25">
      <c r="A827" s="431"/>
      <c r="B827" s="431"/>
      <c r="C827" s="336"/>
      <c r="D827" s="2280"/>
      <c r="E827" s="2280"/>
      <c r="F827" s="2280"/>
      <c r="G827" s="598"/>
      <c r="H827" s="422"/>
      <c r="I827" s="422"/>
    </row>
    <row r="828" spans="1:9" ht="14.25">
      <c r="A828" s="431"/>
      <c r="B828" s="431"/>
      <c r="C828" s="336"/>
      <c r="D828" s="1107"/>
      <c r="E828" s="1107"/>
      <c r="F828" s="1107"/>
      <c r="G828" s="598"/>
      <c r="H828" s="422"/>
      <c r="I828" s="422"/>
    </row>
    <row r="829" spans="1:9" ht="14.25">
      <c r="A829" s="431"/>
      <c r="B829" s="1000" t="s">
        <v>85</v>
      </c>
      <c r="C829" s="336"/>
      <c r="D829" s="2280" t="s">
        <v>1842</v>
      </c>
      <c r="E829" s="2280"/>
      <c r="F829" s="2280"/>
      <c r="G829" s="598"/>
      <c r="H829" s="422"/>
      <c r="I829" s="422"/>
    </row>
    <row r="830" spans="1:9" ht="14.25">
      <c r="A830" s="431"/>
      <c r="B830" s="431"/>
      <c r="C830" s="336"/>
      <c r="D830" s="2280"/>
      <c r="E830" s="2280"/>
      <c r="F830" s="2280"/>
      <c r="G830" s="598"/>
      <c r="H830" s="422"/>
      <c r="I830" s="422"/>
    </row>
    <row r="831" spans="1:9" ht="14.25">
      <c r="A831" s="431"/>
      <c r="B831" s="431"/>
      <c r="C831" s="336"/>
      <c r="D831" s="2280"/>
      <c r="E831" s="2280"/>
      <c r="F831" s="2280"/>
      <c r="G831" s="598"/>
      <c r="H831" s="422"/>
      <c r="I831" s="422"/>
    </row>
    <row r="832" spans="1:9" ht="14.25">
      <c r="A832" s="431"/>
      <c r="B832" s="431"/>
      <c r="C832" s="336"/>
      <c r="D832" s="2280"/>
      <c r="E832" s="2280"/>
      <c r="F832" s="2280"/>
      <c r="G832" s="598"/>
      <c r="H832" s="422"/>
      <c r="I832" s="422"/>
    </row>
    <row r="833" spans="1:9" ht="14.25">
      <c r="A833" s="431"/>
      <c r="B833" s="431"/>
      <c r="C833" s="336"/>
      <c r="D833" s="308"/>
      <c r="E833" s="294"/>
      <c r="F833" s="294"/>
      <c r="G833" s="598"/>
      <c r="H833" s="422"/>
      <c r="I833" s="422"/>
    </row>
    <row r="834" spans="1:9" ht="14.25">
      <c r="A834" s="431"/>
      <c r="B834" s="1000" t="s">
        <v>85</v>
      </c>
      <c r="C834" s="336"/>
      <c r="D834" s="2283" t="s">
        <v>1845</v>
      </c>
      <c r="E834" s="2283"/>
      <c r="F834" s="2283"/>
      <c r="G834" s="598"/>
      <c r="H834" s="422"/>
      <c r="I834" s="422"/>
    </row>
    <row r="835" spans="1:9" ht="14.25">
      <c r="A835" s="431"/>
      <c r="B835" s="431"/>
      <c r="C835" s="336"/>
      <c r="D835" s="2283"/>
      <c r="E835" s="2283"/>
      <c r="F835" s="2283"/>
      <c r="G835" s="598"/>
      <c r="H835" s="422"/>
      <c r="I835" s="422"/>
    </row>
    <row r="836" spans="1:9" ht="12.75">
      <c r="A836" s="33"/>
      <c r="B836" s="33"/>
      <c r="C836" s="336"/>
      <c r="D836" s="2283"/>
      <c r="E836" s="2283"/>
      <c r="F836" s="2283"/>
      <c r="G836" s="598"/>
      <c r="H836" s="422"/>
      <c r="I836" s="422"/>
    </row>
    <row r="837" spans="1:9" ht="14.25">
      <c r="A837" s="431"/>
      <c r="B837" s="1047"/>
      <c r="C837" s="336"/>
      <c r="D837" s="2283"/>
      <c r="E837" s="2283"/>
      <c r="F837" s="2283"/>
      <c r="G837" s="598"/>
      <c r="H837" s="422"/>
      <c r="I837" s="422"/>
    </row>
    <row r="838" spans="1:9" ht="14.25">
      <c r="A838" s="431"/>
      <c r="B838" s="1047"/>
      <c r="C838" s="336"/>
      <c r="D838" s="2283"/>
      <c r="E838" s="2283"/>
      <c r="F838" s="2283"/>
      <c r="G838" s="598"/>
      <c r="H838" s="422"/>
      <c r="I838" s="422"/>
    </row>
    <row r="839" spans="1:9" ht="14.25">
      <c r="A839" s="431"/>
      <c r="B839" s="1047"/>
      <c r="C839" s="336"/>
      <c r="D839" s="2283"/>
      <c r="E839" s="2283"/>
      <c r="F839" s="2283"/>
      <c r="G839" s="598"/>
      <c r="H839" s="422"/>
      <c r="I839" s="422"/>
    </row>
    <row r="840" spans="1:9" ht="14.25">
      <c r="A840" s="431"/>
      <c r="B840" s="1108"/>
      <c r="C840" s="336"/>
      <c r="D840" s="1106"/>
      <c r="E840" s="1106"/>
      <c r="F840" s="1106"/>
      <c r="G840" s="598"/>
      <c r="H840" s="422"/>
      <c r="I840" s="422"/>
    </row>
    <row r="841" spans="1:9" ht="14.25">
      <c r="A841" s="431"/>
      <c r="B841" s="1000" t="s">
        <v>85</v>
      </c>
      <c r="C841" s="336"/>
      <c r="D841" s="2280" t="s">
        <v>1844</v>
      </c>
      <c r="E841" s="2280"/>
      <c r="F841" s="2280"/>
      <c r="G841" s="598"/>
      <c r="H841" s="422"/>
      <c r="I841" s="422"/>
    </row>
    <row r="842" spans="1:9" ht="14.25">
      <c r="A842" s="431"/>
      <c r="B842" s="431"/>
      <c r="C842" s="336"/>
      <c r="D842" s="2280"/>
      <c r="E842" s="2280"/>
      <c r="F842" s="2280"/>
      <c r="G842" s="598"/>
      <c r="H842" s="422"/>
      <c r="I842" s="422"/>
    </row>
    <row r="843" spans="1:9" ht="14.25">
      <c r="A843" s="431"/>
      <c r="B843" s="431"/>
      <c r="C843" s="336"/>
      <c r="D843" s="308"/>
      <c r="E843" s="294"/>
      <c r="F843" s="294"/>
      <c r="G843" s="598"/>
      <c r="H843" s="422"/>
      <c r="I843" s="422"/>
    </row>
    <row r="844" spans="1:9" ht="14.25">
      <c r="A844" s="431"/>
      <c r="B844" s="1000" t="s">
        <v>85</v>
      </c>
      <c r="C844" s="336"/>
      <c r="D844" s="2283" t="s">
        <v>1846</v>
      </c>
      <c r="E844" s="2283"/>
      <c r="F844" s="2283"/>
      <c r="G844" s="598"/>
      <c r="H844" s="422"/>
      <c r="I844" s="422"/>
    </row>
    <row r="845" spans="1:9" ht="14.25">
      <c r="A845" s="431"/>
      <c r="B845" s="431"/>
      <c r="C845" s="336"/>
      <c r="D845" s="2283"/>
      <c r="E845" s="2283"/>
      <c r="F845" s="2283"/>
      <c r="G845" s="598"/>
      <c r="H845" s="422"/>
      <c r="I845" s="422"/>
    </row>
    <row r="846" spans="1:9" ht="12.75">
      <c r="A846" s="33"/>
      <c r="B846" s="33"/>
      <c r="C846" s="336"/>
      <c r="D846" s="308"/>
      <c r="E846" s="294"/>
      <c r="F846" s="294"/>
      <c r="G846" s="598"/>
      <c r="H846" s="422"/>
      <c r="I846" s="422"/>
    </row>
    <row r="847" spans="1:9" ht="12.75">
      <c r="A847" s="2215" t="s">
        <v>2213</v>
      </c>
      <c r="B847" s="2215"/>
      <c r="C847" s="2215"/>
      <c r="D847" s="2215"/>
      <c r="E847" s="2215"/>
      <c r="F847" s="2215"/>
      <c r="G847" s="2215"/>
      <c r="H847" s="422"/>
      <c r="I847" s="422"/>
    </row>
    <row r="848" spans="1:9" ht="12.75">
      <c r="A848" s="432"/>
      <c r="B848" s="432"/>
      <c r="C848" s="336"/>
      <c r="D848" s="308"/>
      <c r="E848" s="308"/>
      <c r="F848" s="308"/>
      <c r="G848" s="598"/>
      <c r="H848" s="422"/>
      <c r="I848" s="422"/>
    </row>
    <row r="849" spans="1:9" ht="14.25">
      <c r="A849" s="431"/>
      <c r="B849" s="431"/>
      <c r="C849" s="14"/>
      <c r="D849" s="2218" t="s">
        <v>1737</v>
      </c>
      <c r="E849" s="2218"/>
      <c r="F849" s="2218"/>
      <c r="H849" s="422"/>
      <c r="I849" s="422"/>
    </row>
    <row r="850" spans="1:9" ht="14.25">
      <c r="A850" s="431"/>
      <c r="B850" s="431"/>
      <c r="C850" s="14"/>
      <c r="D850" s="2217" t="s">
        <v>2210</v>
      </c>
      <c r="E850" s="2217"/>
      <c r="F850" s="2217"/>
      <c r="H850" s="422"/>
      <c r="I850" s="422"/>
    </row>
    <row r="851" spans="1:9" ht="14.25">
      <c r="A851" s="431"/>
      <c r="B851" s="431"/>
      <c r="C851" s="14"/>
      <c r="D851" s="1411"/>
      <c r="E851" s="1413"/>
      <c r="F851" s="1413"/>
      <c r="H851" s="422"/>
      <c r="I851" s="422"/>
    </row>
    <row r="852" spans="1:9" ht="12.75">
      <c r="A852" s="152"/>
      <c r="B852" s="1000" t="s">
        <v>85</v>
      </c>
      <c r="C852" s="336"/>
      <c r="D852" s="2203" t="s">
        <v>1656</v>
      </c>
      <c r="E852" s="2203"/>
      <c r="F852" s="2203"/>
      <c r="H852" s="422"/>
      <c r="I852" s="422"/>
    </row>
    <row r="853" spans="1:9" ht="12.75">
      <c r="A853" s="33"/>
      <c r="B853" s="33"/>
      <c r="C853" s="336"/>
      <c r="D853" s="6" t="s">
        <v>1624</v>
      </c>
      <c r="E853" s="2264" t="s">
        <v>1657</v>
      </c>
      <c r="F853" s="2264"/>
      <c r="H853" s="422"/>
      <c r="I853" s="422"/>
    </row>
    <row r="854" spans="1:9" ht="12.75">
      <c r="A854" s="33"/>
      <c r="B854" s="33"/>
      <c r="C854" s="336"/>
      <c r="D854" s="350"/>
      <c r="E854" s="294"/>
      <c r="F854" s="294"/>
      <c r="H854" s="422"/>
      <c r="I854" s="422"/>
    </row>
    <row r="855" spans="1:9" ht="12.75">
      <c r="A855" s="1084"/>
      <c r="B855" s="1083" t="s">
        <v>85</v>
      </c>
      <c r="C855" s="336"/>
      <c r="D855" s="2284" t="s">
        <v>1939</v>
      </c>
      <c r="E855" s="2284"/>
      <c r="F855" s="2284"/>
      <c r="H855" s="422"/>
      <c r="I855" s="422"/>
    </row>
    <row r="856" spans="1:9" ht="12.75">
      <c r="A856" s="1084"/>
      <c r="B856" s="1084"/>
      <c r="C856" s="336"/>
      <c r="D856" s="2284"/>
      <c r="E856" s="2284"/>
      <c r="F856" s="2284"/>
      <c r="H856" s="422"/>
      <c r="I856" s="422"/>
    </row>
    <row r="857" spans="1:9" ht="12.75">
      <c r="A857" s="1084"/>
      <c r="B857" s="1084"/>
      <c r="C857" s="336"/>
      <c r="D857" s="2284"/>
      <c r="E857" s="2284"/>
      <c r="F857" s="2284"/>
      <c r="H857" s="422"/>
      <c r="I857" s="422"/>
    </row>
    <row r="858" spans="1:9" ht="12.75">
      <c r="A858" s="1084"/>
      <c r="B858" s="1084"/>
      <c r="C858" s="336"/>
      <c r="D858" s="2284"/>
      <c r="E858" s="2284"/>
      <c r="F858" s="2284"/>
      <c r="H858" s="422"/>
      <c r="I858" s="422"/>
    </row>
    <row r="859" spans="1:9" ht="12.75">
      <c r="A859" s="1084"/>
      <c r="B859" s="1084"/>
      <c r="C859" s="336"/>
      <c r="D859" s="2284"/>
      <c r="E859" s="2284"/>
      <c r="F859" s="2284"/>
      <c r="H859" s="422"/>
      <c r="I859" s="422"/>
    </row>
    <row r="860" spans="1:9" ht="12.75">
      <c r="A860" s="1084"/>
      <c r="B860" s="1084"/>
      <c r="C860" s="336"/>
      <c r="D860" s="2284"/>
      <c r="E860" s="2284"/>
      <c r="F860" s="2284"/>
      <c r="H860" s="422"/>
      <c r="I860" s="422"/>
    </row>
    <row r="861" spans="1:9" ht="12.75">
      <c r="A861" s="1084"/>
      <c r="B861" s="1084"/>
      <c r="C861" s="336"/>
      <c r="D861" s="2284"/>
      <c r="E861" s="2284"/>
      <c r="F861" s="2284"/>
      <c r="H861" s="422"/>
      <c r="I861" s="422"/>
    </row>
    <row r="862" spans="1:9" ht="12.75">
      <c r="A862" s="1084"/>
      <c r="B862" s="1084"/>
      <c r="C862" s="336"/>
      <c r="D862" s="2284"/>
      <c r="E862" s="2284"/>
      <c r="F862" s="2284"/>
      <c r="H862" s="422"/>
      <c r="I862" s="422"/>
    </row>
    <row r="863" spans="1:9" ht="12.75">
      <c r="A863" s="1084"/>
      <c r="B863" s="1084"/>
      <c r="C863" s="336"/>
      <c r="D863" s="2284"/>
      <c r="E863" s="2284"/>
      <c r="F863" s="2284"/>
      <c r="H863" s="422"/>
      <c r="I863" s="422"/>
    </row>
    <row r="864" spans="1:9" ht="12.75">
      <c r="A864" s="1084"/>
      <c r="B864" s="1084"/>
      <c r="C864" s="336"/>
      <c r="D864" s="350"/>
      <c r="E864" s="294"/>
      <c r="F864" s="294"/>
      <c r="H864" s="422"/>
      <c r="I864" s="422"/>
    </row>
    <row r="865" spans="1:9" ht="14.25">
      <c r="A865" s="431"/>
      <c r="B865" s="1000" t="s">
        <v>85</v>
      </c>
      <c r="C865" s="336"/>
      <c r="D865" s="2203" t="s">
        <v>1658</v>
      </c>
      <c r="E865" s="2203"/>
      <c r="F865" s="2203"/>
      <c r="H865" s="422"/>
      <c r="I865" s="422"/>
    </row>
    <row r="866" spans="1:9" ht="14.25">
      <c r="A866" s="431"/>
      <c r="B866" s="431"/>
      <c r="C866" s="336"/>
      <c r="D866" s="2203"/>
      <c r="E866" s="2203"/>
      <c r="F866" s="2203"/>
      <c r="H866" s="422"/>
      <c r="I866" s="422"/>
    </row>
    <row r="867" spans="1:9" ht="14.25">
      <c r="A867" s="431"/>
      <c r="B867" s="431"/>
      <c r="C867" s="336"/>
      <c r="D867" s="2203"/>
      <c r="E867" s="2203"/>
      <c r="F867" s="2203"/>
      <c r="H867" s="422"/>
      <c r="I867" s="422"/>
    </row>
    <row r="868" spans="1:9" ht="14.25">
      <c r="A868" s="596"/>
      <c r="B868" s="596"/>
      <c r="C868" s="423"/>
      <c r="D868" s="421"/>
      <c r="H868" s="422"/>
      <c r="I868" s="422"/>
    </row>
    <row r="869" spans="1:9" ht="12.75">
      <c r="A869" s="740"/>
      <c r="B869" s="1000" t="s">
        <v>85</v>
      </c>
      <c r="C869" s="423"/>
      <c r="D869" s="2287" t="s">
        <v>1659</v>
      </c>
      <c r="E869" s="2287"/>
      <c r="F869" s="2287"/>
      <c r="H869" s="422"/>
      <c r="I869" s="422"/>
    </row>
    <row r="870" spans="1:9" ht="12.75">
      <c r="A870" s="14"/>
      <c r="B870" s="740"/>
      <c r="C870" s="423"/>
      <c r="D870" s="2287"/>
      <c r="E870" s="2287"/>
      <c r="F870" s="2287"/>
      <c r="H870" s="422"/>
      <c r="I870" s="422"/>
    </row>
    <row r="871" spans="1:9" ht="14.25" customHeight="1">
      <c r="A871" s="596"/>
      <c r="B871" s="14"/>
      <c r="C871" s="423"/>
      <c r="D871" s="2231" t="s">
        <v>1689</v>
      </c>
      <c r="E871" s="2231"/>
      <c r="F871" s="2231"/>
      <c r="H871" s="422"/>
      <c r="I871" s="422"/>
    </row>
    <row r="872" spans="1:9" ht="14.25">
      <c r="A872" s="596"/>
      <c r="B872" s="596"/>
      <c r="C872" s="423"/>
      <c r="D872" s="2231"/>
      <c r="E872" s="2231"/>
      <c r="F872" s="2231"/>
      <c r="H872" s="422"/>
      <c r="I872" s="422"/>
    </row>
    <row r="873" spans="1:9" ht="14.25">
      <c r="A873" s="596"/>
      <c r="B873" s="596"/>
      <c r="C873" s="423"/>
      <c r="D873" s="2231"/>
      <c r="E873" s="2231"/>
      <c r="F873" s="2231"/>
      <c r="H873" s="422"/>
      <c r="I873" s="422"/>
    </row>
    <row r="874" spans="1:9" ht="14.25">
      <c r="A874" s="596"/>
      <c r="B874" s="596"/>
      <c r="C874" s="423"/>
      <c r="D874" s="2231"/>
      <c r="E874" s="2231"/>
      <c r="F874" s="2231"/>
      <c r="H874" s="422"/>
      <c r="I874" s="422"/>
    </row>
    <row r="875" spans="1:9" ht="14.25">
      <c r="A875" s="596"/>
      <c r="B875" s="596"/>
      <c r="C875" s="423"/>
      <c r="D875" s="2231"/>
      <c r="E875" s="2231"/>
      <c r="F875" s="2231"/>
      <c r="H875" s="422"/>
      <c r="I875" s="422"/>
    </row>
    <row r="876" spans="1:9" ht="14.25" customHeight="1">
      <c r="A876" s="596"/>
      <c r="B876" s="596"/>
      <c r="C876" s="423"/>
      <c r="D876" s="2231"/>
      <c r="E876" s="2231"/>
      <c r="F876" s="2231"/>
      <c r="H876" s="422"/>
      <c r="I876" s="422"/>
    </row>
    <row r="877" spans="1:9" ht="14.25">
      <c r="A877" s="596"/>
      <c r="B877" s="596"/>
      <c r="C877" s="423"/>
      <c r="D877" s="421"/>
      <c r="H877" s="422"/>
      <c r="I877" s="422"/>
    </row>
    <row r="878" spans="1:9" ht="14.25">
      <c r="A878" s="596"/>
      <c r="B878" s="1000" t="s">
        <v>85</v>
      </c>
      <c r="C878" s="423"/>
      <c r="D878" s="2231" t="s">
        <v>1328</v>
      </c>
      <c r="E878" s="2231"/>
      <c r="F878" s="2231"/>
      <c r="H878" s="422"/>
      <c r="I878" s="422"/>
    </row>
    <row r="879" spans="1:9" ht="14.25">
      <c r="A879" s="596"/>
      <c r="B879" s="596"/>
      <c r="C879" s="423"/>
      <c r="D879" s="2231" t="s">
        <v>1329</v>
      </c>
      <c r="E879" s="2231"/>
      <c r="F879" s="2231"/>
      <c r="H879" s="422"/>
      <c r="I879" s="422"/>
    </row>
    <row r="880" spans="1:9" ht="14.25">
      <c r="A880" s="596"/>
      <c r="B880" s="596"/>
      <c r="C880" s="423"/>
      <c r="D880" s="344" t="s">
        <v>1623</v>
      </c>
      <c r="E880" s="2293" t="s">
        <v>1660</v>
      </c>
      <c r="F880" s="2293"/>
      <c r="H880" s="422"/>
      <c r="I880" s="422"/>
    </row>
    <row r="881" spans="1:9" ht="14.25">
      <c r="A881" s="596"/>
      <c r="B881" s="596"/>
      <c r="C881" s="423"/>
      <c r="D881" s="421"/>
      <c r="H881" s="422"/>
      <c r="I881" s="422"/>
    </row>
    <row r="882" spans="1:9" ht="14.25">
      <c r="A882" s="596"/>
      <c r="B882" s="1000" t="s">
        <v>85</v>
      </c>
      <c r="C882" s="423"/>
      <c r="D882" s="2231" t="s">
        <v>1661</v>
      </c>
      <c r="E882" s="2231"/>
      <c r="F882" s="2231"/>
      <c r="H882" s="422"/>
      <c r="I882" s="422"/>
    </row>
    <row r="883" spans="1:9" ht="14.25">
      <c r="A883" s="596"/>
      <c r="B883" s="596"/>
      <c r="C883" s="423"/>
      <c r="D883" s="2231"/>
      <c r="E883" s="2231"/>
      <c r="F883" s="2231"/>
      <c r="H883" s="422"/>
      <c r="I883" s="422"/>
    </row>
    <row r="884" spans="1:9" ht="14.25">
      <c r="A884" s="596"/>
      <c r="B884" s="596"/>
      <c r="C884" s="423"/>
      <c r="D884" s="2231"/>
      <c r="E884" s="2231"/>
      <c r="F884" s="2231"/>
      <c r="H884" s="422"/>
      <c r="I884" s="422"/>
    </row>
    <row r="885" spans="1:9" ht="14.25">
      <c r="A885" s="596"/>
      <c r="B885" s="596"/>
      <c r="C885" s="423"/>
      <c r="D885" s="2231"/>
      <c r="E885" s="2231"/>
      <c r="F885" s="2231"/>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2216" t="s">
        <v>1736</v>
      </c>
      <c r="E889" s="2216"/>
      <c r="F889" s="2216"/>
      <c r="G889" s="598"/>
      <c r="H889" s="422"/>
      <c r="I889" s="422"/>
    </row>
    <row r="890" spans="1:9" ht="12.75">
      <c r="A890" s="1072"/>
      <c r="B890" s="1072"/>
      <c r="C890" s="311"/>
      <c r="D890" s="2289" t="s">
        <v>2211</v>
      </c>
      <c r="E890" s="2290"/>
      <c r="F890" s="2290"/>
      <c r="G890" s="598"/>
      <c r="H890" s="422"/>
      <c r="I890" s="422"/>
    </row>
    <row r="891" spans="1:9" ht="12.75">
      <c r="A891" s="1072"/>
      <c r="B891" s="1072"/>
      <c r="C891" s="311"/>
      <c r="D891" s="1065"/>
      <c r="E891" s="1065"/>
      <c r="F891" s="1065"/>
      <c r="G891" s="598"/>
      <c r="H891" s="422"/>
      <c r="I891" s="422"/>
    </row>
    <row r="892" spans="1:9" ht="14.25">
      <c r="A892" s="431"/>
      <c r="B892" s="1000" t="s">
        <v>85</v>
      </c>
      <c r="C892" s="14"/>
      <c r="D892" s="2200" t="s">
        <v>1688</v>
      </c>
      <c r="E892" s="2200"/>
      <c r="F892" s="2200"/>
      <c r="G892" s="598"/>
      <c r="H892" s="422"/>
      <c r="I892" s="422"/>
    </row>
    <row r="893" spans="1:9" ht="12.75">
      <c r="A893" s="152"/>
      <c r="B893" s="152"/>
      <c r="C893" s="14"/>
      <c r="D893" s="6" t="s">
        <v>1623</v>
      </c>
      <c r="E893" s="2288" t="s">
        <v>1660</v>
      </c>
      <c r="F893" s="2288"/>
      <c r="G893" s="598"/>
    </row>
    <row r="894" spans="1:9" ht="12.75">
      <c r="A894" s="152"/>
      <c r="B894" s="152"/>
      <c r="C894" s="14"/>
      <c r="D894" s="299"/>
      <c r="E894" s="308"/>
      <c r="F894" s="308"/>
      <c r="G894" s="598"/>
      <c r="H894" s="422"/>
      <c r="I894" s="422"/>
    </row>
    <row r="895" spans="1:9" ht="14.25">
      <c r="A895" s="431"/>
      <c r="B895" s="1000" t="s">
        <v>85</v>
      </c>
      <c r="C895" s="14"/>
      <c r="D895" s="2217" t="s">
        <v>2214</v>
      </c>
      <c r="E895" s="2250"/>
      <c r="F895" s="2250"/>
    </row>
    <row r="896" spans="1:9" ht="12.6" customHeight="1">
      <c r="A896" s="152"/>
      <c r="B896" s="152"/>
      <c r="C896" s="14"/>
      <c r="D896" s="2250"/>
      <c r="E896" s="2250"/>
      <c r="F896" s="2250"/>
    </row>
    <row r="897" spans="1:9" ht="12.75">
      <c r="A897" s="152"/>
      <c r="B897" s="152"/>
      <c r="C897" s="14"/>
      <c r="D897" s="299"/>
      <c r="E897" s="294"/>
      <c r="F897" s="294"/>
    </row>
    <row r="898" spans="1:9" ht="14.25">
      <c r="A898" s="431"/>
      <c r="B898" s="1000" t="s">
        <v>85</v>
      </c>
      <c r="C898" s="14"/>
      <c r="D898" s="2195" t="s">
        <v>1884</v>
      </c>
      <c r="E898" s="2195"/>
      <c r="F898" s="2195"/>
      <c r="G898" s="598"/>
      <c r="H898" s="422"/>
      <c r="I898" s="422"/>
    </row>
    <row r="899" spans="1:9" ht="14.25">
      <c r="A899" s="431"/>
      <c r="B899" s="431"/>
      <c r="C899" s="14"/>
      <c r="D899" s="299"/>
      <c r="E899" s="308"/>
      <c r="F899" s="308"/>
      <c r="G899" s="598"/>
      <c r="H899" s="422"/>
      <c r="I899" s="422"/>
    </row>
    <row r="900" spans="1:9" ht="12.75">
      <c r="A900" s="14"/>
      <c r="B900" s="1000" t="s">
        <v>85</v>
      </c>
      <c r="D900" s="2285" t="s">
        <v>1943</v>
      </c>
      <c r="E900" s="2285"/>
      <c r="F900" s="2285"/>
      <c r="G900" s="598"/>
      <c r="H900" s="422"/>
      <c r="I900" s="422"/>
    </row>
    <row r="901" spans="1:9" ht="29.45" customHeight="1">
      <c r="A901" s="14"/>
      <c r="B901" s="948"/>
      <c r="D901" s="2285"/>
      <c r="E901" s="2285"/>
      <c r="F901" s="2285"/>
      <c r="G901" s="598"/>
      <c r="H901" s="422"/>
      <c r="I901" s="422"/>
    </row>
    <row r="902" spans="1:9" ht="14.25">
      <c r="A902" s="431"/>
      <c r="B902" s="2"/>
      <c r="C902" s="14"/>
      <c r="D902" s="2231" t="s">
        <v>1689</v>
      </c>
      <c r="E902" s="2231"/>
      <c r="F902" s="2231"/>
      <c r="G902" s="598"/>
      <c r="H902" s="422"/>
      <c r="I902" s="422"/>
    </row>
    <row r="903" spans="1:9" ht="14.25">
      <c r="A903" s="431"/>
      <c r="B903" s="431"/>
      <c r="C903" s="14"/>
      <c r="D903" s="2231"/>
      <c r="E903" s="2231"/>
      <c r="F903" s="2231"/>
      <c r="G903" s="598"/>
      <c r="H903" s="422"/>
      <c r="I903" s="422"/>
    </row>
    <row r="904" spans="1:9" ht="14.25">
      <c r="A904" s="431"/>
      <c r="B904" s="431"/>
      <c r="C904" s="14"/>
      <c r="D904" s="2231"/>
      <c r="E904" s="2231"/>
      <c r="F904" s="2231"/>
      <c r="G904" s="598"/>
      <c r="H904" s="422"/>
      <c r="I904" s="422"/>
    </row>
    <row r="905" spans="1:9" ht="14.25">
      <c r="A905" s="431"/>
      <c r="B905" s="431"/>
      <c r="C905" s="14"/>
      <c r="D905" s="2231"/>
      <c r="E905" s="2231"/>
      <c r="F905" s="2231"/>
      <c r="G905" s="598"/>
      <c r="H905" s="422"/>
      <c r="I905" s="422"/>
    </row>
    <row r="906" spans="1:9" ht="14.25">
      <c r="A906" s="431"/>
      <c r="B906" s="431"/>
      <c r="C906" s="14"/>
      <c r="D906" s="2231"/>
      <c r="E906" s="2231"/>
      <c r="F906" s="2231"/>
      <c r="G906" s="598"/>
      <c r="H906" s="422"/>
      <c r="I906" s="422"/>
    </row>
    <row r="907" spans="1:9" ht="14.25">
      <c r="A907" s="431"/>
      <c r="B907" s="431"/>
      <c r="C907" s="14"/>
      <c r="D907" s="2231"/>
      <c r="E907" s="2231"/>
      <c r="F907" s="2231"/>
      <c r="G907" s="598"/>
      <c r="H907" s="422"/>
      <c r="I907" s="422"/>
    </row>
    <row r="908" spans="1:9" ht="14.25">
      <c r="A908" s="431"/>
      <c r="B908" s="431"/>
      <c r="C908" s="14"/>
      <c r="D908" s="299"/>
      <c r="E908" s="308"/>
      <c r="F908" s="308"/>
      <c r="G908" s="598"/>
      <c r="H908" s="422"/>
      <c r="I908" s="422"/>
    </row>
    <row r="909" spans="1:9" ht="14.25">
      <c r="A909" s="431"/>
      <c r="B909" s="1000" t="s">
        <v>85</v>
      </c>
      <c r="C909" s="14"/>
      <c r="D909" s="2195" t="s">
        <v>1328</v>
      </c>
      <c r="E909" s="2195"/>
      <c r="F909" s="2195"/>
      <c r="G909" s="598"/>
      <c r="H909" s="422"/>
      <c r="I909" s="422"/>
    </row>
    <row r="910" spans="1:9" ht="14.25">
      <c r="A910" s="431"/>
      <c r="B910" s="431"/>
      <c r="C910" s="14"/>
      <c r="D910" s="2195" t="s">
        <v>1329</v>
      </c>
      <c r="E910" s="2195"/>
      <c r="F910" s="2195"/>
      <c r="G910" s="598"/>
      <c r="H910" s="422"/>
      <c r="I910" s="422"/>
    </row>
    <row r="911" spans="1:9" ht="14.25">
      <c r="A911" s="431"/>
      <c r="B911" s="431"/>
      <c r="C911" s="14"/>
      <c r="D911" s="6" t="s">
        <v>1690</v>
      </c>
      <c r="E911" s="2286" t="s">
        <v>1660</v>
      </c>
      <c r="F911" s="2286"/>
      <c r="G911" s="598"/>
      <c r="H911" s="422"/>
      <c r="I911" s="422"/>
    </row>
    <row r="912" spans="1:9" ht="14.25">
      <c r="A912" s="431"/>
      <c r="B912" s="431"/>
      <c r="C912" s="14"/>
      <c r="D912" s="299"/>
      <c r="E912" s="308"/>
      <c r="F912" s="308"/>
      <c r="G912" s="598"/>
      <c r="H912" s="422"/>
      <c r="I912" s="422"/>
    </row>
    <row r="913" spans="1:9" ht="14.25">
      <c r="A913" s="431"/>
      <c r="B913" s="1000" t="s">
        <v>85</v>
      </c>
      <c r="C913" s="14"/>
      <c r="D913" s="2203" t="s">
        <v>1661</v>
      </c>
      <c r="E913" s="2203"/>
      <c r="F913" s="2203"/>
      <c r="G913" s="598"/>
      <c r="H913" s="422"/>
      <c r="I913" s="422"/>
    </row>
    <row r="914" spans="1:9" ht="14.25">
      <c r="A914" s="431"/>
      <c r="B914" s="431"/>
      <c r="C914" s="14"/>
      <c r="D914" s="2203"/>
      <c r="E914" s="2203"/>
      <c r="F914" s="2203"/>
      <c r="G914" s="598"/>
      <c r="H914" s="422"/>
      <c r="I914" s="422"/>
    </row>
    <row r="915" spans="1:9" ht="14.25">
      <c r="A915" s="431"/>
      <c r="B915" s="431"/>
      <c r="C915" s="14"/>
      <c r="D915" s="2203"/>
      <c r="E915" s="2203"/>
      <c r="F915" s="2203"/>
      <c r="G915" s="598"/>
      <c r="H915" s="422"/>
      <c r="I915" s="422"/>
    </row>
    <row r="916" spans="1:9" ht="14.25">
      <c r="A916" s="431"/>
      <c r="B916" s="431"/>
      <c r="C916" s="14"/>
      <c r="D916" s="2203"/>
      <c r="E916" s="2203"/>
      <c r="F916" s="2203"/>
      <c r="G916" s="598"/>
      <c r="H916" s="422"/>
      <c r="I916" s="422"/>
    </row>
    <row r="917" spans="1:9" ht="12.75">
      <c r="A917" s="155"/>
      <c r="B917" s="155"/>
      <c r="C917" s="336"/>
      <c r="D917" s="308"/>
      <c r="E917" s="308"/>
      <c r="F917" s="308"/>
      <c r="G917" s="598"/>
      <c r="H917" s="422"/>
      <c r="I917" s="422"/>
    </row>
    <row r="918" spans="1:9" ht="12.75">
      <c r="A918" s="2215" t="s">
        <v>1587</v>
      </c>
      <c r="B918" s="2215"/>
      <c r="C918" s="2215"/>
      <c r="D918" s="2215"/>
      <c r="E918" s="2215"/>
      <c r="F918" s="2215"/>
      <c r="G918" s="2215"/>
      <c r="H918" s="422"/>
      <c r="I918" s="422"/>
    </row>
    <row r="919" spans="1:9" ht="12.75">
      <c r="A919" s="155"/>
      <c r="B919" s="155"/>
      <c r="C919" s="336"/>
      <c r="D919" s="308"/>
      <c r="E919" s="308"/>
      <c r="F919" s="308"/>
      <c r="G919" s="598"/>
      <c r="H919" s="422"/>
      <c r="I919" s="422"/>
    </row>
    <row r="920" spans="1:9" ht="12.75">
      <c r="A920" s="152"/>
      <c r="B920" s="152"/>
      <c r="C920" s="336"/>
      <c r="D920" s="2258" t="s">
        <v>1885</v>
      </c>
      <c r="E920" s="2258"/>
      <c r="F920" s="2258"/>
      <c r="G920" s="598"/>
      <c r="H920" s="422"/>
      <c r="I920" s="422"/>
    </row>
    <row r="921" spans="1:9" ht="12.75">
      <c r="A921" s="432"/>
      <c r="B921" s="432"/>
      <c r="C921" s="310"/>
      <c r="D921" s="2200" t="s">
        <v>1687</v>
      </c>
      <c r="E921" s="2200"/>
      <c r="F921" s="2200"/>
      <c r="G921" s="598"/>
      <c r="H921" s="422"/>
      <c r="I921" s="422"/>
    </row>
    <row r="922" spans="1:9" ht="12.75">
      <c r="A922" s="432"/>
      <c r="B922" s="432"/>
      <c r="C922" s="310"/>
      <c r="D922" s="294"/>
      <c r="E922" s="294"/>
      <c r="F922" s="308"/>
      <c r="G922" s="598"/>
      <c r="H922" s="422"/>
      <c r="I922" s="422"/>
    </row>
    <row r="923" spans="1:9" ht="13.7" customHeight="1">
      <c r="A923" s="432"/>
      <c r="B923" s="1070" t="s">
        <v>85</v>
      </c>
      <c r="C923" s="310"/>
      <c r="D923" s="2294" t="s">
        <v>1895</v>
      </c>
      <c r="E923" s="2294"/>
      <c r="F923" s="2294"/>
      <c r="G923" s="598"/>
      <c r="H923" s="422"/>
      <c r="I923" s="422"/>
    </row>
    <row r="924" spans="1:9" ht="12.75">
      <c r="A924" s="432"/>
      <c r="B924" s="432"/>
      <c r="C924" s="310"/>
      <c r="D924" s="2294"/>
      <c r="E924" s="2294"/>
      <c r="F924" s="2294"/>
      <c r="G924" s="598"/>
      <c r="H924" s="422"/>
      <c r="I924" s="422"/>
    </row>
    <row r="925" spans="1:9" ht="12.75">
      <c r="A925" s="432"/>
      <c r="B925" s="432"/>
      <c r="C925" s="310"/>
      <c r="D925" s="2294"/>
      <c r="E925" s="2294"/>
      <c r="F925" s="2294"/>
      <c r="G925" s="598"/>
      <c r="H925" s="422"/>
      <c r="I925" s="422"/>
    </row>
    <row r="926" spans="1:9" ht="12.75">
      <c r="A926" s="432"/>
      <c r="B926" s="432"/>
      <c r="C926" s="310"/>
      <c r="D926" s="2294"/>
      <c r="E926" s="2294"/>
      <c r="F926" s="2294"/>
      <c r="G926" s="598"/>
      <c r="H926" s="422"/>
      <c r="I926" s="422"/>
    </row>
    <row r="927" spans="1:9" ht="12.75">
      <c r="A927" s="432"/>
      <c r="B927" s="432"/>
      <c r="C927" s="310"/>
      <c r="D927" s="2294"/>
      <c r="E927" s="2294"/>
      <c r="F927" s="2294"/>
      <c r="G927" s="598"/>
      <c r="H927" s="422"/>
      <c r="I927" s="422"/>
    </row>
    <row r="928" spans="1:9" ht="12.75">
      <c r="A928" s="433"/>
      <c r="B928" s="433"/>
      <c r="C928" s="311"/>
      <c r="D928" s="294"/>
      <c r="E928" s="294"/>
      <c r="F928" s="308"/>
      <c r="G928" s="598"/>
      <c r="H928" s="422"/>
      <c r="I928" s="422"/>
    </row>
    <row r="929" spans="1:9" ht="14.25" customHeight="1">
      <c r="A929" s="596"/>
      <c r="B929" s="1000" t="s">
        <v>85</v>
      </c>
      <c r="C929" s="597"/>
      <c r="D929" s="2293" t="s">
        <v>2006</v>
      </c>
      <c r="E929" s="2293"/>
      <c r="F929" s="2293"/>
      <c r="G929" s="598"/>
      <c r="H929" s="422"/>
      <c r="I929" s="422"/>
    </row>
    <row r="930" spans="1:9" ht="14.25" customHeight="1">
      <c r="A930" s="596"/>
      <c r="B930" s="596"/>
      <c r="C930" s="597"/>
      <c r="D930" s="2293"/>
      <c r="E930" s="2293"/>
      <c r="F930" s="2293"/>
      <c r="G930" s="598"/>
      <c r="H930" s="422"/>
      <c r="I930" s="422"/>
    </row>
    <row r="931" spans="1:9" ht="14.25" customHeight="1">
      <c r="A931" s="596"/>
      <c r="B931" s="596"/>
      <c r="C931" s="597"/>
      <c r="D931" s="2293"/>
      <c r="E931" s="2293"/>
      <c r="F931" s="2293"/>
      <c r="G931" s="598"/>
      <c r="H931" s="422"/>
      <c r="I931" s="422"/>
    </row>
    <row r="932" spans="1:9" ht="14.25" customHeight="1">
      <c r="A932" s="596"/>
      <c r="B932" s="596"/>
      <c r="C932" s="597"/>
      <c r="D932" s="2293"/>
      <c r="E932" s="2293"/>
      <c r="F932" s="2293"/>
      <c r="G932" s="598"/>
      <c r="H932" s="422"/>
      <c r="I932" s="422"/>
    </row>
    <row r="933" spans="1:9" ht="14.25" customHeight="1">
      <c r="A933" s="599"/>
      <c r="B933" s="599"/>
      <c r="C933" s="597"/>
      <c r="D933" s="2293"/>
      <c r="E933" s="2293"/>
      <c r="F933" s="2293"/>
      <c r="G933" s="598"/>
      <c r="H933" s="422"/>
      <c r="I933" s="422"/>
    </row>
    <row r="934" spans="1:9" ht="14.25" customHeight="1">
      <c r="A934" s="599"/>
      <c r="B934" s="599"/>
      <c r="C934" s="597"/>
      <c r="D934" s="2293"/>
      <c r="E934" s="2293"/>
      <c r="F934" s="2293"/>
      <c r="G934" s="598"/>
      <c r="H934" s="422"/>
      <c r="I934" s="422"/>
    </row>
    <row r="935" spans="1:9" ht="14.25" customHeight="1">
      <c r="A935" s="599"/>
      <c r="B935" s="599"/>
      <c r="C935" s="597"/>
      <c r="D935" s="2293"/>
      <c r="E935" s="2293"/>
      <c r="F935" s="2293"/>
      <c r="G935" s="598"/>
      <c r="H935" s="422"/>
      <c r="I935" s="422"/>
    </row>
    <row r="936" spans="1:9" ht="14.25" customHeight="1">
      <c r="A936" s="599"/>
      <c r="B936" s="599"/>
      <c r="C936" s="597"/>
      <c r="D936" s="344"/>
      <c r="F936" s="598"/>
      <c r="G936" s="598"/>
      <c r="H936" s="422"/>
      <c r="I936" s="422"/>
    </row>
    <row r="937" spans="1:9" s="536" customFormat="1" ht="14.25" customHeight="1">
      <c r="A937" s="600"/>
      <c r="B937" s="1000" t="s">
        <v>85</v>
      </c>
      <c r="C937" s="601"/>
      <c r="D937" s="2293" t="s">
        <v>2007</v>
      </c>
      <c r="E937" s="2293"/>
      <c r="F937" s="2293"/>
      <c r="G937" s="603"/>
      <c r="H937" s="604"/>
      <c r="I937" s="604"/>
    </row>
    <row r="938" spans="1:9" s="536" customFormat="1" ht="14.25" customHeight="1">
      <c r="A938" s="600"/>
      <c r="B938" s="600"/>
      <c r="C938" s="601"/>
      <c r="D938" s="2293"/>
      <c r="E938" s="2293"/>
      <c r="F938" s="2293"/>
      <c r="G938" s="603"/>
      <c r="H938" s="604"/>
      <c r="I938" s="604"/>
    </row>
    <row r="939" spans="1:9" s="536" customFormat="1" ht="14.25" customHeight="1">
      <c r="A939" s="600"/>
      <c r="B939" s="600"/>
      <c r="C939" s="601"/>
      <c r="D939" s="2293"/>
      <c r="E939" s="2293"/>
      <c r="F939" s="2293"/>
      <c r="G939" s="603"/>
      <c r="H939" s="604"/>
      <c r="I939" s="604"/>
    </row>
    <row r="940" spans="1:9" s="536" customFormat="1" ht="14.25" customHeight="1">
      <c r="A940" s="600"/>
      <c r="B940" s="600"/>
      <c r="C940" s="601"/>
      <c r="D940" s="2293"/>
      <c r="E940" s="2293"/>
      <c r="F940" s="2293"/>
      <c r="G940" s="603"/>
      <c r="H940" s="604"/>
      <c r="I940" s="604"/>
    </row>
    <row r="941" spans="1:9" s="536" customFormat="1" ht="14.25" customHeight="1">
      <c r="A941" s="600"/>
      <c r="B941" s="600"/>
      <c r="C941" s="601"/>
      <c r="D941" s="2293"/>
      <c r="E941" s="2293"/>
      <c r="F941" s="2293"/>
      <c r="G941" s="603"/>
      <c r="H941" s="604"/>
      <c r="I941" s="604"/>
    </row>
    <row r="942" spans="1:9" s="536" customFormat="1" ht="14.25">
      <c r="A942" s="600"/>
      <c r="B942" s="600"/>
      <c r="C942" s="601"/>
      <c r="D942" s="2293"/>
      <c r="E942" s="2293"/>
      <c r="F942" s="2293"/>
      <c r="G942" s="603"/>
      <c r="H942" s="604"/>
      <c r="I942" s="604"/>
    </row>
    <row r="943" spans="1:9" s="536" customFormat="1" ht="14.25" customHeight="1">
      <c r="A943" s="600"/>
      <c r="B943" s="600"/>
      <c r="C943" s="601"/>
      <c r="D943" s="2293"/>
      <c r="E943" s="2293"/>
      <c r="F943" s="2293"/>
      <c r="G943" s="603"/>
      <c r="H943" s="604"/>
      <c r="I943" s="604"/>
    </row>
    <row r="944" spans="1:9" s="536" customFormat="1" ht="14.25" customHeight="1">
      <c r="A944" s="600"/>
      <c r="B944" s="600"/>
      <c r="C944" s="601"/>
      <c r="D944" s="2293"/>
      <c r="E944" s="2293"/>
      <c r="F944" s="2293"/>
      <c r="G944" s="603"/>
      <c r="H944" s="604"/>
      <c r="I944" s="604"/>
    </row>
    <row r="945" spans="1:9" s="536" customFormat="1" ht="14.25" customHeight="1">
      <c r="A945" s="600"/>
      <c r="B945" s="600"/>
      <c r="C945" s="601"/>
      <c r="D945" s="2293"/>
      <c r="E945" s="2293"/>
      <c r="F945" s="2293"/>
      <c r="G945" s="603"/>
      <c r="H945" s="604"/>
      <c r="I945" s="604"/>
    </row>
    <row r="946" spans="1:9" ht="14.25" customHeight="1">
      <c r="A946" s="599"/>
      <c r="B946" s="599"/>
      <c r="C946" s="597"/>
      <c r="D946" s="344"/>
      <c r="F946" s="598"/>
      <c r="G946" s="598"/>
      <c r="H946" s="422"/>
      <c r="I946" s="422"/>
    </row>
    <row r="947" spans="1:9" ht="14.25" customHeight="1">
      <c r="A947" s="596"/>
      <c r="B947" s="1000" t="s">
        <v>85</v>
      </c>
      <c r="C947" s="597"/>
      <c r="D947" s="2254" t="s">
        <v>1896</v>
      </c>
      <c r="E947" s="2254"/>
      <c r="F947" s="2254"/>
      <c r="G947" s="598"/>
      <c r="H947" s="422"/>
      <c r="I947" s="422"/>
    </row>
    <row r="948" spans="1:9" ht="14.25" customHeight="1">
      <c r="A948" s="596"/>
      <c r="B948" s="596"/>
      <c r="C948" s="597"/>
      <c r="D948" s="2254"/>
      <c r="E948" s="2254"/>
      <c r="F948" s="2254"/>
      <c r="G948" s="598"/>
      <c r="H948" s="422"/>
      <c r="I948" s="422"/>
    </row>
    <row r="949" spans="1:9" ht="14.25" customHeight="1">
      <c r="A949" s="596"/>
      <c r="B949" s="596"/>
      <c r="C949" s="597"/>
      <c r="D949" s="2254"/>
      <c r="E949" s="2254"/>
      <c r="F949" s="2254"/>
      <c r="G949" s="598"/>
      <c r="H949" s="422"/>
      <c r="I949" s="422"/>
    </row>
    <row r="950" spans="1:9" ht="14.25" customHeight="1">
      <c r="A950" s="596"/>
      <c r="B950" s="596"/>
      <c r="C950" s="597"/>
      <c r="D950" s="2254"/>
      <c r="E950" s="2254"/>
      <c r="F950" s="2254"/>
      <c r="G950" s="598"/>
      <c r="H950" s="422"/>
      <c r="I950" s="422"/>
    </row>
    <row r="951" spans="1:9" ht="14.25" customHeight="1">
      <c r="A951" s="596"/>
      <c r="B951" s="596"/>
      <c r="C951" s="597"/>
      <c r="D951" s="2254"/>
      <c r="E951" s="2254"/>
      <c r="F951" s="2254"/>
      <c r="G951" s="598"/>
      <c r="H951" s="422"/>
      <c r="I951" s="422"/>
    </row>
    <row r="952" spans="1:9" ht="14.25" customHeight="1">
      <c r="A952" s="596"/>
      <c r="B952" s="596"/>
      <c r="C952" s="597"/>
      <c r="D952" s="2254"/>
      <c r="E952" s="2254"/>
      <c r="F952" s="2254"/>
      <c r="G952" s="598"/>
      <c r="H952" s="422"/>
      <c r="I952" s="422"/>
    </row>
    <row r="953" spans="1:9" ht="14.25" customHeight="1">
      <c r="A953" s="596"/>
      <c r="B953" s="596"/>
      <c r="C953" s="597"/>
      <c r="D953" s="2254"/>
      <c r="E953" s="2254"/>
      <c r="F953" s="2254"/>
      <c r="G953" s="598"/>
      <c r="H953" s="422"/>
      <c r="I953" s="422"/>
    </row>
    <row r="954" spans="1:9" ht="14.25" customHeight="1">
      <c r="A954" s="596"/>
      <c r="B954" s="596"/>
      <c r="C954" s="597"/>
      <c r="D954" s="666"/>
      <c r="F954" s="598"/>
      <c r="G954" s="598"/>
      <c r="H954" s="422"/>
      <c r="I954" s="422"/>
    </row>
    <row r="955" spans="1:9" s="741" customFormat="1" ht="14.25">
      <c r="A955" s="596"/>
      <c r="B955" s="1000" t="s">
        <v>85</v>
      </c>
      <c r="C955" s="597"/>
      <c r="D955" s="2293" t="s">
        <v>1897</v>
      </c>
      <c r="E955" s="2293"/>
      <c r="F955" s="2293"/>
      <c r="G955" s="598"/>
      <c r="H955" s="804"/>
    </row>
    <row r="956" spans="1:9" s="741" customFormat="1" ht="14.25">
      <c r="A956" s="596"/>
      <c r="B956" s="596"/>
      <c r="C956" s="597"/>
      <c r="D956" s="2293"/>
      <c r="E956" s="2293"/>
      <c r="F956" s="2293"/>
      <c r="G956" s="598"/>
      <c r="H956" s="804"/>
    </row>
    <row r="957" spans="1:9" s="741" customFormat="1" ht="14.25">
      <c r="A957" s="596"/>
      <c r="B957" s="596"/>
      <c r="C957" s="597"/>
      <c r="D957" s="2293"/>
      <c r="E957" s="2293"/>
      <c r="F957" s="2293"/>
      <c r="G957" s="598"/>
      <c r="H957" s="804"/>
    </row>
    <row r="958" spans="1:9" s="741" customFormat="1" ht="14.25">
      <c r="A958" s="596"/>
      <c r="B958" s="596"/>
      <c r="C958" s="597"/>
      <c r="D958" s="2293"/>
      <c r="E958" s="2293"/>
      <c r="F958" s="2293"/>
      <c r="G958" s="598"/>
      <c r="H958" s="804"/>
    </row>
    <row r="959" spans="1:9" s="741" customFormat="1" ht="14.25">
      <c r="A959" s="596"/>
      <c r="B959" s="596"/>
      <c r="C959" s="597"/>
      <c r="D959" s="344"/>
      <c r="E959" s="343"/>
      <c r="F959" s="598"/>
      <c r="G959" s="598"/>
      <c r="H959" s="804"/>
    </row>
    <row r="960" spans="1:9" ht="14.25" customHeight="1">
      <c r="A960" s="33"/>
      <c r="B960" s="33"/>
      <c r="C960" s="336"/>
      <c r="D960" s="2203" t="s">
        <v>1898</v>
      </c>
      <c r="E960" s="2203"/>
      <c r="F960" s="2203"/>
      <c r="G960" s="598"/>
      <c r="H960" s="422"/>
      <c r="I960" s="422"/>
    </row>
    <row r="961" spans="1:9" ht="14.25" customHeight="1">
      <c r="A961" s="373"/>
      <c r="B961" s="373"/>
      <c r="C961" s="336"/>
      <c r="D961" s="2203"/>
      <c r="E961" s="2203"/>
      <c r="F961" s="2203"/>
      <c r="G961" s="598"/>
      <c r="H961" s="422"/>
      <c r="I961" s="422"/>
    </row>
    <row r="962" spans="1:9" ht="14.25" customHeight="1">
      <c r="A962" s="373"/>
      <c r="B962" s="373"/>
      <c r="C962" s="336"/>
      <c r="D962" s="6"/>
      <c r="E962" s="308"/>
      <c r="F962" s="308"/>
      <c r="G962" s="598"/>
      <c r="H962" s="422"/>
      <c r="I962" s="422"/>
    </row>
    <row r="963" spans="1:9" ht="14.25">
      <c r="A963" s="431"/>
      <c r="B963" s="1000" t="s">
        <v>85</v>
      </c>
      <c r="C963" s="14"/>
      <c r="D963" s="2203" t="s">
        <v>1899</v>
      </c>
      <c r="E963" s="2203"/>
      <c r="F963" s="2203"/>
    </row>
    <row r="964" spans="1:9" ht="12.75">
      <c r="A964" s="152"/>
      <c r="B964" s="152"/>
      <c r="C964" s="14"/>
      <c r="D964" s="2203"/>
      <c r="E964" s="2203"/>
      <c r="F964" s="2203"/>
    </row>
    <row r="965" spans="1:9" ht="14.25" customHeight="1">
      <c r="A965" s="373"/>
      <c r="B965" s="373"/>
      <c r="C965" s="336"/>
      <c r="D965" s="6"/>
      <c r="E965" s="308"/>
      <c r="F965" s="308"/>
      <c r="G965" s="598"/>
      <c r="H965" s="422"/>
      <c r="I965" s="422"/>
    </row>
    <row r="966" spans="1:9" ht="14.25" customHeight="1">
      <c r="A966" s="433"/>
      <c r="B966" s="433"/>
      <c r="C966" s="311"/>
      <c r="D966" s="2258" t="s">
        <v>1888</v>
      </c>
      <c r="E966" s="2258"/>
      <c r="F966" s="2258"/>
      <c r="G966" s="598"/>
      <c r="H966" s="422"/>
      <c r="I966" s="422"/>
    </row>
    <row r="967" spans="1:9" ht="14.25" customHeight="1">
      <c r="A967" s="433"/>
      <c r="B967" s="433"/>
      <c r="C967" s="311"/>
      <c r="D967" s="1067"/>
      <c r="E967" s="294"/>
      <c r="F967" s="308"/>
      <c r="G967" s="598"/>
      <c r="H967" s="422"/>
      <c r="I967" s="422"/>
    </row>
    <row r="968" spans="1:9" ht="14.45" customHeight="1">
      <c r="A968" s="431"/>
      <c r="B968" s="1000" t="s">
        <v>85</v>
      </c>
      <c r="C968" s="336"/>
      <c r="D968" s="2214" t="s">
        <v>1887</v>
      </c>
      <c r="E968" s="2214"/>
      <c r="F968" s="2214"/>
      <c r="G968" s="598"/>
      <c r="H968" s="422"/>
      <c r="I968" s="422"/>
    </row>
    <row r="969" spans="1:9" ht="12.75">
      <c r="A969" s="373"/>
      <c r="B969" s="373"/>
      <c r="C969" s="336"/>
      <c r="D969" s="2214"/>
      <c r="E969" s="2214"/>
      <c r="F969" s="2214"/>
      <c r="G969" s="598"/>
      <c r="H969" s="422"/>
      <c r="I969" s="422"/>
    </row>
    <row r="970" spans="1:9" ht="12.75">
      <c r="A970" s="373"/>
      <c r="B970" s="373"/>
      <c r="C970" s="336"/>
      <c r="D970" s="2214"/>
      <c r="E970" s="2214"/>
      <c r="F970" s="2214"/>
      <c r="G970" s="598"/>
      <c r="H970" s="422"/>
      <c r="I970" s="422"/>
    </row>
    <row r="971" spans="1:9" ht="12.75">
      <c r="A971" s="373"/>
      <c r="B971" s="373"/>
      <c r="C971" s="336"/>
      <c r="D971" s="2214"/>
      <c r="E971" s="2214"/>
      <c r="F971" s="2214"/>
      <c r="G971" s="598"/>
      <c r="H971" s="422"/>
      <c r="I971" s="422"/>
    </row>
    <row r="972" spans="1:9" ht="12.75">
      <c r="A972" s="373"/>
      <c r="B972" s="373"/>
      <c r="C972" s="336"/>
      <c r="D972" s="2214"/>
      <c r="E972" s="2214"/>
      <c r="F972" s="2214"/>
      <c r="G972" s="598"/>
      <c r="H972" s="422"/>
      <c r="I972" s="422"/>
    </row>
    <row r="973" spans="1:9" ht="12.75">
      <c r="A973" s="373"/>
      <c r="B973" s="373"/>
      <c r="C973" s="336"/>
      <c r="D973" s="2214"/>
      <c r="E973" s="2214"/>
      <c r="F973" s="2214"/>
      <c r="G973" s="598"/>
      <c r="H973" s="422"/>
      <c r="I973" s="422"/>
    </row>
    <row r="974" spans="1:9" ht="12.75">
      <c r="A974" s="373"/>
      <c r="B974" s="373"/>
      <c r="C974" s="336"/>
      <c r="D974" s="1069"/>
      <c r="E974" s="1069"/>
      <c r="F974" s="1069"/>
      <c r="G974" s="598"/>
      <c r="H974" s="422"/>
      <c r="I974" s="422"/>
    </row>
    <row r="975" spans="1:9" ht="14.45" customHeight="1">
      <c r="A975" s="431"/>
      <c r="B975" s="1000" t="s">
        <v>85</v>
      </c>
      <c r="C975" s="336"/>
      <c r="D975" s="2214" t="s">
        <v>1886</v>
      </c>
      <c r="E975" s="2214"/>
      <c r="F975" s="2214"/>
      <c r="G975" s="598"/>
      <c r="H975" s="422"/>
      <c r="I975" s="422"/>
    </row>
    <row r="976" spans="1:9" ht="12.75">
      <c r="A976" s="373"/>
      <c r="B976" s="373"/>
      <c r="C976" s="336"/>
      <c r="D976" s="2214"/>
      <c r="E976" s="2214"/>
      <c r="F976" s="2214"/>
      <c r="G976" s="598"/>
      <c r="H976" s="422"/>
      <c r="I976" s="422"/>
    </row>
    <row r="977" spans="1:9" ht="12.75">
      <c r="A977" s="373"/>
      <c r="B977" s="373"/>
      <c r="C977" s="336"/>
      <c r="D977" s="2214"/>
      <c r="E977" s="2214"/>
      <c r="F977" s="2214"/>
      <c r="G977" s="598"/>
      <c r="H977" s="422"/>
      <c r="I977" s="422"/>
    </row>
    <row r="978" spans="1:9" ht="12.75">
      <c r="A978" s="373"/>
      <c r="B978" s="373"/>
      <c r="C978" s="336"/>
      <c r="D978" s="2214"/>
      <c r="E978" s="2214"/>
      <c r="F978" s="2214"/>
      <c r="G978" s="598"/>
      <c r="H978" s="422"/>
      <c r="I978" s="422"/>
    </row>
    <row r="979" spans="1:9" ht="12.75">
      <c r="A979" s="373"/>
      <c r="B979" s="373"/>
      <c r="C979" s="336"/>
      <c r="D979" s="2214"/>
      <c r="E979" s="2214"/>
      <c r="F979" s="2214"/>
      <c r="G979" s="598"/>
      <c r="H979" s="422"/>
      <c r="I979" s="422"/>
    </row>
    <row r="980" spans="1:9" ht="12.75">
      <c r="A980" s="373"/>
      <c r="B980" s="373"/>
      <c r="C980" s="336"/>
      <c r="D980" s="744"/>
      <c r="E980" s="308"/>
      <c r="F980" s="308"/>
      <c r="G980" s="598"/>
      <c r="H980" s="422"/>
      <c r="I980" s="422"/>
    </row>
    <row r="981" spans="1:9" ht="14.25">
      <c r="A981" s="431"/>
      <c r="B981" s="1000" t="s">
        <v>85</v>
      </c>
      <c r="C981" s="336"/>
      <c r="D981" s="2214" t="s">
        <v>1889</v>
      </c>
      <c r="E981" s="2214"/>
      <c r="F981" s="2214"/>
      <c r="G981" s="598"/>
      <c r="H981" s="422"/>
      <c r="I981" s="422"/>
    </row>
    <row r="982" spans="1:9" ht="12.75">
      <c r="A982" s="373"/>
      <c r="B982" s="373"/>
      <c r="C982" s="336"/>
      <c r="D982" s="2214"/>
      <c r="E982" s="2214"/>
      <c r="F982" s="2214"/>
      <c r="G982" s="598"/>
      <c r="H982" s="422"/>
      <c r="I982" s="422"/>
    </row>
    <row r="983" spans="1:9" ht="12.75">
      <c r="A983" s="373"/>
      <c r="B983" s="373"/>
      <c r="C983" s="336"/>
      <c r="D983" s="2214"/>
      <c r="E983" s="2214"/>
      <c r="F983" s="2214"/>
      <c r="G983" s="598"/>
      <c r="H983" s="422"/>
      <c r="I983" s="422"/>
    </row>
    <row r="984" spans="1:9" ht="12.75">
      <c r="A984" s="373"/>
      <c r="B984" s="373"/>
      <c r="C984" s="336"/>
      <c r="D984" s="2214"/>
      <c r="E984" s="2214"/>
      <c r="F984" s="2214"/>
      <c r="G984" s="598"/>
      <c r="H984" s="422"/>
      <c r="I984" s="422"/>
    </row>
    <row r="985" spans="1:9" ht="12.75">
      <c r="A985" s="373"/>
      <c r="B985" s="373"/>
      <c r="C985" s="336"/>
      <c r="D985" s="2214"/>
      <c r="E985" s="2214"/>
      <c r="F985" s="2214"/>
      <c r="G985" s="598"/>
      <c r="H985" s="422"/>
      <c r="I985" s="422"/>
    </row>
    <row r="986" spans="1:9" ht="12.75">
      <c r="A986" s="373"/>
      <c r="B986" s="373"/>
      <c r="C986" s="336"/>
      <c r="D986" s="744"/>
      <c r="E986" s="308"/>
      <c r="F986" s="308"/>
      <c r="G986" s="598"/>
      <c r="H986" s="422"/>
      <c r="I986" s="422"/>
    </row>
    <row r="987" spans="1:9" ht="14.45" customHeight="1">
      <c r="A987" s="431"/>
      <c r="B987" s="1000" t="s">
        <v>85</v>
      </c>
      <c r="C987" s="336"/>
      <c r="D987" s="2214" t="s">
        <v>1890</v>
      </c>
      <c r="E987" s="2214"/>
      <c r="F987" s="2214"/>
      <c r="G987" s="598"/>
      <c r="H987" s="422"/>
      <c r="I987" s="422"/>
    </row>
    <row r="988" spans="1:9" ht="12.75">
      <c r="A988" s="373"/>
      <c r="B988" s="373"/>
      <c r="C988" s="336"/>
      <c r="D988" s="2214"/>
      <c r="E988" s="2214"/>
      <c r="F988" s="2214"/>
      <c r="G988" s="598"/>
      <c r="H988" s="422"/>
      <c r="I988" s="422"/>
    </row>
    <row r="989" spans="1:9" ht="12.75">
      <c r="A989" s="373"/>
      <c r="B989" s="373"/>
      <c r="C989" s="336"/>
      <c r="D989" s="2214"/>
      <c r="E989" s="2214"/>
      <c r="F989" s="2214"/>
      <c r="G989" s="598"/>
      <c r="H989" s="422"/>
      <c r="I989" s="422"/>
    </row>
    <row r="990" spans="1:9" ht="12.75">
      <c r="A990" s="373"/>
      <c r="B990" s="373"/>
      <c r="C990" s="336"/>
      <c r="D990" s="1069"/>
      <c r="E990" s="1069"/>
      <c r="F990" s="1069"/>
      <c r="G990" s="598"/>
      <c r="H990" s="422"/>
      <c r="I990" s="422"/>
    </row>
    <row r="991" spans="1:9" ht="14.25">
      <c r="A991" s="431"/>
      <c r="B991" s="1000" t="s">
        <v>85</v>
      </c>
      <c r="C991" s="336"/>
      <c r="D991" s="2214" t="s">
        <v>1891</v>
      </c>
      <c r="E991" s="2214"/>
      <c r="F991" s="2214"/>
      <c r="G991" s="598"/>
      <c r="H991" s="422"/>
      <c r="I991" s="422"/>
    </row>
    <row r="992" spans="1:9" ht="12.75">
      <c r="A992" s="373"/>
      <c r="B992" s="373"/>
      <c r="C992" s="336"/>
      <c r="D992" s="2214"/>
      <c r="E992" s="2214"/>
      <c r="F992" s="2214"/>
      <c r="G992" s="598"/>
      <c r="H992" s="422"/>
      <c r="I992" s="422"/>
    </row>
    <row r="993" spans="1:9" ht="12.75">
      <c r="A993" s="373"/>
      <c r="B993" s="373"/>
      <c r="C993" s="336"/>
      <c r="D993" s="744"/>
      <c r="E993" s="308"/>
      <c r="F993" s="308"/>
      <c r="G993" s="598"/>
      <c r="H993" s="422"/>
      <c r="I993" s="422"/>
    </row>
    <row r="994" spans="1:9" ht="12.75">
      <c r="A994" s="373"/>
      <c r="B994" s="1000" t="s">
        <v>85</v>
      </c>
      <c r="C994" s="336"/>
      <c r="D994" s="2203" t="s">
        <v>1892</v>
      </c>
      <c r="E994" s="2203"/>
      <c r="F994" s="2203"/>
      <c r="G994" s="598"/>
      <c r="H994" s="422"/>
      <c r="I994" s="422"/>
    </row>
    <row r="995" spans="1:9" ht="12.75">
      <c r="A995" s="373"/>
      <c r="B995" s="373"/>
      <c r="C995" s="336"/>
      <c r="D995" s="2203"/>
      <c r="E995" s="2203"/>
      <c r="F995" s="2203"/>
      <c r="G995" s="598"/>
      <c r="H995" s="422"/>
      <c r="I995" s="422"/>
    </row>
    <row r="996" spans="1:9" ht="12.75">
      <c r="A996" s="373"/>
      <c r="B996" s="373"/>
      <c r="C996" s="336"/>
      <c r="D996" s="308"/>
      <c r="E996" s="308"/>
      <c r="F996" s="308"/>
      <c r="G996" s="598"/>
      <c r="H996" s="422"/>
      <c r="I996" s="422"/>
    </row>
    <row r="997" spans="1:9" ht="12.75">
      <c r="A997" s="373"/>
      <c r="B997" s="1000" t="s">
        <v>85</v>
      </c>
      <c r="C997" s="336"/>
      <c r="D997" s="2295" t="s">
        <v>2058</v>
      </c>
      <c r="E997" s="2283"/>
      <c r="F997" s="2283"/>
      <c r="G997" s="598"/>
      <c r="H997" s="422"/>
      <c r="I997" s="422"/>
    </row>
    <row r="998" spans="1:9" ht="12.75">
      <c r="A998" s="373"/>
      <c r="B998" s="373"/>
      <c r="C998" s="336"/>
      <c r="D998" s="2295"/>
      <c r="E998" s="2283"/>
      <c r="F998" s="2283"/>
      <c r="G998" s="598"/>
      <c r="H998" s="422"/>
      <c r="I998" s="422"/>
    </row>
    <row r="999" spans="1:9" ht="12.75">
      <c r="A999" s="373"/>
      <c r="B999" s="373"/>
      <c r="C999" s="336"/>
      <c r="D999" s="2295"/>
      <c r="E999" s="2283"/>
      <c r="F999" s="2283"/>
      <c r="G999" s="598"/>
      <c r="H999" s="422"/>
      <c r="I999" s="422"/>
    </row>
    <row r="1000" spans="1:9" ht="12.75">
      <c r="A1000" s="373"/>
      <c r="B1000" s="373"/>
      <c r="C1000" s="336"/>
      <c r="D1000" s="2283"/>
      <c r="E1000" s="2283"/>
      <c r="F1000" s="2283"/>
      <c r="G1000" s="598"/>
      <c r="H1000" s="422"/>
      <c r="I1000" s="422"/>
    </row>
    <row r="1001" spans="1:9" ht="12.75">
      <c r="A1001" s="373"/>
      <c r="B1001" s="373"/>
      <c r="C1001" s="336"/>
      <c r="D1001" s="299"/>
      <c r="E1001" s="308"/>
      <c r="F1001" s="308"/>
      <c r="G1001" s="598"/>
      <c r="H1001" s="422"/>
      <c r="I1001" s="422"/>
    </row>
    <row r="1002" spans="1:9" ht="12.75">
      <c r="A1002" s="373"/>
      <c r="B1002" s="1000" t="s">
        <v>85</v>
      </c>
      <c r="C1002" s="336"/>
      <c r="D1002" s="2200" t="s">
        <v>1261</v>
      </c>
      <c r="E1002" s="2200"/>
      <c r="F1002" s="2200"/>
      <c r="G1002" s="598"/>
      <c r="H1002" s="422"/>
      <c r="I1002" s="422"/>
    </row>
    <row r="1003" spans="1:9" ht="12.75">
      <c r="A1003" s="373"/>
      <c r="B1003" s="373"/>
      <c r="C1003" s="336"/>
      <c r="D1003" s="299"/>
      <c r="E1003" s="308"/>
      <c r="F1003" s="308"/>
      <c r="G1003" s="598"/>
      <c r="H1003" s="422"/>
      <c r="I1003" s="422"/>
    </row>
    <row r="1004" spans="1:9" ht="12.75">
      <c r="A1004" s="373"/>
      <c r="B1004" s="1000" t="s">
        <v>85</v>
      </c>
      <c r="C1004" s="336"/>
      <c r="D1004" s="2200" t="s">
        <v>1262</v>
      </c>
      <c r="E1004" s="2200"/>
      <c r="F1004" s="220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2216" t="s">
        <v>1691</v>
      </c>
      <c r="E1006" s="2216"/>
      <c r="F1006" s="2216"/>
      <c r="G1006" s="598"/>
      <c r="H1006" s="422"/>
      <c r="I1006" s="422"/>
    </row>
    <row r="1007" spans="1:9" ht="12.75">
      <c r="A1007" s="373"/>
      <c r="B1007" s="14"/>
      <c r="C1007" s="336"/>
      <c r="D1007" s="1067"/>
      <c r="E1007" s="308"/>
      <c r="F1007" s="308"/>
      <c r="G1007" s="598"/>
      <c r="H1007" s="422"/>
      <c r="I1007" s="422"/>
    </row>
    <row r="1008" spans="1:9" ht="14.25">
      <c r="A1008" s="431"/>
      <c r="B1008" s="1000" t="s">
        <v>85</v>
      </c>
      <c r="C1008" s="336"/>
      <c r="D1008" s="2231" t="s">
        <v>1893</v>
      </c>
      <c r="E1008" s="2231"/>
      <c r="F1008" s="2231"/>
      <c r="G1008" s="598"/>
      <c r="H1008" s="422"/>
      <c r="I1008" s="422"/>
    </row>
    <row r="1009" spans="1:9" ht="12.75">
      <c r="A1009" s="373"/>
      <c r="B1009" s="373"/>
      <c r="C1009" s="336"/>
      <c r="D1009" s="2231"/>
      <c r="E1009" s="2231"/>
      <c r="F1009" s="2231"/>
      <c r="G1009" s="598"/>
      <c r="H1009" s="422"/>
      <c r="I1009" s="422"/>
    </row>
    <row r="1010" spans="1:9" ht="12.75">
      <c r="A1010" s="373"/>
      <c r="B1010" s="373"/>
      <c r="C1010" s="336"/>
      <c r="D1010" s="2231"/>
      <c r="E1010" s="2231"/>
      <c r="F1010" s="2231"/>
      <c r="G1010" s="598"/>
      <c r="H1010" s="422"/>
      <c r="I1010" s="422"/>
    </row>
    <row r="1011" spans="1:9" ht="12.75">
      <c r="A1011" s="373"/>
      <c r="B1011" s="373"/>
      <c r="C1011" s="336"/>
      <c r="D1011" s="2231"/>
      <c r="E1011" s="2231"/>
      <c r="F1011" s="2231"/>
      <c r="G1011" s="598"/>
      <c r="H1011" s="422"/>
      <c r="I1011" s="422"/>
    </row>
    <row r="1012" spans="1:9" ht="12.75">
      <c r="A1012" s="373"/>
      <c r="B1012" s="373"/>
      <c r="C1012" s="336"/>
      <c r="D1012" s="2231"/>
      <c r="E1012" s="2231"/>
      <c r="F1012" s="2231"/>
      <c r="G1012" s="598"/>
      <c r="H1012" s="422"/>
      <c r="I1012" s="422"/>
    </row>
    <row r="1013" spans="1:9" ht="12.75">
      <c r="A1013" s="373"/>
      <c r="B1013" s="373"/>
      <c r="C1013" s="336"/>
      <c r="E1013" s="294"/>
      <c r="F1013" s="294"/>
      <c r="G1013" s="598"/>
      <c r="H1013" s="422"/>
      <c r="I1013" s="422"/>
    </row>
    <row r="1014" spans="1:9" ht="14.25">
      <c r="A1014" s="431"/>
      <c r="B1014" s="1000" t="s">
        <v>85</v>
      </c>
      <c r="C1014" s="336"/>
      <c r="D1014" s="2231" t="s">
        <v>1894</v>
      </c>
      <c r="E1014" s="2231"/>
      <c r="F1014" s="2231"/>
      <c r="G1014" s="598"/>
      <c r="H1014" s="422"/>
      <c r="I1014" s="422"/>
    </row>
    <row r="1015" spans="1:9" ht="12.75">
      <c r="A1015" s="373"/>
      <c r="B1015" s="373"/>
      <c r="C1015" s="336"/>
      <c r="D1015" s="2231"/>
      <c r="E1015" s="2231"/>
      <c r="F1015" s="2231"/>
      <c r="G1015" s="598"/>
      <c r="H1015" s="422"/>
      <c r="I1015" s="422"/>
    </row>
    <row r="1016" spans="1:9" ht="12.75">
      <c r="A1016" s="373"/>
      <c r="B1016" s="373"/>
      <c r="C1016" s="336"/>
      <c r="D1016" s="2231"/>
      <c r="E1016" s="2231"/>
      <c r="F1016" s="2231"/>
      <c r="G1016" s="598"/>
      <c r="H1016" s="422"/>
      <c r="I1016" s="422"/>
    </row>
    <row r="1017" spans="1:9" ht="12.75">
      <c r="A1017" s="373"/>
      <c r="B1017" s="373"/>
      <c r="C1017" s="336"/>
      <c r="D1017" s="2231"/>
      <c r="E1017" s="2231"/>
      <c r="F1017" s="2231"/>
      <c r="G1017" s="598"/>
      <c r="H1017" s="422"/>
      <c r="I1017" s="422"/>
    </row>
    <row r="1018" spans="1:9" ht="12.75">
      <c r="A1018" s="373"/>
      <c r="B1018" s="373"/>
      <c r="C1018" s="336"/>
      <c r="D1018" s="2231"/>
      <c r="E1018" s="2231"/>
      <c r="F1018" s="2231"/>
      <c r="G1018" s="598"/>
      <c r="H1018" s="422"/>
      <c r="I1018" s="422"/>
    </row>
    <row r="1019" spans="1:9" ht="12.75">
      <c r="A1019" s="373"/>
      <c r="B1019" s="373"/>
      <c r="C1019" s="336"/>
      <c r="D1019" s="308"/>
      <c r="E1019" s="308"/>
      <c r="F1019" s="308"/>
      <c r="G1019" s="598"/>
      <c r="H1019" s="422"/>
      <c r="I1019" s="422"/>
    </row>
    <row r="1020" spans="1:9" ht="12.75">
      <c r="A1020" s="373"/>
      <c r="B1020" s="373"/>
      <c r="C1020" s="336"/>
      <c r="D1020" s="2216" t="s">
        <v>1692</v>
      </c>
      <c r="E1020" s="2216"/>
      <c r="F1020" s="2216"/>
      <c r="G1020" s="598"/>
      <c r="H1020" s="422"/>
      <c r="I1020" s="422"/>
    </row>
    <row r="1021" spans="1:9" ht="12.75">
      <c r="A1021" s="373"/>
      <c r="B1021" s="373"/>
      <c r="C1021" s="336"/>
      <c r="D1021" s="1067"/>
      <c r="E1021" s="308"/>
      <c r="F1021" s="308"/>
      <c r="G1021" s="598"/>
      <c r="H1021" s="422"/>
      <c r="I1021" s="422"/>
    </row>
    <row r="1022" spans="1:9" ht="14.25">
      <c r="A1022" s="431"/>
      <c r="B1022" s="1000" t="s">
        <v>85</v>
      </c>
      <c r="C1022" s="336"/>
      <c r="D1022" s="2231" t="s">
        <v>1900</v>
      </c>
      <c r="E1022" s="2231"/>
      <c r="F1022" s="2231"/>
      <c r="G1022" s="598"/>
      <c r="H1022" s="422"/>
      <c r="I1022" s="422"/>
    </row>
    <row r="1023" spans="1:9" ht="12.75">
      <c r="A1023" s="373"/>
      <c r="B1023" s="373"/>
      <c r="C1023" s="336"/>
      <c r="D1023" s="2231"/>
      <c r="E1023" s="2231"/>
      <c r="F1023" s="2231"/>
      <c r="G1023" s="598"/>
      <c r="H1023" s="422"/>
      <c r="I1023" s="422"/>
    </row>
    <row r="1024" spans="1:9" ht="12.75">
      <c r="A1024" s="373"/>
      <c r="B1024" s="373"/>
      <c r="C1024" s="336"/>
      <c r="D1024" s="2231"/>
      <c r="E1024" s="2231"/>
      <c r="F1024" s="2231"/>
      <c r="G1024" s="598"/>
      <c r="H1024" s="422"/>
      <c r="I1024" s="422"/>
    </row>
    <row r="1025" spans="1:9" ht="12.75">
      <c r="A1025" s="373"/>
      <c r="B1025" s="373"/>
      <c r="C1025" s="336"/>
      <c r="E1025" s="294"/>
      <c r="F1025" s="294"/>
      <c r="G1025" s="598"/>
      <c r="H1025" s="422"/>
      <c r="I1025" s="422"/>
    </row>
    <row r="1026" spans="1:9" ht="14.25">
      <c r="A1026" s="431"/>
      <c r="B1026" s="1000" t="s">
        <v>85</v>
      </c>
      <c r="C1026" s="336"/>
      <c r="D1026" s="2231" t="s">
        <v>1901</v>
      </c>
      <c r="E1026" s="2231"/>
      <c r="F1026" s="2231"/>
      <c r="G1026" s="598"/>
      <c r="H1026" s="422"/>
      <c r="I1026" s="422"/>
    </row>
    <row r="1027" spans="1:9" ht="12.75">
      <c r="A1027" s="373"/>
      <c r="B1027" s="373"/>
      <c r="C1027" s="336"/>
      <c r="D1027" s="2231"/>
      <c r="E1027" s="2231"/>
      <c r="F1027" s="2231"/>
      <c r="G1027" s="598"/>
      <c r="H1027" s="422"/>
      <c r="I1027" s="422"/>
    </row>
    <row r="1028" spans="1:9" ht="12.75">
      <c r="A1028" s="373"/>
      <c r="B1028" s="373"/>
      <c r="C1028" s="336"/>
      <c r="D1028" s="2231"/>
      <c r="E1028" s="2231"/>
      <c r="F1028" s="2231"/>
      <c r="G1028" s="598"/>
      <c r="H1028" s="422"/>
      <c r="I1028" s="422"/>
    </row>
    <row r="1029" spans="1:9" ht="12.75">
      <c r="A1029" s="373"/>
      <c r="B1029" s="373"/>
      <c r="C1029" s="336"/>
      <c r="D1029" s="299"/>
      <c r="E1029" s="308"/>
      <c r="F1029" s="308"/>
      <c r="G1029" s="598"/>
      <c r="H1029" s="422"/>
      <c r="I1029" s="422"/>
    </row>
    <row r="1030" spans="1:9" ht="12.75">
      <c r="A1030" s="373"/>
      <c r="B1030" s="373"/>
      <c r="C1030" s="336"/>
      <c r="D1030" s="2216" t="s">
        <v>1693</v>
      </c>
      <c r="E1030" s="2216"/>
      <c r="F1030" s="2216"/>
      <c r="G1030" s="598"/>
      <c r="H1030" s="422"/>
      <c r="I1030" s="422"/>
    </row>
    <row r="1031" spans="1:9" ht="12.75">
      <c r="A1031" s="373"/>
      <c r="B1031" s="373"/>
      <c r="C1031" s="336"/>
      <c r="D1031" s="1067"/>
      <c r="E1031" s="308"/>
      <c r="F1031" s="308"/>
      <c r="G1031" s="598"/>
      <c r="H1031" s="422"/>
      <c r="I1031" s="422"/>
    </row>
    <row r="1032" spans="1:9" ht="14.25" customHeight="1">
      <c r="A1032" s="431"/>
      <c r="B1032" s="1000" t="s">
        <v>85</v>
      </c>
      <c r="C1032" s="336"/>
      <c r="D1032" s="2244" t="s">
        <v>1903</v>
      </c>
      <c r="E1032" s="2244"/>
      <c r="F1032" s="2244"/>
      <c r="G1032" s="495"/>
      <c r="H1032" s="498"/>
      <c r="I1032" s="498"/>
    </row>
    <row r="1033" spans="1:9" ht="12.75">
      <c r="A1033" s="373"/>
      <c r="B1033" s="373"/>
      <c r="C1033" s="336"/>
      <c r="D1033" s="2244"/>
      <c r="E1033" s="2244"/>
      <c r="F1033" s="2244"/>
      <c r="G1033" s="495"/>
      <c r="H1033" s="498"/>
      <c r="I1033" s="498"/>
    </row>
    <row r="1034" spans="1:9" ht="12.75">
      <c r="A1034" s="373"/>
      <c r="B1034" s="373"/>
      <c r="C1034" s="336"/>
      <c r="D1034" s="2244"/>
      <c r="E1034" s="2244"/>
      <c r="F1034" s="224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85</v>
      </c>
      <c r="C1036" s="336"/>
      <c r="D1036" s="2244" t="s">
        <v>1902</v>
      </c>
      <c r="E1036" s="2244"/>
      <c r="F1036" s="2244"/>
      <c r="G1036" s="498"/>
      <c r="H1036" s="422"/>
      <c r="I1036" s="422"/>
    </row>
    <row r="1037" spans="1:9" ht="12.75">
      <c r="A1037" s="373"/>
      <c r="B1037" s="373"/>
      <c r="C1037" s="336"/>
      <c r="D1037" s="2244"/>
      <c r="E1037" s="2244"/>
      <c r="F1037" s="2244"/>
      <c r="G1037" s="498"/>
      <c r="H1037" s="422"/>
      <c r="I1037" s="422"/>
    </row>
    <row r="1038" spans="1:9" ht="12.75">
      <c r="A1038" s="373"/>
      <c r="B1038" s="373"/>
      <c r="C1038" s="336"/>
      <c r="D1038" s="2244"/>
      <c r="E1038" s="2244"/>
      <c r="F1038" s="2244"/>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85</v>
      </c>
      <c r="C1040" s="336"/>
      <c r="D1040" s="2296" t="s">
        <v>1904</v>
      </c>
      <c r="E1040" s="2296"/>
      <c r="F1040" s="2296"/>
      <c r="G1040" s="590"/>
      <c r="H1040" s="422"/>
      <c r="I1040" s="422"/>
    </row>
    <row r="1041" spans="1:9" ht="12.75">
      <c r="A1041" s="373"/>
      <c r="B1041" s="373"/>
      <c r="C1041" s="336"/>
      <c r="D1041" s="2296"/>
      <c r="E1041" s="2296"/>
      <c r="F1041" s="2296"/>
      <c r="G1041" s="590"/>
      <c r="H1041" s="422"/>
      <c r="I1041" s="422"/>
    </row>
    <row r="1042" spans="1:9" ht="12.75">
      <c r="A1042" s="373"/>
      <c r="B1042" s="373"/>
      <c r="C1042" s="336"/>
      <c r="D1042" s="2296"/>
      <c r="E1042" s="2296"/>
      <c r="F1042" s="2296"/>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85</v>
      </c>
      <c r="C1044" s="336"/>
      <c r="D1044" s="2244" t="s">
        <v>1905</v>
      </c>
      <c r="E1044" s="2244"/>
      <c r="F1044" s="2244"/>
      <c r="G1044" s="590"/>
      <c r="H1044" s="590"/>
      <c r="I1044" s="590"/>
    </row>
    <row r="1045" spans="1:9" ht="12.75">
      <c r="A1045" s="373"/>
      <c r="B1045" s="373"/>
      <c r="C1045" s="336"/>
      <c r="D1045" s="2244"/>
      <c r="E1045" s="2244"/>
      <c r="F1045" s="2244"/>
      <c r="G1045" s="590"/>
      <c r="H1045" s="590"/>
      <c r="I1045" s="590"/>
    </row>
    <row r="1046" spans="1:9" ht="12.75">
      <c r="A1046" s="373"/>
      <c r="B1046" s="373"/>
      <c r="C1046" s="336"/>
      <c r="D1046" s="2244"/>
      <c r="E1046" s="2244"/>
      <c r="F1046" s="2244"/>
      <c r="G1046" s="590"/>
      <c r="H1046" s="590"/>
      <c r="I1046" s="590"/>
    </row>
    <row r="1047" spans="1:9" ht="14.25">
      <c r="A1047" s="431"/>
      <c r="B1047" s="431"/>
      <c r="C1047" s="336"/>
      <c r="D1047" s="299"/>
      <c r="E1047" s="308"/>
      <c r="F1047" s="308"/>
      <c r="G1047" s="598"/>
      <c r="H1047" s="422"/>
      <c r="I1047" s="422"/>
    </row>
    <row r="1048" spans="1:9" ht="12.75" customHeight="1">
      <c r="A1048" s="373"/>
      <c r="B1048" s="1000" t="s">
        <v>85</v>
      </c>
      <c r="C1048" s="336"/>
      <c r="D1048" s="2244" t="s">
        <v>1906</v>
      </c>
      <c r="E1048" s="2244"/>
      <c r="F1048" s="2244"/>
      <c r="G1048" s="590"/>
      <c r="H1048" s="590"/>
      <c r="I1048" s="590"/>
    </row>
    <row r="1049" spans="1:9" ht="12.75">
      <c r="A1049" s="373"/>
      <c r="B1049" s="373"/>
      <c r="C1049" s="336"/>
      <c r="D1049" s="2244"/>
      <c r="E1049" s="2244"/>
      <c r="F1049" s="2244"/>
      <c r="G1049" s="590"/>
      <c r="H1049" s="590"/>
      <c r="I1049" s="590"/>
    </row>
    <row r="1050" spans="1:9" ht="12.75">
      <c r="A1050" s="373"/>
      <c r="B1050" s="373"/>
      <c r="C1050" s="336"/>
      <c r="D1050" s="2244"/>
      <c r="E1050" s="2244"/>
      <c r="F1050" s="2244"/>
      <c r="G1050" s="590"/>
      <c r="H1050" s="590"/>
      <c r="I1050" s="590"/>
    </row>
    <row r="1051" spans="1:9" ht="12.75">
      <c r="A1051" s="373"/>
      <c r="B1051" s="373"/>
      <c r="C1051" s="336"/>
      <c r="D1051" s="299"/>
      <c r="E1051" s="308"/>
      <c r="F1051" s="308"/>
      <c r="G1051" s="598"/>
      <c r="H1051" s="422"/>
      <c r="I1051" s="422"/>
    </row>
    <row r="1052" spans="1:9" ht="12.75" customHeight="1">
      <c r="A1052" s="373"/>
      <c r="B1052" s="1000" t="s">
        <v>85</v>
      </c>
      <c r="C1052" s="336"/>
      <c r="D1052" s="2244" t="s">
        <v>1694</v>
      </c>
      <c r="E1052" s="2244"/>
      <c r="F1052" s="2244"/>
      <c r="G1052" s="495"/>
      <c r="H1052" s="422"/>
      <c r="I1052" s="422"/>
    </row>
    <row r="1053" spans="1:9" ht="12.75">
      <c r="A1053" s="373"/>
      <c r="B1053" s="373"/>
      <c r="C1053" s="336"/>
      <c r="D1053" s="2244"/>
      <c r="E1053" s="2244"/>
      <c r="F1053" s="2244"/>
      <c r="G1053" s="495"/>
      <c r="H1053" s="422"/>
      <c r="I1053" s="422"/>
    </row>
    <row r="1054" spans="1:9" ht="12.75">
      <c r="A1054" s="373"/>
      <c r="B1054" s="373"/>
      <c r="C1054" s="336"/>
      <c r="D1054" s="2244"/>
      <c r="E1054" s="2244"/>
      <c r="F1054" s="2244"/>
      <c r="G1054" s="495"/>
      <c r="H1054" s="422"/>
      <c r="I1054" s="422"/>
    </row>
    <row r="1055" spans="1:9" ht="12.75">
      <c r="A1055" s="373"/>
      <c r="B1055" s="373"/>
      <c r="C1055" s="336"/>
      <c r="D1055" s="495"/>
      <c r="E1055" s="495"/>
      <c r="F1055" s="495"/>
      <c r="G1055" s="495"/>
      <c r="H1055" s="422"/>
      <c r="I1055" s="422"/>
    </row>
    <row r="1056" spans="1:9" ht="12.75" customHeight="1">
      <c r="A1056" s="373"/>
      <c r="B1056" s="1000" t="s">
        <v>85</v>
      </c>
      <c r="C1056" s="336"/>
      <c r="D1056" s="2244" t="s">
        <v>1695</v>
      </c>
      <c r="E1056" s="2244"/>
      <c r="F1056" s="2244"/>
      <c r="G1056" s="495"/>
      <c r="H1056" s="422"/>
      <c r="I1056" s="422"/>
    </row>
    <row r="1057" spans="1:9" ht="12.75">
      <c r="A1057" s="373"/>
      <c r="B1057" s="373"/>
      <c r="C1057" s="336"/>
      <c r="D1057" s="2244"/>
      <c r="E1057" s="2244"/>
      <c r="F1057" s="2244"/>
      <c r="G1057" s="495"/>
      <c r="H1057" s="422"/>
      <c r="I1057" s="422"/>
    </row>
    <row r="1058" spans="1:9" ht="12.75">
      <c r="A1058" s="373"/>
      <c r="B1058" s="373"/>
      <c r="C1058" s="336"/>
      <c r="D1058" s="2244"/>
      <c r="E1058" s="2244"/>
      <c r="F1058" s="2244"/>
      <c r="G1058" s="495"/>
      <c r="H1058" s="422"/>
      <c r="I1058" s="422"/>
    </row>
    <row r="1059" spans="1:9" ht="12.75">
      <c r="A1059" s="373"/>
      <c r="B1059" s="373"/>
      <c r="C1059" s="336"/>
      <c r="D1059" s="501"/>
      <c r="E1059" s="501"/>
      <c r="F1059" s="501"/>
      <c r="G1059" s="531"/>
      <c r="H1059" s="422"/>
      <c r="I1059" s="422"/>
    </row>
    <row r="1060" spans="1:9" ht="12.75" customHeight="1">
      <c r="A1060" s="605"/>
      <c r="B1060" s="1000" t="s">
        <v>85</v>
      </c>
      <c r="C1060" s="423"/>
      <c r="D1060" s="2245" t="s">
        <v>1273</v>
      </c>
      <c r="E1060" s="2245"/>
      <c r="F1060" s="2245"/>
      <c r="G1060" s="998"/>
      <c r="H1060" s="422"/>
      <c r="I1060" s="422"/>
    </row>
    <row r="1061" spans="1:9" ht="12.75">
      <c r="A1061" s="605"/>
      <c r="B1061" s="605"/>
      <c r="C1061" s="423"/>
      <c r="D1061" s="2245"/>
      <c r="E1061" s="2245"/>
      <c r="F1061" s="2245"/>
      <c r="G1061" s="998"/>
      <c r="H1061" s="422"/>
      <c r="I1061" s="422"/>
    </row>
    <row r="1062" spans="1:9" ht="12.75">
      <c r="A1062" s="605"/>
      <c r="B1062" s="605"/>
      <c r="C1062" s="423"/>
      <c r="D1062" s="2245"/>
      <c r="E1062" s="2245"/>
      <c r="F1062" s="2245"/>
      <c r="G1062" s="998"/>
      <c r="H1062" s="422"/>
      <c r="I1062" s="422"/>
    </row>
    <row r="1063" spans="1:9" ht="12.75">
      <c r="A1063" s="605"/>
      <c r="B1063" s="605"/>
      <c r="C1063" s="423"/>
      <c r="D1063" s="2245"/>
      <c r="E1063" s="2245"/>
      <c r="F1063" s="2245"/>
      <c r="G1063" s="998"/>
      <c r="H1063" s="422"/>
      <c r="I1063" s="422"/>
    </row>
    <row r="1064" spans="1:9" ht="12.75">
      <c r="A1064" s="605"/>
      <c r="B1064" s="605"/>
      <c r="C1064" s="423"/>
      <c r="D1064" s="2245"/>
      <c r="E1064" s="2245"/>
      <c r="F1064" s="2245"/>
      <c r="G1064" s="998"/>
      <c r="H1064" s="422"/>
      <c r="I1064" s="422"/>
    </row>
    <row r="1065" spans="1:9" ht="12.75">
      <c r="A1065" s="605"/>
      <c r="B1065" s="605"/>
      <c r="C1065" s="423"/>
      <c r="D1065" s="2245"/>
      <c r="E1065" s="2245"/>
      <c r="F1065" s="2245"/>
      <c r="G1065" s="998"/>
      <c r="H1065" s="422"/>
      <c r="I1065" s="422"/>
    </row>
    <row r="1066" spans="1:9" ht="12.75">
      <c r="A1066" s="605"/>
      <c r="B1066" s="605"/>
      <c r="C1066" s="423"/>
      <c r="D1066" s="2245"/>
      <c r="E1066" s="2245"/>
      <c r="F1066" s="2245"/>
      <c r="G1066" s="998"/>
      <c r="H1066" s="422"/>
      <c r="I1066" s="422"/>
    </row>
    <row r="1067" spans="1:9" ht="12.75">
      <c r="A1067" s="605"/>
      <c r="B1067" s="605"/>
      <c r="C1067" s="423"/>
      <c r="D1067" s="2245"/>
      <c r="E1067" s="2245"/>
      <c r="F1067" s="2245"/>
      <c r="G1067" s="998"/>
      <c r="H1067" s="422"/>
      <c r="I1067" s="422"/>
    </row>
    <row r="1068" spans="1:9" ht="12.75">
      <c r="A1068" s="605"/>
      <c r="B1068" s="605"/>
      <c r="C1068" s="423"/>
      <c r="D1068" s="2245"/>
      <c r="E1068" s="2245"/>
      <c r="F1068" s="2245"/>
      <c r="G1068" s="998"/>
      <c r="H1068" s="422"/>
      <c r="I1068" s="422"/>
    </row>
    <row r="1069" spans="1:9" ht="12.75">
      <c r="A1069" s="605"/>
      <c r="B1069" s="605"/>
      <c r="C1069" s="423"/>
      <c r="D1069" s="2245"/>
      <c r="E1069" s="2245"/>
      <c r="F1069" s="2245"/>
      <c r="G1069" s="998"/>
      <c r="H1069" s="422"/>
      <c r="I1069" s="422"/>
    </row>
    <row r="1070" spans="1:9" ht="27.6" customHeight="1">
      <c r="A1070" s="605"/>
      <c r="B1070" s="605"/>
      <c r="C1070" s="423"/>
      <c r="D1070" s="2245"/>
      <c r="E1070" s="2245"/>
      <c r="F1070" s="224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2216" t="s">
        <v>1696</v>
      </c>
      <c r="E1072" s="2216"/>
      <c r="F1072" s="2216"/>
      <c r="G1072" s="692"/>
      <c r="H1072" s="422"/>
      <c r="I1072" s="422"/>
    </row>
    <row r="1073" spans="1:9" ht="12.75" customHeight="1">
      <c r="A1073" s="373"/>
      <c r="B1073" s="373"/>
      <c r="C1073" s="336"/>
      <c r="D1073" s="1067"/>
      <c r="E1073" s="1064"/>
      <c r="F1073" s="1064"/>
      <c r="G1073" s="692"/>
      <c r="H1073" s="422"/>
      <c r="I1073" s="422"/>
    </row>
    <row r="1074" spans="1:9" ht="14.25">
      <c r="A1074" s="431"/>
      <c r="B1074" s="1000" t="s">
        <v>85</v>
      </c>
      <c r="C1074" s="336"/>
      <c r="D1074" s="2203" t="s">
        <v>1907</v>
      </c>
      <c r="E1074" s="2203"/>
      <c r="F1074" s="2203"/>
      <c r="G1074" s="598"/>
      <c r="H1074" s="422"/>
      <c r="I1074" s="422"/>
    </row>
    <row r="1075" spans="1:9" ht="12.75">
      <c r="A1075" s="373"/>
      <c r="B1075" s="373"/>
      <c r="C1075" s="336"/>
      <c r="D1075" s="2203"/>
      <c r="E1075" s="2203"/>
      <c r="F1075" s="2203"/>
      <c r="G1075" s="598"/>
      <c r="H1075" s="422"/>
      <c r="I1075" s="422"/>
    </row>
    <row r="1076" spans="1:9" ht="12.75">
      <c r="A1076" s="373"/>
      <c r="B1076" s="373"/>
      <c r="C1076" s="336"/>
      <c r="D1076" s="2203"/>
      <c r="E1076" s="2203"/>
      <c r="F1076" s="2203"/>
      <c r="G1076" s="598"/>
      <c r="H1076" s="422"/>
      <c r="I1076" s="422"/>
    </row>
    <row r="1077" spans="1:9" ht="12.75">
      <c r="A1077" s="373"/>
      <c r="B1077" s="373"/>
      <c r="C1077" s="336"/>
      <c r="D1077" s="2203"/>
      <c r="E1077" s="2203"/>
      <c r="F1077" s="2203"/>
      <c r="G1077" s="598"/>
      <c r="H1077" s="422"/>
      <c r="I1077" s="422"/>
    </row>
    <row r="1078" spans="1:9" ht="12.75">
      <c r="A1078" s="373"/>
      <c r="B1078" s="373"/>
      <c r="C1078" s="336"/>
      <c r="D1078" s="308"/>
      <c r="E1078" s="308"/>
      <c r="F1078" s="308"/>
      <c r="G1078" s="598"/>
      <c r="H1078" s="422"/>
      <c r="I1078" s="422"/>
    </row>
    <row r="1079" spans="1:9" ht="14.25">
      <c r="A1079" s="431"/>
      <c r="B1079" s="1000" t="s">
        <v>85</v>
      </c>
      <c r="C1079" s="336"/>
      <c r="D1079" s="2203" t="s">
        <v>1908</v>
      </c>
      <c r="E1079" s="2203"/>
      <c r="F1079" s="2203"/>
      <c r="G1079" s="598"/>
      <c r="H1079" s="422"/>
      <c r="I1079" s="422"/>
    </row>
    <row r="1080" spans="1:9" ht="12.75">
      <c r="A1080" s="373"/>
      <c r="B1080" s="373"/>
      <c r="C1080" s="336"/>
      <c r="D1080" s="2203"/>
      <c r="E1080" s="2203"/>
      <c r="F1080" s="2203"/>
      <c r="G1080" s="598"/>
      <c r="H1080" s="422"/>
      <c r="I1080" s="422"/>
    </row>
    <row r="1081" spans="1:9" ht="12.75">
      <c r="A1081" s="373"/>
      <c r="B1081" s="373"/>
      <c r="C1081" s="336"/>
      <c r="D1081" s="2203"/>
      <c r="E1081" s="2203"/>
      <c r="F1081" s="2203"/>
      <c r="G1081" s="598"/>
      <c r="H1081" s="422"/>
      <c r="I1081" s="422"/>
    </row>
    <row r="1082" spans="1:9" ht="12.75">
      <c r="A1082" s="373"/>
      <c r="B1082" s="373"/>
      <c r="C1082" s="336"/>
      <c r="D1082" s="2203"/>
      <c r="E1082" s="2203"/>
      <c r="F1082" s="2203"/>
      <c r="G1082" s="598"/>
      <c r="H1082" s="422"/>
      <c r="I1082" s="422"/>
    </row>
    <row r="1083" spans="1:9" ht="12.75">
      <c r="A1083" s="373"/>
      <c r="B1083" s="373"/>
      <c r="C1083" s="336"/>
      <c r="D1083" s="308"/>
      <c r="E1083" s="308"/>
      <c r="F1083" s="308"/>
      <c r="G1083" s="598"/>
    </row>
    <row r="1084" spans="1:9" ht="12.75">
      <c r="A1084" s="373"/>
      <c r="B1084" s="1000" t="s">
        <v>85</v>
      </c>
      <c r="C1084" s="336"/>
      <c r="D1084" s="2262" t="s">
        <v>1909</v>
      </c>
      <c r="E1084" s="2262"/>
      <c r="F1084" s="2262"/>
      <c r="G1084" s="598"/>
    </row>
    <row r="1085" spans="1:9" ht="12.75">
      <c r="A1085" s="373"/>
      <c r="B1085" s="373"/>
      <c r="C1085" s="336"/>
      <c r="D1085" s="2262"/>
      <c r="E1085" s="2262"/>
      <c r="F1085" s="2262"/>
      <c r="G1085" s="598"/>
    </row>
    <row r="1086" spans="1:9" ht="12.75">
      <c r="A1086" s="373"/>
      <c r="B1086" s="373"/>
      <c r="C1086" s="336"/>
      <c r="D1086" s="2262"/>
      <c r="E1086" s="2262"/>
      <c r="F1086" s="2262"/>
      <c r="G1086" s="598"/>
    </row>
    <row r="1087" spans="1:9" ht="12.75">
      <c r="A1087" s="373"/>
      <c r="B1087" s="373"/>
      <c r="C1087" s="336"/>
      <c r="D1087" s="308"/>
      <c r="E1087" s="308"/>
      <c r="F1087" s="308"/>
      <c r="G1087" s="598"/>
    </row>
    <row r="1088" spans="1:9" ht="14.25">
      <c r="A1088" s="431"/>
      <c r="B1088" s="1000" t="s">
        <v>85</v>
      </c>
      <c r="C1088" s="708"/>
      <c r="D1088" s="2263" t="s">
        <v>1910</v>
      </c>
      <c r="E1088" s="2263"/>
      <c r="F1088" s="2263"/>
      <c r="G1088" s="746"/>
    </row>
    <row r="1089" spans="1:7" ht="12.75">
      <c r="A1089" s="707"/>
      <c r="B1089" s="707"/>
      <c r="C1089" s="708"/>
      <c r="D1089" s="2263"/>
      <c r="E1089" s="2263"/>
      <c r="F1089" s="2263"/>
      <c r="G1089" s="746"/>
    </row>
    <row r="1090" spans="1:7" ht="12.75">
      <c r="A1090" s="707"/>
      <c r="B1090" s="707"/>
      <c r="C1090" s="708"/>
      <c r="D1090" s="2263"/>
      <c r="E1090" s="2263"/>
      <c r="F1090" s="2263"/>
      <c r="G1090" s="746"/>
    </row>
    <row r="1091" spans="1:7" ht="12.75">
      <c r="A1091" s="373"/>
      <c r="B1091" s="373"/>
      <c r="C1091" s="336"/>
      <c r="D1091" s="308"/>
      <c r="E1091" s="308"/>
      <c r="F1091" s="308"/>
      <c r="G1091" s="598"/>
    </row>
    <row r="1092" spans="1:7" ht="12.75">
      <c r="A1092" s="14"/>
      <c r="B1092" s="14"/>
      <c r="C1092" s="336"/>
      <c r="D1092" s="2216" t="s">
        <v>1697</v>
      </c>
      <c r="E1092" s="2216"/>
      <c r="F1092" s="2216"/>
      <c r="G1092" s="598"/>
    </row>
    <row r="1093" spans="1:7" ht="12.75">
      <c r="A1093" s="14"/>
      <c r="B1093" s="14"/>
      <c r="C1093" s="336"/>
      <c r="D1093" s="1067"/>
      <c r="E1093" s="308"/>
      <c r="F1093" s="308"/>
      <c r="G1093" s="598"/>
    </row>
    <row r="1094" spans="1:7" ht="12.75">
      <c r="A1094" s="373"/>
      <c r="B1094" s="1000" t="s">
        <v>85</v>
      </c>
      <c r="C1094" s="336"/>
      <c r="D1094" s="2231" t="s">
        <v>1911</v>
      </c>
      <c r="E1094" s="2231"/>
      <c r="F1094" s="2231"/>
      <c r="G1094" s="598"/>
    </row>
    <row r="1095" spans="1:7" ht="12.75">
      <c r="A1095" s="373"/>
      <c r="B1095" s="373"/>
      <c r="C1095" s="336"/>
      <c r="D1095" s="2231"/>
      <c r="E1095" s="2231"/>
      <c r="F1095" s="2231"/>
      <c r="G1095" s="598"/>
    </row>
    <row r="1096" spans="1:7" ht="12.75">
      <c r="A1096" s="373"/>
      <c r="B1096" s="373"/>
      <c r="C1096" s="336"/>
      <c r="D1096" s="2231"/>
      <c r="E1096" s="2231"/>
      <c r="F1096" s="2231"/>
      <c r="G1096" s="598"/>
    </row>
    <row r="1097" spans="1:7" ht="12.75">
      <c r="A1097" s="373"/>
      <c r="B1097" s="373"/>
      <c r="C1097" s="336"/>
      <c r="D1097" s="598"/>
      <c r="E1097" s="308"/>
      <c r="F1097" s="308"/>
      <c r="G1097" s="598"/>
    </row>
    <row r="1098" spans="1:7" ht="14.25">
      <c r="A1098" s="431"/>
      <c r="B1098" s="1000" t="s">
        <v>85</v>
      </c>
      <c r="C1098" s="336"/>
      <c r="D1098" s="2231" t="s">
        <v>1912</v>
      </c>
      <c r="E1098" s="2231"/>
      <c r="F1098" s="2231"/>
      <c r="G1098" s="598"/>
    </row>
    <row r="1099" spans="1:7" ht="12.75">
      <c r="A1099" s="373"/>
      <c r="B1099" s="373"/>
      <c r="C1099" s="336"/>
      <c r="D1099" s="2231"/>
      <c r="E1099" s="2231"/>
      <c r="F1099" s="2231"/>
      <c r="G1099" s="598"/>
    </row>
    <row r="1100" spans="1:7" ht="12.75">
      <c r="A1100" s="373"/>
      <c r="B1100" s="373"/>
      <c r="C1100" s="336"/>
      <c r="D1100" s="2231"/>
      <c r="E1100" s="2231"/>
      <c r="F1100" s="2231"/>
      <c r="G1100" s="598"/>
    </row>
    <row r="1101" spans="1:7" ht="12.75">
      <c r="A1101" s="373"/>
      <c r="B1101" s="373"/>
      <c r="C1101" s="336"/>
      <c r="D1101" s="308"/>
      <c r="E1101" s="308"/>
      <c r="F1101" s="308"/>
      <c r="G1101" s="598"/>
    </row>
    <row r="1102" spans="1:7" ht="12.75">
      <c r="A1102" s="373"/>
      <c r="B1102" s="373"/>
      <c r="C1102" s="336"/>
      <c r="D1102" s="2216" t="s">
        <v>1263</v>
      </c>
      <c r="E1102" s="2216"/>
      <c r="F1102" s="2216"/>
      <c r="G1102" s="598"/>
    </row>
    <row r="1103" spans="1:7" ht="12.75">
      <c r="A1103" s="373"/>
      <c r="B1103" s="373"/>
      <c r="C1103" s="336"/>
      <c r="D1103" s="2200" t="s">
        <v>1698</v>
      </c>
      <c r="E1103" s="2200"/>
      <c r="F1103" s="2200"/>
      <c r="G1103" s="598"/>
    </row>
    <row r="1104" spans="1:7" ht="12.75">
      <c r="A1104" s="373"/>
      <c r="B1104" s="373"/>
      <c r="C1104" s="336"/>
      <c r="D1104" s="1068"/>
      <c r="E1104" s="308"/>
      <c r="F1104" s="308"/>
      <c r="G1104" s="598"/>
    </row>
    <row r="1105" spans="1:7" ht="14.25">
      <c r="A1105" s="431"/>
      <c r="B1105" s="1000" t="s">
        <v>85</v>
      </c>
      <c r="C1105" s="336"/>
      <c r="D1105" s="2203" t="s">
        <v>1913</v>
      </c>
      <c r="E1105" s="2203"/>
      <c r="F1105" s="2203"/>
      <c r="G1105" s="598"/>
    </row>
    <row r="1106" spans="1:7" ht="12.75">
      <c r="A1106" s="373"/>
      <c r="B1106" s="373"/>
      <c r="C1106" s="336"/>
      <c r="D1106" s="2203"/>
      <c r="E1106" s="2203"/>
      <c r="F1106" s="2203"/>
      <c r="G1106" s="598"/>
    </row>
    <row r="1107" spans="1:7" ht="12.75">
      <c r="A1107" s="373"/>
      <c r="B1107" s="373"/>
      <c r="C1107" s="336"/>
      <c r="D1107" s="308"/>
      <c r="E1107" s="308"/>
      <c r="F1107" s="308"/>
      <c r="G1107" s="598"/>
    </row>
    <row r="1108" spans="1:7" ht="14.25">
      <c r="A1108" s="431"/>
      <c r="B1108" s="1000" t="s">
        <v>85</v>
      </c>
      <c r="C1108" s="336"/>
      <c r="D1108" s="2203" t="s">
        <v>1914</v>
      </c>
      <c r="E1108" s="2203"/>
      <c r="F1108" s="2203"/>
      <c r="G1108" s="598"/>
    </row>
    <row r="1109" spans="1:7" ht="12.75">
      <c r="A1109" s="373"/>
      <c r="B1109" s="373"/>
      <c r="C1109" s="336"/>
      <c r="D1109" s="2203"/>
      <c r="E1109" s="2203"/>
      <c r="F1109" s="2203"/>
      <c r="G1109" s="598"/>
    </row>
    <row r="1110" spans="1:7" ht="12.75">
      <c r="A1110" s="373"/>
      <c r="B1110" s="373"/>
      <c r="C1110" s="336"/>
      <c r="D1110" s="294"/>
      <c r="E1110" s="308"/>
      <c r="F1110" s="308"/>
      <c r="G1110" s="598"/>
    </row>
    <row r="1111" spans="1:7" ht="12.75">
      <c r="A1111" s="373"/>
      <c r="B1111" s="373"/>
      <c r="C1111" s="336"/>
      <c r="D1111" s="2216" t="s">
        <v>1699</v>
      </c>
      <c r="E1111" s="2216"/>
      <c r="F1111" s="2216"/>
      <c r="G1111" s="598"/>
    </row>
    <row r="1112" spans="1:7" ht="12.75">
      <c r="A1112" s="373"/>
      <c r="B1112" s="373"/>
      <c r="C1112" s="336"/>
      <c r="D1112" s="1067"/>
      <c r="E1112" s="308"/>
      <c r="F1112" s="308"/>
      <c r="G1112" s="598"/>
    </row>
    <row r="1113" spans="1:7" ht="14.25">
      <c r="A1113" s="431"/>
      <c r="B1113" s="1000" t="s">
        <v>85</v>
      </c>
      <c r="C1113" s="336"/>
      <c r="D1113" s="2203" t="s">
        <v>1915</v>
      </c>
      <c r="E1113" s="2203"/>
      <c r="F1113" s="2203"/>
      <c r="G1113" s="598"/>
    </row>
    <row r="1114" spans="1:7" ht="12.75">
      <c r="A1114" s="373"/>
      <c r="B1114" s="373"/>
      <c r="C1114" s="336"/>
      <c r="D1114" s="2203"/>
      <c r="E1114" s="2203"/>
      <c r="F1114" s="2203"/>
      <c r="G1114" s="598"/>
    </row>
    <row r="1115" spans="1:7" ht="12.75">
      <c r="A1115" s="373"/>
      <c r="B1115" s="373"/>
      <c r="C1115" s="336"/>
      <c r="D1115" s="2203"/>
      <c r="E1115" s="2203"/>
      <c r="F1115" s="2203"/>
      <c r="G1115" s="598"/>
    </row>
    <row r="1116" spans="1:7" ht="12.75">
      <c r="A1116" s="373"/>
      <c r="B1116" s="373"/>
      <c r="C1116" s="336"/>
      <c r="D1116" s="2203"/>
      <c r="E1116" s="2203"/>
      <c r="F1116" s="2203"/>
      <c r="G1116" s="598"/>
    </row>
    <row r="1117" spans="1:7" ht="12.75">
      <c r="A1117" s="373"/>
      <c r="B1117" s="373"/>
      <c r="C1117" s="336"/>
      <c r="D1117" s="2203"/>
      <c r="E1117" s="2203"/>
      <c r="F1117" s="2203"/>
      <c r="G1117" s="598"/>
    </row>
    <row r="1118" spans="1:7" ht="12.75">
      <c r="A1118" s="373"/>
      <c r="B1118" s="373"/>
      <c r="C1118" s="336"/>
      <c r="D1118" s="2203"/>
      <c r="E1118" s="2203"/>
      <c r="F1118" s="2203"/>
      <c r="G1118" s="598"/>
    </row>
    <row r="1119" spans="1:7" ht="12.75">
      <c r="A1119" s="373"/>
      <c r="B1119" s="373"/>
      <c r="C1119" s="336"/>
      <c r="D1119" s="2203"/>
      <c r="E1119" s="2203"/>
      <c r="F1119" s="2203"/>
      <c r="G1119" s="598"/>
    </row>
    <row r="1120" spans="1:7" ht="12.75">
      <c r="A1120" s="373"/>
      <c r="B1120" s="373"/>
      <c r="C1120" s="336"/>
      <c r="D1120" s="308"/>
      <c r="E1120" s="308"/>
      <c r="F1120" s="308"/>
      <c r="G1120" s="598"/>
    </row>
    <row r="1121" spans="1:7" ht="14.25">
      <c r="A1121" s="431"/>
      <c r="B1121" s="1000" t="s">
        <v>85</v>
      </c>
      <c r="C1121" s="336"/>
      <c r="D1121" s="2203" t="s">
        <v>1916</v>
      </c>
      <c r="E1121" s="2203"/>
      <c r="F1121" s="2203"/>
      <c r="G1121" s="598"/>
    </row>
    <row r="1122" spans="1:7" ht="12.75">
      <c r="A1122" s="373"/>
      <c r="B1122" s="373"/>
      <c r="C1122" s="336"/>
      <c r="D1122" s="2203"/>
      <c r="E1122" s="2203"/>
      <c r="F1122" s="2203"/>
      <c r="G1122" s="598"/>
    </row>
    <row r="1123" spans="1:7" ht="12.75">
      <c r="A1123" s="373"/>
      <c r="B1123" s="373"/>
      <c r="C1123" s="336"/>
      <c r="D1123" s="2203"/>
      <c r="E1123" s="2203"/>
      <c r="F1123" s="2203"/>
      <c r="G1123" s="598"/>
    </row>
    <row r="1124" spans="1:7" ht="12.75">
      <c r="A1124" s="373"/>
      <c r="B1124" s="373"/>
      <c r="C1124" s="336"/>
      <c r="D1124" s="2203"/>
      <c r="E1124" s="2203"/>
      <c r="F1124" s="2203"/>
      <c r="G1124" s="598"/>
    </row>
    <row r="1125" spans="1:7" ht="12.75">
      <c r="A1125" s="373"/>
      <c r="B1125" s="373"/>
      <c r="C1125" s="336"/>
      <c r="D1125" s="2203"/>
      <c r="E1125" s="2203"/>
      <c r="F1125" s="2203"/>
      <c r="G1125" s="598"/>
    </row>
    <row r="1126" spans="1:7" ht="12.75">
      <c r="A1126" s="373"/>
      <c r="B1126" s="373"/>
      <c r="C1126" s="336"/>
      <c r="D1126" s="2203"/>
      <c r="E1126" s="2203"/>
      <c r="F1126" s="2203"/>
      <c r="G1126" s="598"/>
    </row>
    <row r="1127" spans="1:7" ht="12.75">
      <c r="A1127" s="373"/>
      <c r="B1127" s="373"/>
      <c r="C1127" s="336"/>
      <c r="D1127" s="2203"/>
      <c r="E1127" s="2203"/>
      <c r="F1127" s="2203"/>
      <c r="G1127" s="598"/>
    </row>
    <row r="1128" spans="1:7" ht="12.75">
      <c r="A1128" s="373"/>
      <c r="B1128" s="373"/>
      <c r="C1128" s="336"/>
      <c r="D1128" s="1185"/>
      <c r="E1128" s="1185"/>
      <c r="F1128" s="1185"/>
      <c r="G1128" s="598"/>
    </row>
    <row r="1129" spans="1:7" ht="12.4" customHeight="1">
      <c r="A1129" s="373"/>
      <c r="B1129" s="1187" t="s">
        <v>85</v>
      </c>
      <c r="C1129" s="336"/>
      <c r="D1129" s="2299" t="s">
        <v>2059</v>
      </c>
      <c r="E1129" s="2262"/>
      <c r="F1129" s="2262"/>
      <c r="G1129" s="598"/>
    </row>
    <row r="1130" spans="1:7" ht="12.4" customHeight="1">
      <c r="A1130" s="373"/>
      <c r="B1130" s="373"/>
      <c r="C1130" s="336"/>
      <c r="D1130" s="2262"/>
      <c r="E1130" s="2262"/>
      <c r="F1130" s="2262"/>
      <c r="G1130" s="598"/>
    </row>
    <row r="1131" spans="1:7" ht="12.75">
      <c r="A1131" s="373"/>
      <c r="B1131" s="373"/>
      <c r="C1131" s="336"/>
      <c r="D1131" s="2262"/>
      <c r="E1131" s="2262"/>
      <c r="F1131" s="2262"/>
      <c r="G1131" s="598"/>
    </row>
    <row r="1132" spans="1:7" ht="12.75">
      <c r="A1132" s="373"/>
      <c r="B1132" s="373"/>
      <c r="C1132" s="336"/>
      <c r="D1132" s="1186"/>
      <c r="E1132" s="1186"/>
      <c r="F1132" s="1186"/>
      <c r="G1132" s="598"/>
    </row>
    <row r="1133" spans="1:7" ht="12.75">
      <c r="A1133" s="152"/>
      <c r="B1133" s="152"/>
      <c r="C1133" s="14"/>
      <c r="D1133" s="2216" t="s">
        <v>1700</v>
      </c>
      <c r="E1133" s="2216"/>
      <c r="F1133" s="2216"/>
    </row>
    <row r="1134" spans="1:7" ht="12.75">
      <c r="A1134" s="1072"/>
      <c r="B1134" s="1072"/>
      <c r="C1134" s="14"/>
      <c r="D1134" s="1067"/>
      <c r="E1134" s="294"/>
      <c r="F1134" s="294"/>
    </row>
    <row r="1135" spans="1:7" ht="14.25">
      <c r="A1135" s="431"/>
      <c r="B1135" s="1000" t="s">
        <v>85</v>
      </c>
      <c r="C1135" s="14"/>
      <c r="D1135" s="2231" t="s">
        <v>1917</v>
      </c>
      <c r="E1135" s="2231"/>
      <c r="F1135" s="2231"/>
    </row>
    <row r="1136" spans="1:7" ht="12.75">
      <c r="A1136" s="152"/>
      <c r="B1136" s="152"/>
      <c r="C1136" s="14"/>
      <c r="D1136" s="2231"/>
      <c r="E1136" s="2231"/>
      <c r="F1136" s="2231"/>
    </row>
    <row r="1137" spans="1:7" ht="12.75">
      <c r="A1137" s="152"/>
      <c r="B1137" s="152"/>
      <c r="C1137" s="14"/>
      <c r="E1137" s="294"/>
      <c r="F1137" s="294"/>
    </row>
    <row r="1138" spans="1:7" ht="14.25">
      <c r="A1138" s="431"/>
      <c r="B1138" s="1000" t="s">
        <v>85</v>
      </c>
      <c r="C1138" s="14"/>
      <c r="D1138" s="2231" t="s">
        <v>1918</v>
      </c>
      <c r="E1138" s="2231"/>
      <c r="F1138" s="2231"/>
    </row>
    <row r="1139" spans="1:7" ht="12.75">
      <c r="A1139" s="152"/>
      <c r="B1139" s="152"/>
      <c r="C1139" s="14"/>
      <c r="D1139" s="2231"/>
      <c r="E1139" s="2231"/>
      <c r="F1139" s="2231"/>
    </row>
    <row r="1140" spans="1:7" ht="12.75">
      <c r="A1140" s="152"/>
      <c r="B1140" s="152"/>
      <c r="C1140" s="14"/>
      <c r="D1140" s="294"/>
      <c r="E1140" s="294"/>
      <c r="F1140" s="294"/>
    </row>
    <row r="1141" spans="1:7" ht="12.75">
      <c r="A1141" s="152"/>
      <c r="B1141" s="152"/>
      <c r="C1141" s="14"/>
      <c r="D1141" s="2216" t="s">
        <v>1701</v>
      </c>
      <c r="E1141" s="2216"/>
      <c r="F1141" s="2216"/>
    </row>
    <row r="1142" spans="1:7" ht="12.75">
      <c r="A1142" s="1072"/>
      <c r="B1142" s="1072"/>
      <c r="C1142" s="14"/>
      <c r="D1142" s="1067"/>
      <c r="E1142" s="294"/>
      <c r="F1142" s="294"/>
    </row>
    <row r="1143" spans="1:7" ht="14.25">
      <c r="A1143" s="431"/>
      <c r="B1143" s="1000" t="s">
        <v>85</v>
      </c>
      <c r="C1143" s="14"/>
      <c r="D1143" s="2200" t="s">
        <v>1919</v>
      </c>
      <c r="E1143" s="2200"/>
      <c r="F1143" s="2200"/>
    </row>
    <row r="1144" spans="1:7" ht="12.75">
      <c r="A1144" s="152"/>
      <c r="B1144" s="152"/>
      <c r="C1144" s="14"/>
      <c r="D1144" s="294"/>
      <c r="E1144" s="294"/>
      <c r="F1144" s="294"/>
    </row>
    <row r="1145" spans="1:7" ht="14.25">
      <c r="A1145" s="431"/>
      <c r="B1145" s="1000" t="s">
        <v>85</v>
      </c>
      <c r="C1145" s="14"/>
      <c r="D1145" s="2203" t="s">
        <v>1920</v>
      </c>
      <c r="E1145" s="2203"/>
      <c r="F1145" s="2203"/>
    </row>
    <row r="1146" spans="1:7" ht="14.25">
      <c r="A1146" s="431"/>
      <c r="B1146" s="431"/>
      <c r="C1146" s="14"/>
      <c r="D1146" s="2203"/>
      <c r="E1146" s="2203"/>
      <c r="F1146" s="2203"/>
    </row>
    <row r="1147" spans="1:7" ht="14.25">
      <c r="A1147" s="431"/>
      <c r="B1147" s="431"/>
      <c r="C1147" s="14"/>
      <c r="D1147" s="1076"/>
      <c r="E1147" s="1076"/>
      <c r="F1147" s="1076"/>
      <c r="G1147" s="2"/>
    </row>
    <row r="1148" spans="1:7" ht="12.75">
      <c r="A1148" s="1078"/>
      <c r="B1148" s="1078"/>
      <c r="C1148" s="14"/>
      <c r="D1148" s="2216" t="s">
        <v>1935</v>
      </c>
      <c r="E1148" s="2216"/>
      <c r="F1148" s="2216"/>
      <c r="G1148" s="2"/>
    </row>
    <row r="1149" spans="1:7" ht="12.75">
      <c r="A1149" s="1078"/>
      <c r="B1149" s="1078"/>
      <c r="C1149" s="14"/>
      <c r="D1149" s="1077"/>
      <c r="E1149" s="294"/>
      <c r="F1149" s="294"/>
      <c r="G1149" s="2"/>
    </row>
    <row r="1150" spans="1:7" ht="14.45" customHeight="1">
      <c r="A1150" s="431"/>
      <c r="B1150" s="1079" t="s">
        <v>85</v>
      </c>
      <c r="C1150" s="14"/>
      <c r="D1150" s="2217" t="s">
        <v>2038</v>
      </c>
      <c r="E1150" s="2203"/>
      <c r="F1150" s="2203"/>
      <c r="G1150" s="2"/>
    </row>
    <row r="1151" spans="1:7" ht="14.25">
      <c r="A1151" s="431"/>
      <c r="B1151" s="431"/>
      <c r="C1151" s="14"/>
      <c r="D1151" s="2203"/>
      <c r="E1151" s="2203"/>
      <c r="F1151" s="2203"/>
      <c r="G1151" s="2"/>
    </row>
    <row r="1152" spans="1:7" ht="14.25">
      <c r="A1152" s="431"/>
      <c r="B1152" s="431"/>
      <c r="C1152" s="14"/>
      <c r="D1152" s="2203"/>
      <c r="E1152" s="2203"/>
      <c r="F1152" s="2203"/>
      <c r="G1152" s="2"/>
    </row>
    <row r="1153" spans="1:7" ht="14.25">
      <c r="A1153" s="431"/>
      <c r="B1153" s="431"/>
      <c r="C1153" s="14"/>
      <c r="D1153" s="2203"/>
      <c r="E1153" s="2203"/>
      <c r="F1153" s="2203"/>
      <c r="G1153" s="2"/>
    </row>
    <row r="1154" spans="1:7" ht="14.25">
      <c r="A1154" s="431"/>
      <c r="B1154" s="431"/>
      <c r="C1154" s="14"/>
      <c r="D1154" s="2203"/>
      <c r="E1154" s="2203"/>
      <c r="F1154" s="2203"/>
      <c r="G1154" s="2"/>
    </row>
    <row r="1155" spans="1:7" ht="14.25">
      <c r="A1155" s="431"/>
      <c r="B1155" s="431"/>
      <c r="C1155" s="14"/>
      <c r="D1155" s="2203"/>
      <c r="E1155" s="2203"/>
      <c r="F1155" s="2203"/>
      <c r="G1155" s="2"/>
    </row>
    <row r="1156" spans="1:7" ht="14.25">
      <c r="A1156" s="431"/>
      <c r="B1156" s="431"/>
      <c r="C1156" s="14"/>
      <c r="D1156" s="2203"/>
      <c r="E1156" s="2203"/>
      <c r="F1156" s="2203"/>
      <c r="G1156" s="2"/>
    </row>
    <row r="1157" spans="1:7" ht="14.25">
      <c r="A1157" s="431"/>
      <c r="B1157" s="431"/>
      <c r="C1157" s="14"/>
      <c r="D1157" s="2203"/>
      <c r="E1157" s="2203"/>
      <c r="F1157" s="2203"/>
      <c r="G1157" s="2"/>
    </row>
    <row r="1158" spans="1:7" ht="14.25">
      <c r="A1158" s="431"/>
      <c r="B1158" s="431"/>
      <c r="C1158" s="14"/>
      <c r="D1158" s="2203"/>
      <c r="E1158" s="2203"/>
      <c r="F1158" s="2203"/>
      <c r="G1158" s="2"/>
    </row>
    <row r="1159" spans="1:7" ht="14.25">
      <c r="A1159" s="431"/>
      <c r="B1159" s="431"/>
      <c r="C1159" s="14"/>
      <c r="D1159" s="2203"/>
      <c r="E1159" s="2203"/>
      <c r="F1159" s="2203"/>
      <c r="G1159" s="2"/>
    </row>
    <row r="1160" spans="1:7" ht="14.25">
      <c r="A1160" s="431"/>
      <c r="B1160" s="431"/>
      <c r="C1160" s="14"/>
      <c r="D1160" s="2203"/>
      <c r="E1160" s="2203"/>
      <c r="F1160" s="2203"/>
      <c r="G1160" s="2"/>
    </row>
    <row r="1161" spans="1:7" ht="14.25">
      <c r="A1161" s="431"/>
      <c r="B1161" s="431"/>
      <c r="C1161" s="14"/>
      <c r="D1161" s="2203"/>
      <c r="E1161" s="2203"/>
      <c r="F1161" s="2203"/>
      <c r="G1161" s="2"/>
    </row>
    <row r="1162" spans="1:7" ht="14.25">
      <c r="A1162" s="431"/>
      <c r="B1162" s="431"/>
      <c r="C1162" s="14"/>
      <c r="D1162" s="2203"/>
      <c r="E1162" s="2203"/>
      <c r="F1162" s="2203"/>
      <c r="G1162" s="2"/>
    </row>
    <row r="1163" spans="1:7" ht="14.25">
      <c r="A1163" s="431"/>
      <c r="B1163" s="431"/>
      <c r="C1163" s="14"/>
      <c r="D1163" s="2203"/>
      <c r="E1163" s="2203"/>
      <c r="F1163" s="2203"/>
    </row>
    <row r="1164" spans="1:7" ht="12.75">
      <c r="A1164" s="152"/>
      <c r="B1164" s="152"/>
      <c r="C1164" s="14"/>
      <c r="D1164" s="294"/>
      <c r="E1164" s="294"/>
      <c r="F1164" s="294"/>
    </row>
    <row r="1165" spans="1:7" ht="12.75">
      <c r="A1165" s="2215" t="s">
        <v>1588</v>
      </c>
      <c r="B1165" s="2215"/>
      <c r="C1165" s="2215"/>
      <c r="D1165" s="2215"/>
      <c r="E1165" s="2215"/>
      <c r="F1165" s="2215"/>
      <c r="G1165" s="2215"/>
    </row>
    <row r="1166" spans="1:7" ht="12.75">
      <c r="A1166" s="155"/>
      <c r="B1166" s="155"/>
      <c r="C1166" s="14"/>
      <c r="D1166" s="294"/>
      <c r="E1166" s="294"/>
      <c r="F1166" s="294"/>
    </row>
    <row r="1167" spans="1:7" ht="12.75">
      <c r="A1167" s="152"/>
      <c r="B1167" s="152"/>
      <c r="C1167" s="336"/>
      <c r="D1167" s="2216" t="s">
        <v>1921</v>
      </c>
      <c r="E1167" s="2216"/>
      <c r="F1167" s="2216"/>
    </row>
    <row r="1168" spans="1:7" ht="12.75">
      <c r="A1168" s="432"/>
      <c r="B1168" s="432"/>
      <c r="C1168" s="310"/>
      <c r="D1168" s="2298" t="s">
        <v>1707</v>
      </c>
      <c r="E1168" s="2200"/>
      <c r="F1168" s="2200"/>
    </row>
    <row r="1169" spans="1:7" ht="12.75">
      <c r="A1169" s="432"/>
      <c r="B1169" s="432"/>
      <c r="C1169" s="310"/>
      <c r="D1169" s="294"/>
      <c r="E1169" s="294"/>
      <c r="F1169" s="308"/>
      <c r="G1169" s="2"/>
    </row>
    <row r="1170" spans="1:7" ht="13.7" customHeight="1">
      <c r="A1170" s="152"/>
      <c r="B1170" s="1000" t="s">
        <v>85</v>
      </c>
      <c r="C1170" s="14"/>
      <c r="D1170" s="2264" t="s">
        <v>2039</v>
      </c>
      <c r="E1170" s="2264"/>
      <c r="F1170" s="2264"/>
      <c r="G1170" s="2"/>
    </row>
    <row r="1171" spans="1:7" ht="12.75">
      <c r="A1171" s="152"/>
      <c r="B1171" s="152"/>
      <c r="C1171" s="14"/>
      <c r="D1171" s="2264"/>
      <c r="E1171" s="2264"/>
      <c r="F1171" s="2264"/>
      <c r="G1171" s="2"/>
    </row>
    <row r="1172" spans="1:7" ht="12.75">
      <c r="A1172" s="152"/>
      <c r="B1172" s="152"/>
      <c r="C1172" s="14"/>
      <c r="D1172" s="2264"/>
      <c r="E1172" s="2264"/>
      <c r="F1172" s="2264"/>
      <c r="G1172" s="2"/>
    </row>
    <row r="1173" spans="1:7" ht="12.75">
      <c r="A1173" s="162"/>
      <c r="B1173" s="162"/>
      <c r="D1173" s="2264"/>
      <c r="E1173" s="2264"/>
      <c r="F1173" s="2264"/>
      <c r="G1173" s="2"/>
    </row>
    <row r="1174" spans="1:7" ht="12.75">
      <c r="A1174" s="162"/>
      <c r="B1174" s="162"/>
      <c r="D1174" s="2264"/>
      <c r="E1174" s="2264"/>
      <c r="F1174" s="2264"/>
      <c r="G1174" s="2"/>
    </row>
    <row r="1175" spans="1:7" ht="12.75">
      <c r="A1175" s="433"/>
      <c r="B1175" s="433"/>
      <c r="C1175" s="311"/>
      <c r="D1175" s="2264"/>
      <c r="E1175" s="2264"/>
      <c r="F1175" s="2264"/>
      <c r="G1175" s="2"/>
    </row>
    <row r="1176" spans="1:7" ht="14.45" customHeight="1">
      <c r="A1176" s="433"/>
      <c r="B1176" s="433"/>
      <c r="C1176" s="311"/>
      <c r="D1176" s="2264"/>
      <c r="E1176" s="2264"/>
      <c r="F1176" s="2264"/>
      <c r="G1176" s="2"/>
    </row>
    <row r="1177" spans="1:7" ht="12.75">
      <c r="A1177" s="433"/>
      <c r="B1177" s="433"/>
      <c r="C1177" s="311"/>
      <c r="D1177" s="1066"/>
      <c r="E1177" s="1066"/>
      <c r="F1177" s="1066"/>
      <c r="G1177" s="2"/>
    </row>
    <row r="1178" spans="1:7" ht="12.75">
      <c r="A1178" s="433"/>
      <c r="B1178" s="1083" t="s">
        <v>85</v>
      </c>
      <c r="C1178" s="311"/>
      <c r="D1178" s="2231" t="s">
        <v>1937</v>
      </c>
      <c r="E1178" s="2231"/>
      <c r="F1178" s="2231"/>
      <c r="G1178" s="2"/>
    </row>
    <row r="1179" spans="1:7" ht="12.75">
      <c r="A1179" s="433"/>
      <c r="B1179" s="433"/>
      <c r="C1179" s="311"/>
      <c r="D1179" s="2231"/>
      <c r="E1179" s="2231"/>
      <c r="F1179" s="2231"/>
      <c r="G1179" s="2"/>
    </row>
    <row r="1180" spans="1:7" ht="12.75">
      <c r="A1180" s="433"/>
      <c r="B1180" s="433"/>
      <c r="C1180" s="311"/>
      <c r="D1180" s="2231"/>
      <c r="E1180" s="2231"/>
      <c r="F1180" s="2231"/>
      <c r="G1180" s="2"/>
    </row>
    <row r="1181" spans="1:7" ht="12.75">
      <c r="A1181" s="433"/>
      <c r="B1181" s="433"/>
      <c r="C1181" s="311"/>
      <c r="D1181" s="2231"/>
      <c r="E1181" s="2231"/>
      <c r="F1181" s="2231"/>
      <c r="G1181" s="2"/>
    </row>
    <row r="1182" spans="1:7" ht="12.75">
      <c r="A1182" s="433"/>
      <c r="B1182" s="433"/>
      <c r="C1182" s="311"/>
      <c r="D1182" s="1152"/>
      <c r="E1182" s="1152"/>
      <c r="F1182" s="1152"/>
      <c r="G1182" s="2"/>
    </row>
    <row r="1183" spans="1:7" ht="12.75">
      <c r="A1183" s="433"/>
      <c r="B1183" s="1153" t="s">
        <v>85</v>
      </c>
      <c r="C1183" s="311"/>
      <c r="D1183" s="2230" t="s">
        <v>2040</v>
      </c>
      <c r="E1183" s="2231"/>
      <c r="F1183" s="2231"/>
      <c r="G1183" s="2"/>
    </row>
    <row r="1184" spans="1:7" ht="12.75">
      <c r="A1184" s="433"/>
      <c r="B1184" s="433"/>
      <c r="C1184" s="311"/>
      <c r="D1184" s="2231"/>
      <c r="E1184" s="2231"/>
      <c r="F1184" s="2231"/>
      <c r="G1184" s="2"/>
    </row>
    <row r="1185" spans="1:7" ht="12.75">
      <c r="A1185" s="433"/>
      <c r="B1185" s="433"/>
      <c r="C1185" s="311"/>
      <c r="D1185" s="1152"/>
      <c r="E1185" s="1152"/>
      <c r="F1185" s="1152"/>
      <c r="G1185" s="2"/>
    </row>
    <row r="1186" spans="1:7" ht="14.25">
      <c r="A1186" s="431"/>
      <c r="B1186" s="1000" t="s">
        <v>85</v>
      </c>
      <c r="C1186" s="14"/>
      <c r="D1186" s="2200" t="s">
        <v>1922</v>
      </c>
      <c r="E1186" s="2200"/>
      <c r="F1186" s="2200"/>
      <c r="G1186" s="2"/>
    </row>
    <row r="1187" spans="1:7" ht="12.75">
      <c r="A1187" s="152"/>
      <c r="B1187" s="152"/>
      <c r="C1187" s="14"/>
      <c r="D1187" s="294"/>
      <c r="E1187" s="294"/>
      <c r="F1187" s="294"/>
      <c r="G1187" s="2"/>
    </row>
    <row r="1188" spans="1:7" ht="14.25">
      <c r="A1188" s="431"/>
      <c r="B1188" s="1000" t="s">
        <v>85</v>
      </c>
      <c r="C1188" s="14"/>
      <c r="D1188" s="2200" t="s">
        <v>1923</v>
      </c>
      <c r="E1188" s="2200"/>
      <c r="F1188" s="2200"/>
      <c r="G1188" s="2"/>
    </row>
    <row r="1189" spans="1:7" ht="12.75">
      <c r="A1189" s="152"/>
      <c r="B1189" s="152"/>
      <c r="C1189" s="14"/>
      <c r="D1189" s="299"/>
      <c r="E1189" s="294"/>
      <c r="F1189" s="294"/>
      <c r="G1189" s="2"/>
    </row>
    <row r="1190" spans="1:7" ht="14.25">
      <c r="A1190" s="431"/>
      <c r="B1190" s="1000" t="s">
        <v>85</v>
      </c>
      <c r="C1190" s="14"/>
      <c r="D1190" s="2200" t="s">
        <v>1924</v>
      </c>
      <c r="E1190" s="2200"/>
      <c r="F1190" s="2200"/>
      <c r="G1190" s="2"/>
    </row>
    <row r="1191" spans="1:7" ht="12.75">
      <c r="A1191" s="152"/>
      <c r="B1191" s="152"/>
      <c r="C1191" s="14"/>
      <c r="D1191" s="299"/>
      <c r="E1191" s="294"/>
      <c r="F1191" s="294"/>
      <c r="G1191" s="2"/>
    </row>
    <row r="1192" spans="1:7" ht="14.25">
      <c r="A1192" s="431"/>
      <c r="B1192" s="1000" t="s">
        <v>85</v>
      </c>
      <c r="C1192" s="14"/>
      <c r="D1192" s="2203" t="s">
        <v>1925</v>
      </c>
      <c r="E1192" s="2203"/>
      <c r="F1192" s="2203"/>
      <c r="G1192" s="2"/>
    </row>
    <row r="1193" spans="1:7" ht="14.25">
      <c r="A1193" s="431"/>
      <c r="B1193" s="431"/>
      <c r="C1193" s="14"/>
      <c r="D1193" s="2203"/>
      <c r="E1193" s="2203"/>
      <c r="F1193" s="2203"/>
      <c r="G1193" s="2"/>
    </row>
    <row r="1194" spans="1:7" ht="14.25">
      <c r="A1194" s="431"/>
      <c r="B1194" s="431"/>
      <c r="C1194" s="14"/>
      <c r="D1194" s="299"/>
      <c r="E1194" s="294"/>
      <c r="F1194" s="294"/>
    </row>
    <row r="1195" spans="1:7" s="741" customFormat="1" ht="14.25">
      <c r="A1195" s="482"/>
      <c r="B1195" s="1000" t="s">
        <v>85</v>
      </c>
      <c r="C1195" s="483"/>
      <c r="D1195" s="2249" t="s">
        <v>1926</v>
      </c>
      <c r="E1195" s="2249"/>
      <c r="F1195" s="2249"/>
      <c r="G1195" s="742"/>
    </row>
    <row r="1196" spans="1:7" s="741" customFormat="1" ht="12.75">
      <c r="A1196" s="483"/>
      <c r="B1196" s="483"/>
      <c r="C1196" s="483"/>
      <c r="D1196" s="2249"/>
      <c r="E1196" s="2249"/>
      <c r="F1196" s="2249"/>
      <c r="G1196" s="742"/>
    </row>
    <row r="1197" spans="1:7" s="741" customFormat="1" ht="12.75">
      <c r="A1197" s="483"/>
      <c r="B1197" s="483"/>
      <c r="C1197" s="483"/>
      <c r="D1197" s="484"/>
      <c r="E1197" s="485"/>
      <c r="F1197" s="485"/>
      <c r="G1197" s="742"/>
    </row>
    <row r="1198" spans="1:7" s="741" customFormat="1" ht="14.25">
      <c r="A1198" s="482"/>
      <c r="B1198" s="1000" t="s">
        <v>85</v>
      </c>
      <c r="C1198" s="483"/>
      <c r="D1198" s="2297" t="s">
        <v>1927</v>
      </c>
      <c r="E1198" s="2297"/>
      <c r="F1198" s="2297"/>
      <c r="G1198" s="742"/>
    </row>
    <row r="1199" spans="1:7" s="741" customFormat="1" ht="12.75">
      <c r="A1199" s="483"/>
      <c r="B1199" s="483"/>
      <c r="C1199" s="483"/>
      <c r="D1199" s="484"/>
      <c r="E1199" s="485"/>
      <c r="F1199" s="485"/>
      <c r="G1199" s="742"/>
    </row>
    <row r="1200" spans="1:7" ht="14.25">
      <c r="A1200" s="431"/>
      <c r="B1200" s="1000" t="s">
        <v>85</v>
      </c>
      <c r="C1200" s="14"/>
      <c r="D1200" s="2200" t="s">
        <v>1928</v>
      </c>
      <c r="E1200" s="2200"/>
      <c r="F1200" s="2200"/>
    </row>
    <row r="1201" spans="1:7" ht="14.25">
      <c r="A1201" s="431"/>
      <c r="B1201" s="431"/>
      <c r="C1201" s="14"/>
      <c r="D1201" s="299"/>
      <c r="E1201" s="294"/>
      <c r="F1201" s="294"/>
    </row>
    <row r="1202" spans="1:7" ht="14.25">
      <c r="A1202" s="431"/>
      <c r="B1202" s="1000" t="s">
        <v>85</v>
      </c>
      <c r="C1202" s="14"/>
      <c r="D1202" s="2203" t="s">
        <v>1929</v>
      </c>
      <c r="E1202" s="2203"/>
      <c r="F1202" s="2203"/>
    </row>
    <row r="1203" spans="1:7" ht="14.25">
      <c r="A1203" s="431"/>
      <c r="B1203" s="431"/>
      <c r="C1203" s="14"/>
      <c r="D1203" s="2203"/>
      <c r="E1203" s="2203"/>
      <c r="F1203" s="2203"/>
    </row>
    <row r="1204" spans="1:7" ht="12.75">
      <c r="A1204" s="152"/>
      <c r="B1204" s="152"/>
      <c r="C1204" s="14"/>
      <c r="D1204" s="294"/>
      <c r="E1204" s="294"/>
      <c r="F1204" s="294"/>
    </row>
    <row r="1205" spans="1:7" ht="12.75">
      <c r="A1205" s="2215" t="s">
        <v>1589</v>
      </c>
      <c r="B1205" s="2215"/>
      <c r="C1205" s="2215"/>
      <c r="D1205" s="2215"/>
      <c r="E1205" s="2215"/>
      <c r="F1205" s="2215"/>
      <c r="G1205" s="2215"/>
    </row>
    <row r="1206" spans="1:7" ht="12.75">
      <c r="A1206" s="155"/>
      <c r="B1206" s="155"/>
      <c r="C1206" s="14"/>
      <c r="D1206" s="294"/>
      <c r="E1206" s="294"/>
      <c r="F1206" s="294"/>
    </row>
    <row r="1207" spans="1:7" ht="12.75">
      <c r="A1207" s="152"/>
      <c r="B1207" s="152"/>
      <c r="C1207" s="14"/>
      <c r="D1207" s="2216" t="s">
        <v>1930</v>
      </c>
      <c r="E1207" s="2216"/>
      <c r="F1207" s="2216"/>
    </row>
    <row r="1208" spans="1:7" ht="12.75">
      <c r="A1208" s="432"/>
      <c r="B1208" s="432"/>
      <c r="C1208" s="310"/>
      <c r="D1208" s="2200" t="s">
        <v>1601</v>
      </c>
      <c r="E1208" s="2200"/>
      <c r="F1208" s="2200"/>
    </row>
    <row r="1209" spans="1:7" ht="12.75">
      <c r="A1209" s="433"/>
      <c r="B1209" s="433"/>
      <c r="C1209" s="311"/>
      <c r="D1209" s="294"/>
      <c r="E1209" s="294"/>
      <c r="F1209" s="294"/>
      <c r="G1209" s="2"/>
    </row>
    <row r="1210" spans="1:7" ht="14.25">
      <c r="A1210" s="431"/>
      <c r="B1210" s="1000" t="s">
        <v>85</v>
      </c>
      <c r="C1210" s="14"/>
      <c r="D1210" s="2217" t="s">
        <v>2005</v>
      </c>
      <c r="E1210" s="2203"/>
      <c r="F1210" s="2203"/>
      <c r="G1210" s="2"/>
    </row>
    <row r="1211" spans="1:7" ht="12.75">
      <c r="A1211" s="152"/>
      <c r="B1211" s="152"/>
      <c r="C1211" s="14"/>
      <c r="D1211" s="2203"/>
      <c r="E1211" s="2203"/>
      <c r="F1211" s="2203"/>
      <c r="G1211" s="2"/>
    </row>
    <row r="1212" spans="1:7" ht="12.75">
      <c r="A1212" s="152"/>
      <c r="B1212" s="152"/>
      <c r="C1212" s="14"/>
      <c r="D1212" s="2203"/>
      <c r="E1212" s="2203"/>
      <c r="F1212" s="2203"/>
      <c r="G1212" s="2"/>
    </row>
    <row r="1213" spans="1:7" ht="12.75">
      <c r="A1213" s="152"/>
      <c r="B1213" s="152"/>
      <c r="C1213" s="14"/>
      <c r="D1213" s="6"/>
      <c r="E1213" s="294"/>
      <c r="F1213" s="294"/>
      <c r="G1213" s="2"/>
    </row>
    <row r="1214" spans="1:7" ht="14.25">
      <c r="A1214" s="596"/>
      <c r="B1214" s="1000" t="s">
        <v>85</v>
      </c>
      <c r="C1214" s="597"/>
      <c r="D1214" s="2230" t="s">
        <v>2266</v>
      </c>
      <c r="E1214" s="2231"/>
      <c r="F1214" s="2231"/>
      <c r="G1214" s="2"/>
    </row>
    <row r="1215" spans="1:7" ht="14.25">
      <c r="A1215" s="596"/>
      <c r="B1215" s="596"/>
      <c r="C1215" s="597"/>
      <c r="D1215" s="2231"/>
      <c r="E1215" s="2231"/>
      <c r="F1215" s="2231"/>
      <c r="G1215" s="2"/>
    </row>
    <row r="1216" spans="1:7" ht="14.25">
      <c r="A1216" s="596"/>
      <c r="B1216" s="596"/>
      <c r="C1216" s="597"/>
      <c r="D1216" s="2231"/>
      <c r="E1216" s="2231"/>
      <c r="F1216" s="2231"/>
      <c r="G1216" s="2"/>
    </row>
    <row r="1217" spans="1:7" ht="14.25">
      <c r="A1217" s="596"/>
      <c r="B1217" s="596"/>
      <c r="C1217" s="597"/>
      <c r="D1217" s="2231"/>
      <c r="E1217" s="2231"/>
      <c r="F1217" s="2231"/>
      <c r="G1217" s="2"/>
    </row>
    <row r="1218" spans="1:7" ht="12.75">
      <c r="A1218" s="599"/>
      <c r="B1218" s="599"/>
      <c r="C1218" s="597"/>
      <c r="D1218" s="421"/>
      <c r="G1218" s="2"/>
    </row>
    <row r="1219" spans="1:7" ht="14.25">
      <c r="A1219" s="596"/>
      <c r="B1219" s="1000" t="s">
        <v>85</v>
      </c>
      <c r="C1219" s="597"/>
      <c r="D1219" s="2231" t="s">
        <v>1931</v>
      </c>
      <c r="E1219" s="2231"/>
      <c r="F1219" s="2231"/>
      <c r="G1219" s="2"/>
    </row>
    <row r="1220" spans="1:7" ht="12.75">
      <c r="A1220" s="599"/>
      <c r="B1220" s="599"/>
      <c r="C1220" s="597"/>
      <c r="D1220" s="2231"/>
      <c r="E1220" s="2231"/>
      <c r="F1220" s="2231"/>
      <c r="G1220" s="2"/>
    </row>
    <row r="1221" spans="1:7" ht="12.75">
      <c r="A1221" s="599"/>
      <c r="B1221" s="599"/>
      <c r="C1221" s="597"/>
      <c r="D1221" s="2231"/>
      <c r="E1221" s="2231"/>
      <c r="F1221" s="2231"/>
      <c r="G1221" s="2"/>
    </row>
    <row r="1222" spans="1:7" ht="12.75">
      <c r="A1222" s="599"/>
      <c r="B1222" s="599"/>
      <c r="C1222" s="597"/>
      <c r="D1222" s="2231"/>
      <c r="E1222" s="2231"/>
      <c r="F1222" s="2231"/>
      <c r="G1222" s="2"/>
    </row>
    <row r="1223" spans="1:7" ht="12.75">
      <c r="A1223" s="599"/>
      <c r="B1223" s="599"/>
      <c r="C1223" s="597"/>
      <c r="D1223" s="2231"/>
      <c r="E1223" s="2231"/>
      <c r="F1223" s="2231"/>
      <c r="G1223" s="2"/>
    </row>
    <row r="1224" spans="1:7" ht="12.75">
      <c r="A1224" s="599"/>
      <c r="B1224" s="599"/>
      <c r="C1224" s="597"/>
      <c r="D1224" s="421"/>
      <c r="G1224" s="2"/>
    </row>
    <row r="1225" spans="1:7" ht="12.75">
      <c r="A1225" s="599"/>
      <c r="B1225" s="1000" t="s">
        <v>85</v>
      </c>
      <c r="C1225" s="597"/>
      <c r="D1225" s="2255" t="s">
        <v>1932</v>
      </c>
      <c r="E1225" s="2255"/>
      <c r="F1225" s="2255"/>
      <c r="G1225" s="2"/>
    </row>
    <row r="1226" spans="1:7" ht="12.75">
      <c r="A1226" s="599"/>
      <c r="B1226" s="599"/>
      <c r="C1226" s="597"/>
      <c r="D1226" s="2255"/>
      <c r="E1226" s="2255"/>
      <c r="F1226" s="2255"/>
      <c r="G1226" s="2"/>
    </row>
    <row r="1227" spans="1:7" ht="12.75">
      <c r="A1227" s="599"/>
      <c r="B1227" s="599"/>
      <c r="C1227" s="597"/>
      <c r="D1227" s="2255"/>
      <c r="E1227" s="2255"/>
      <c r="F1227" s="2255"/>
      <c r="G1227" s="2"/>
    </row>
    <row r="1228" spans="1:7" ht="12.75">
      <c r="A1228" s="599"/>
      <c r="B1228" s="599"/>
      <c r="C1228" s="597"/>
      <c r="D1228" s="2255"/>
      <c r="E1228" s="2255"/>
      <c r="F1228" s="2255"/>
      <c r="G1228" s="2"/>
    </row>
    <row r="1229" spans="1:7" ht="12.75">
      <c r="A1229" s="599"/>
      <c r="B1229" s="599"/>
      <c r="C1229" s="597"/>
      <c r="D1229" s="2255"/>
      <c r="E1229" s="2255"/>
      <c r="F1229" s="2255"/>
      <c r="G1229" s="2"/>
    </row>
    <row r="1230" spans="1:7" ht="12.75">
      <c r="A1230" s="599"/>
      <c r="B1230" s="599"/>
      <c r="C1230" s="597"/>
      <c r="D1230" s="2255"/>
      <c r="E1230" s="2255"/>
      <c r="F1230" s="2255"/>
      <c r="G1230" s="2"/>
    </row>
    <row r="1231" spans="1:7" ht="12.75">
      <c r="A1231" s="599"/>
      <c r="B1231" s="599"/>
      <c r="C1231" s="597"/>
      <c r="D1231" s="2255"/>
      <c r="E1231" s="2255"/>
      <c r="F1231" s="2255"/>
      <c r="G1231" s="2"/>
    </row>
    <row r="1232" spans="1:7" ht="12.75">
      <c r="A1232" s="599"/>
      <c r="B1232" s="599"/>
      <c r="C1232" s="597"/>
      <c r="D1232" s="2255"/>
      <c r="E1232" s="2255"/>
      <c r="F1232" s="2255"/>
      <c r="G1232" s="2"/>
    </row>
    <row r="1233" spans="1:7" ht="12.75">
      <c r="A1233" s="599"/>
      <c r="B1233" s="599"/>
      <c r="C1233" s="597"/>
      <c r="D1233" s="2255"/>
      <c r="E1233" s="2255"/>
      <c r="F1233" s="2255"/>
      <c r="G1233" s="2"/>
    </row>
    <row r="1234" spans="1:7" ht="12.75">
      <c r="A1234" s="599"/>
      <c r="B1234" s="599"/>
      <c r="C1234" s="597"/>
      <c r="D1234" s="736"/>
      <c r="G1234" s="2"/>
    </row>
    <row r="1235" spans="1:7" ht="14.25">
      <c r="A1235" s="596"/>
      <c r="B1235" s="1000" t="s">
        <v>85</v>
      </c>
      <c r="C1235" s="597"/>
      <c r="D1235" s="2231" t="s">
        <v>1933</v>
      </c>
      <c r="E1235" s="2231"/>
      <c r="F1235" s="2231"/>
      <c r="G1235" s="2"/>
    </row>
    <row r="1236" spans="1:7" ht="12.75">
      <c r="A1236" s="599"/>
      <c r="B1236" s="599"/>
      <c r="C1236" s="597"/>
      <c r="D1236" s="2231"/>
      <c r="E1236" s="2231"/>
      <c r="F1236" s="2231"/>
      <c r="G1236" s="2"/>
    </row>
    <row r="1237" spans="1:7" ht="12.75">
      <c r="A1237" s="599"/>
      <c r="B1237" s="599"/>
      <c r="C1237" s="597"/>
      <c r="D1237" s="2231"/>
      <c r="E1237" s="2231"/>
      <c r="F1237" s="2231"/>
      <c r="G1237" s="2"/>
    </row>
    <row r="1238" spans="1:7" ht="12.75">
      <c r="A1238" s="599"/>
      <c r="B1238" s="599"/>
      <c r="C1238" s="597"/>
      <c r="D1238" s="2231"/>
      <c r="E1238" s="2231"/>
      <c r="F1238" s="2231"/>
      <c r="G1238" s="2"/>
    </row>
    <row r="1239" spans="1:7" ht="12.75">
      <c r="A1239" s="599"/>
      <c r="B1239" s="599"/>
      <c r="C1239" s="597"/>
      <c r="D1239" s="736"/>
      <c r="G1239" s="2"/>
    </row>
    <row r="1240" spans="1:7" ht="14.45" customHeight="1">
      <c r="A1240" s="431"/>
      <c r="B1240" s="1000" t="s">
        <v>85</v>
      </c>
      <c r="C1240" s="14"/>
      <c r="D1240" s="2214" t="s">
        <v>1934</v>
      </c>
      <c r="E1240" s="2214"/>
      <c r="F1240" s="2214"/>
    </row>
    <row r="1241" spans="1:7" ht="12.75">
      <c r="A1241" s="152"/>
      <c r="B1241" s="152"/>
      <c r="C1241" s="14"/>
      <c r="D1241" s="2214"/>
      <c r="E1241" s="2214"/>
      <c r="F1241" s="2214"/>
    </row>
    <row r="1242" spans="1:7" ht="12.75">
      <c r="A1242" s="1072"/>
      <c r="B1242" s="1072"/>
      <c r="C1242" s="14"/>
      <c r="D1242" s="2214"/>
      <c r="E1242" s="2214"/>
      <c r="F1242" s="2214"/>
    </row>
    <row r="1243" spans="1:7" ht="12.75">
      <c r="A1243" s="152"/>
      <c r="B1243" s="152"/>
      <c r="C1243" s="14"/>
      <c r="D1243" s="294"/>
      <c r="E1243" s="294"/>
      <c r="F1243" s="294"/>
    </row>
    <row r="1244" spans="1:7" ht="12.75">
      <c r="A1244" s="2215" t="s">
        <v>1590</v>
      </c>
      <c r="B1244" s="2215"/>
      <c r="C1244" s="2215"/>
      <c r="D1244" s="2215"/>
      <c r="E1244" s="2215"/>
      <c r="F1244" s="2215"/>
      <c r="G1244" s="2215"/>
    </row>
    <row r="1245" spans="1:7" ht="12.75">
      <c r="A1245" s="152"/>
      <c r="B1245" s="152"/>
      <c r="C1245" s="14"/>
      <c r="D1245" s="294"/>
      <c r="E1245" s="294"/>
      <c r="F1245" s="294"/>
    </row>
    <row r="1246" spans="1:7" ht="12.75">
      <c r="A1246" s="162"/>
      <c r="B1246" s="162"/>
      <c r="D1246" s="2258" t="s">
        <v>1727</v>
      </c>
      <c r="E1246" s="2258"/>
      <c r="F1246" s="2258"/>
    </row>
    <row r="1247" spans="1:7" ht="12.75">
      <c r="A1247" s="162"/>
      <c r="B1247" s="162"/>
      <c r="D1247" s="2259" t="s">
        <v>2263</v>
      </c>
      <c r="E1247" s="2260"/>
      <c r="F1247" s="2260"/>
    </row>
    <row r="1248" spans="1:7" ht="12.75">
      <c r="A1248" s="448"/>
      <c r="B1248" s="448"/>
      <c r="C1248" s="424"/>
    </row>
    <row r="1249" spans="1:7" ht="14.25">
      <c r="A1249" s="431"/>
      <c r="B1249" s="431"/>
      <c r="C1249" s="311"/>
      <c r="D1249" s="2258" t="s">
        <v>1728</v>
      </c>
      <c r="E1249" s="2258"/>
      <c r="F1249" s="2258"/>
    </row>
    <row r="1250" spans="1:7" ht="12.75">
      <c r="A1250" s="152"/>
      <c r="B1250" s="1000" t="s">
        <v>85</v>
      </c>
      <c r="C1250" s="14"/>
      <c r="D1250" s="2260" t="s">
        <v>1729</v>
      </c>
      <c r="E1250" s="2260"/>
      <c r="F1250" s="2260"/>
    </row>
    <row r="1251" spans="1:7" ht="12.75">
      <c r="A1251" s="152"/>
      <c r="B1251" s="152"/>
      <c r="C1251" s="14"/>
      <c r="D1251" s="2259" t="s">
        <v>2264</v>
      </c>
      <c r="E1251" s="2260"/>
      <c r="F1251" s="2260"/>
    </row>
    <row r="1252" spans="1:7" ht="12.75">
      <c r="A1252" s="152"/>
      <c r="B1252" s="152"/>
      <c r="C1252" s="14"/>
      <c r="E1252" s="294"/>
      <c r="F1252" s="14"/>
    </row>
    <row r="1253" spans="1:7" ht="14.25" customHeight="1">
      <c r="A1253" s="596"/>
      <c r="B1253" s="1000" t="s">
        <v>85</v>
      </c>
      <c r="D1253" s="1431" t="s">
        <v>1730</v>
      </c>
      <c r="E1253" s="1430"/>
      <c r="F1253" s="1430"/>
      <c r="G1253" s="2"/>
    </row>
    <row r="1254" spans="1:7" ht="14.25" customHeight="1">
      <c r="A1254" s="596"/>
      <c r="B1254" s="1425"/>
      <c r="D1254" s="2301" t="s">
        <v>2265</v>
      </c>
      <c r="E1254" s="2301"/>
      <c r="F1254" s="2301"/>
      <c r="G1254" s="2"/>
    </row>
    <row r="1255" spans="1:7" ht="14.25">
      <c r="A1255" s="596"/>
      <c r="B1255" s="1425"/>
      <c r="D1255" s="2301"/>
      <c r="E1255" s="2301"/>
      <c r="F1255" s="2301"/>
      <c r="G1255" s="2"/>
    </row>
    <row r="1256" spans="1:7" ht="12.75">
      <c r="A1256" s="162"/>
      <c r="B1256" s="1425"/>
      <c r="D1256" s="2301"/>
      <c r="E1256" s="2301"/>
      <c r="F1256" s="2301"/>
      <c r="G1256" s="2"/>
    </row>
    <row r="1257" spans="1:7" ht="12.75">
      <c r="A1257" s="1425"/>
      <c r="B1257" s="1425"/>
      <c r="D1257" s="2301"/>
      <c r="E1257" s="2301"/>
      <c r="F1257" s="2301"/>
      <c r="G1257" s="2"/>
    </row>
    <row r="1258" spans="1:7" ht="12.75" hidden="1" customHeight="1">
      <c r="A1258" s="1425"/>
      <c r="B1258" s="1425"/>
      <c r="D1258" s="2301"/>
      <c r="E1258" s="2301"/>
      <c r="F1258" s="2301"/>
      <c r="G1258" s="2"/>
    </row>
    <row r="1259" spans="1:7" ht="12.75">
      <c r="A1259" s="162"/>
      <c r="B1259" s="162"/>
      <c r="D1259" s="2301"/>
      <c r="E1259" s="2301"/>
      <c r="F1259" s="2301"/>
      <c r="G1259" s="2"/>
    </row>
    <row r="1260" spans="1:7" ht="12.75">
      <c r="A1260" s="162"/>
      <c r="B1260" s="162"/>
      <c r="D1260" s="2300" t="s">
        <v>2262</v>
      </c>
      <c r="E1260" s="2300"/>
      <c r="F1260" s="2300"/>
      <c r="G1260" s="2"/>
    </row>
    <row r="1261" spans="1:7" ht="12.75">
      <c r="A1261" s="162"/>
      <c r="D1261" s="2300"/>
      <c r="E1261" s="2300"/>
      <c r="F1261" s="2300"/>
      <c r="G1261" s="2"/>
    </row>
    <row r="1262" spans="1:7" ht="13.7" customHeight="1">
      <c r="A1262" s="596"/>
      <c r="D1262" s="2300"/>
      <c r="E1262" s="2300"/>
      <c r="F1262" s="2300"/>
      <c r="G1262" s="2"/>
    </row>
    <row r="1263" spans="1:7" ht="12.75">
      <c r="A1263" s="162"/>
      <c r="B1263" s="162"/>
      <c r="G1263" s="2"/>
    </row>
    <row r="1264" spans="1:7" ht="12.75">
      <c r="A1264" s="162"/>
      <c r="B1264" s="1370" t="s">
        <v>85</v>
      </c>
      <c r="D1264" s="2197" t="s">
        <v>2140</v>
      </c>
      <c r="E1264" s="2280"/>
      <c r="F1264" s="2280"/>
      <c r="G1264" s="2"/>
    </row>
    <row r="1265" spans="1:7" ht="12.75">
      <c r="A1265" s="162"/>
      <c r="B1265" s="162"/>
      <c r="D1265" s="2280"/>
      <c r="E1265" s="2280"/>
      <c r="F1265" s="2280"/>
      <c r="G1265" s="2"/>
    </row>
    <row r="1266" spans="1:7" ht="12.75">
      <c r="A1266" s="162"/>
      <c r="B1266" s="162"/>
      <c r="G1266" s="2"/>
    </row>
    <row r="1267" spans="1:7" ht="12.75" customHeight="1">
      <c r="A1267" s="162"/>
      <c r="B1267" s="162"/>
    </row>
    <row r="1268" spans="1:7" ht="12.75">
      <c r="A1268" s="2246" t="s">
        <v>1592</v>
      </c>
      <c r="B1268" s="2246"/>
      <c r="C1268" s="2246"/>
      <c r="D1268" s="2246"/>
      <c r="E1268" s="2246"/>
      <c r="F1268" s="2246"/>
      <c r="G1268" s="2246"/>
    </row>
    <row r="1269" spans="1:7" ht="12.75">
      <c r="A1269" s="76"/>
      <c r="B1269" s="76"/>
      <c r="C1269" s="297"/>
      <c r="D1269" s="300"/>
      <c r="E1269" s="300"/>
      <c r="F1269" s="300"/>
      <c r="G1269" s="300"/>
    </row>
    <row r="1270" spans="1:7" ht="12.75" customHeight="1">
      <c r="A1270" s="76"/>
      <c r="B1270" s="76"/>
      <c r="C1270" s="297"/>
      <c r="D1270" s="2257" t="s">
        <v>1591</v>
      </c>
      <c r="E1270" s="2257"/>
      <c r="F1270" s="2257"/>
      <c r="G1270" s="300"/>
    </row>
    <row r="1271" spans="1:7" ht="12.75" customHeight="1">
      <c r="A1271" s="76"/>
      <c r="B1271" s="76"/>
      <c r="C1271" s="297"/>
      <c r="D1271" s="2232" t="s">
        <v>1602</v>
      </c>
      <c r="E1271" s="2232"/>
      <c r="F1271" s="2232"/>
      <c r="G1271" s="300"/>
    </row>
    <row r="1272" spans="1:7" ht="12.75" customHeight="1">
      <c r="A1272" s="76"/>
      <c r="B1272" s="76"/>
      <c r="C1272" s="297"/>
      <c r="D1272" s="300"/>
      <c r="E1272" s="300"/>
      <c r="F1272" s="300"/>
      <c r="G1272" s="300"/>
    </row>
    <row r="1273" spans="1:7" ht="14.25">
      <c r="A1273" s="431"/>
      <c r="B1273" s="1000" t="s">
        <v>85</v>
      </c>
      <c r="C1273" s="14"/>
      <c r="D1273" s="2195" t="s">
        <v>1145</v>
      </c>
      <c r="E1273" s="2195"/>
      <c r="F1273" s="2195"/>
    </row>
    <row r="1274" spans="1:7" ht="12.75">
      <c r="A1274" s="152"/>
      <c r="B1274" s="152"/>
      <c r="C1274" s="14"/>
      <c r="D1274" s="2200" t="s">
        <v>1282</v>
      </c>
      <c r="E1274" s="2200"/>
      <c r="F1274" s="2200"/>
    </row>
    <row r="1275" spans="1:7" ht="12.75">
      <c r="A1275" s="152"/>
      <c r="B1275" s="152"/>
      <c r="C1275" s="14"/>
      <c r="D1275" s="294"/>
      <c r="E1275" s="2220" t="s">
        <v>1731</v>
      </c>
      <c r="F1275" s="2220"/>
    </row>
    <row r="1276" spans="1:7" ht="12.75">
      <c r="A1276" s="152"/>
      <c r="B1276" s="152"/>
      <c r="C1276" s="14"/>
      <c r="D1276" s="6"/>
      <c r="E1276" s="294"/>
      <c r="F1276" s="294"/>
    </row>
    <row r="1277" spans="1:7" ht="12.75">
      <c r="A1277" s="152"/>
      <c r="B1277" s="152"/>
      <c r="C1277" s="14"/>
      <c r="D1277" s="2256" t="s">
        <v>1435</v>
      </c>
      <c r="E1277" s="2256"/>
      <c r="F1277" s="2256"/>
    </row>
    <row r="1278" spans="1:7" ht="12.75">
      <c r="A1278" s="152"/>
      <c r="B1278" s="1000" t="s">
        <v>85</v>
      </c>
      <c r="C1278" s="152"/>
      <c r="D1278" s="2203" t="s">
        <v>1732</v>
      </c>
      <c r="E1278" s="2203"/>
      <c r="F1278" s="2203"/>
      <c r="G1278" s="2"/>
    </row>
    <row r="1279" spans="1:7" ht="12.75">
      <c r="A1279" s="152"/>
      <c r="B1279" s="152"/>
      <c r="C1279" s="14"/>
      <c r="D1279" s="2203"/>
      <c r="E1279" s="2203"/>
      <c r="F1279" s="2203"/>
      <c r="G1279" s="2"/>
    </row>
    <row r="1280" spans="1:7" ht="12.75">
      <c r="A1280" s="152"/>
      <c r="B1280" s="152"/>
      <c r="C1280" s="14"/>
      <c r="D1280" s="855" t="s">
        <v>1438</v>
      </c>
      <c r="E1280" s="2"/>
      <c r="F1280" s="2"/>
      <c r="G1280" s="2"/>
    </row>
    <row r="1281" spans="1:7" ht="13.7" customHeight="1">
      <c r="A1281" s="152"/>
      <c r="B1281" s="152"/>
      <c r="C1281" s="14"/>
      <c r="D1281" s="2203" t="s">
        <v>1733</v>
      </c>
      <c r="E1281" s="2203"/>
      <c r="F1281" s="2203"/>
      <c r="G1281" s="2"/>
    </row>
    <row r="1282" spans="1:7" ht="12.75">
      <c r="A1282" s="152"/>
      <c r="B1282" s="152"/>
      <c r="C1282" s="14"/>
      <c r="D1282" s="2203"/>
      <c r="E1282" s="2203"/>
      <c r="F1282" s="2203"/>
      <c r="G1282" s="2"/>
    </row>
    <row r="1283" spans="1:7" ht="12.75">
      <c r="A1283" s="152"/>
      <c r="B1283" s="152"/>
      <c r="C1283" s="14"/>
      <c r="D1283" s="2203"/>
      <c r="E1283" s="2203"/>
      <c r="F1283" s="2203"/>
      <c r="G1283" s="2"/>
    </row>
    <row r="1284" spans="1:7" ht="12.75">
      <c r="A1284" s="152"/>
      <c r="B1284" s="152"/>
      <c r="C1284" s="14"/>
      <c r="D1284" s="2203"/>
      <c r="E1284" s="2203"/>
      <c r="F1284" s="2203"/>
      <c r="G1284" s="2"/>
    </row>
    <row r="1285" spans="1:7" ht="12.75">
      <c r="A1285" s="152"/>
      <c r="B1285" s="152"/>
      <c r="C1285" s="14"/>
      <c r="D1285" s="2220" t="s">
        <v>1148</v>
      </c>
      <c r="E1285" s="2220"/>
      <c r="F1285" s="2220"/>
      <c r="G1285" s="2"/>
    </row>
    <row r="1286" spans="1:7" ht="12.75">
      <c r="A1286" s="152"/>
      <c r="B1286" s="1000" t="s">
        <v>85</v>
      </c>
      <c r="C1286" s="152"/>
      <c r="D1286" s="2195" t="s">
        <v>1436</v>
      </c>
      <c r="E1286" s="2195"/>
      <c r="F1286" s="2195"/>
      <c r="G1286" s="2"/>
    </row>
    <row r="1287" spans="1:7" ht="12.75">
      <c r="A1287" s="152"/>
      <c r="B1287" s="152"/>
      <c r="C1287" s="14"/>
      <c r="D1287" s="294"/>
      <c r="E1287" s="2"/>
      <c r="F1287" s="2"/>
      <c r="G1287" s="2"/>
    </row>
    <row r="1288" spans="1:7" ht="12.75">
      <c r="A1288" s="152"/>
      <c r="B1288" s="152"/>
      <c r="C1288" s="14"/>
      <c r="D1288" s="2227" t="s">
        <v>1437</v>
      </c>
      <c r="E1288" s="2227"/>
      <c r="F1288" s="2227"/>
      <c r="G1288" s="2"/>
    </row>
    <row r="1289" spans="1:7" ht="12.75">
      <c r="A1289" s="152"/>
      <c r="B1289" s="152"/>
      <c r="C1289" s="14"/>
      <c r="D1289" s="6" t="s">
        <v>1146</v>
      </c>
      <c r="E1289" s="2"/>
      <c r="F1289" s="2"/>
      <c r="G1289" s="2"/>
    </row>
    <row r="1290" spans="1:7" ht="14.45" customHeight="1">
      <c r="A1290" s="431"/>
      <c r="B1290" s="1000" t="s">
        <v>85</v>
      </c>
      <c r="C1290" s="152"/>
      <c r="D1290" s="2203" t="s">
        <v>1734</v>
      </c>
      <c r="E1290" s="2203"/>
      <c r="F1290" s="2203"/>
      <c r="G1290" s="2"/>
    </row>
    <row r="1291" spans="1:7" ht="14.25">
      <c r="A1291" s="431"/>
      <c r="B1291" s="431"/>
      <c r="C1291" s="152"/>
      <c r="D1291" s="2203"/>
      <c r="E1291" s="2203"/>
      <c r="F1291" s="2203"/>
      <c r="G1291" s="2"/>
    </row>
    <row r="1292" spans="1:7" ht="14.25">
      <c r="A1292" s="431"/>
      <c r="B1292" s="431"/>
      <c r="C1292" s="152"/>
      <c r="D1292" s="2203"/>
      <c r="E1292" s="2203"/>
      <c r="F1292" s="2203"/>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85</v>
      </c>
      <c r="C1295" s="14"/>
      <c r="D1295" s="2203" t="s">
        <v>1735</v>
      </c>
      <c r="E1295" s="2203"/>
      <c r="F1295" s="2203"/>
    </row>
    <row r="1296" spans="1:7" ht="14.25">
      <c r="A1296" s="431"/>
      <c r="B1296" s="431"/>
      <c r="C1296" s="14"/>
      <c r="D1296" s="2203"/>
      <c r="E1296" s="2203"/>
      <c r="F1296" s="2203"/>
    </row>
    <row r="1297" spans="1:7" ht="14.25">
      <c r="A1297" s="431"/>
      <c r="B1297" s="431"/>
      <c r="C1297" s="14"/>
      <c r="D1297" s="2203"/>
      <c r="E1297" s="2203"/>
      <c r="F1297" s="2203"/>
    </row>
    <row r="1298" spans="1:7" ht="14.25">
      <c r="A1298" s="431"/>
      <c r="B1298" s="431"/>
      <c r="C1298" s="14"/>
      <c r="D1298" s="2203"/>
      <c r="E1298" s="2203"/>
      <c r="F1298" s="2203"/>
    </row>
    <row r="1299" spans="1:7" ht="14.25">
      <c r="A1299" s="431"/>
      <c r="B1299" s="431"/>
      <c r="C1299" s="14"/>
      <c r="D1299" s="2203"/>
      <c r="E1299" s="2203"/>
      <c r="F1299" s="2203"/>
    </row>
    <row r="1300" spans="1:7" ht="12.75" customHeight="1">
      <c r="A1300" s="76"/>
      <c r="B1300" s="76"/>
      <c r="C1300" s="297"/>
      <c r="D1300" s="300"/>
      <c r="E1300" s="300"/>
      <c r="F1300" s="300"/>
      <c r="G1300" s="300"/>
    </row>
    <row r="1301" spans="1:7" ht="12.75">
      <c r="A1301" s="2246" t="s">
        <v>1636</v>
      </c>
      <c r="B1301" s="2246"/>
      <c r="C1301" s="2246"/>
      <c r="D1301" s="2246"/>
      <c r="E1301" s="2246"/>
      <c r="F1301" s="2246"/>
      <c r="G1301" s="2246"/>
    </row>
    <row r="1302" spans="1:7" ht="12.75">
      <c r="A1302" s="76"/>
      <c r="B1302" s="76"/>
      <c r="C1302" s="297"/>
      <c r="D1302" s="300"/>
      <c r="E1302" s="300"/>
      <c r="F1302" s="300"/>
      <c r="G1302" s="300"/>
    </row>
    <row r="1303" spans="1:7" ht="12.75">
      <c r="A1303" s="76"/>
      <c r="B1303" s="76"/>
      <c r="C1303" s="297"/>
      <c r="D1303" s="2242" t="s">
        <v>1637</v>
      </c>
      <c r="E1303" s="2242"/>
      <c r="F1303" s="2242"/>
      <c r="G1303" s="300"/>
    </row>
    <row r="1304" spans="1:7" ht="12.75">
      <c r="A1304" s="437"/>
      <c r="B1304" s="437"/>
      <c r="C1304" s="425"/>
      <c r="D1304" s="2243" t="s">
        <v>1654</v>
      </c>
      <c r="E1304" s="2243"/>
      <c r="F1304" s="2243"/>
      <c r="G1304" s="426"/>
    </row>
    <row r="1305" spans="1:7" ht="10.5" customHeight="1">
      <c r="A1305" s="162"/>
      <c r="B1305" s="162"/>
    </row>
    <row r="1306" spans="1:7" ht="14.25">
      <c r="A1306" s="431"/>
      <c r="B1306" s="1000" t="s">
        <v>85</v>
      </c>
      <c r="D1306" s="2195" t="s">
        <v>1283</v>
      </c>
      <c r="E1306" s="2195"/>
      <c r="F1306" s="2195"/>
    </row>
    <row r="1307" spans="1:7" ht="12.75">
      <c r="A1307" s="162"/>
      <c r="B1307" s="162"/>
      <c r="D1307" s="294"/>
      <c r="E1307" s="2227" t="s">
        <v>1560</v>
      </c>
      <c r="F1307" s="2227"/>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tabSelected="1" view="pageBreakPreview" topLeftCell="A953" zoomScale="60" zoomScaleNormal="130" workbookViewId="0">
      <selection activeCell="A985" sqref="A985:AK985"/>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701" t="s">
        <v>875</v>
      </c>
      <c r="B9" s="2701"/>
      <c r="C9" s="2701"/>
      <c r="D9" s="2701"/>
      <c r="E9" s="2701"/>
      <c r="F9" s="2701"/>
      <c r="G9" s="2701"/>
      <c r="H9" s="2701"/>
      <c r="I9" s="2701"/>
      <c r="J9" s="2701"/>
      <c r="K9" s="2701"/>
      <c r="L9" s="2701"/>
      <c r="M9" s="2701"/>
      <c r="N9" s="2701"/>
      <c r="O9" s="2701"/>
      <c r="P9" s="2701"/>
      <c r="Q9" s="2701"/>
      <c r="R9" s="2701"/>
      <c r="S9" s="2701"/>
      <c r="T9" s="2701"/>
      <c r="U9" s="2701"/>
      <c r="V9" s="2701"/>
      <c r="W9" s="2701"/>
      <c r="X9" s="2701"/>
      <c r="Y9" s="2701"/>
      <c r="Z9" s="2701"/>
      <c r="AA9" s="2701"/>
      <c r="AB9" s="2701"/>
      <c r="AC9" s="2701"/>
      <c r="AD9" s="2701"/>
      <c r="AE9" s="2701"/>
      <c r="AF9" s="2701"/>
      <c r="AG9" s="2701"/>
      <c r="AH9" s="2701"/>
      <c r="AI9" s="2701"/>
      <c r="AJ9" s="2701"/>
      <c r="AK9" s="2701"/>
      <c r="AL9" s="2701"/>
    </row>
    <row r="10" spans="1:38" ht="15" customHeight="1">
      <c r="A10" s="2696" t="s">
        <v>2275</v>
      </c>
      <c r="B10" s="2696"/>
      <c r="C10" s="2696"/>
      <c r="D10" s="2696"/>
      <c r="E10" s="2696"/>
      <c r="F10" s="2696"/>
      <c r="G10" s="2696"/>
      <c r="H10" s="2696"/>
      <c r="I10" s="2696"/>
      <c r="J10" s="2696"/>
      <c r="K10" s="2696"/>
      <c r="L10" s="2696"/>
      <c r="M10" s="2696"/>
      <c r="N10" s="2696"/>
      <c r="O10" s="2696"/>
      <c r="P10" s="2696"/>
      <c r="Q10" s="2696"/>
      <c r="R10" s="2696"/>
      <c r="S10" s="2696"/>
      <c r="T10" s="2696"/>
      <c r="U10" s="2696"/>
      <c r="V10" s="2696"/>
      <c r="W10" s="2696"/>
      <c r="X10" s="2696"/>
      <c r="Y10" s="2696"/>
      <c r="Z10" s="2696"/>
      <c r="AA10" s="2696"/>
      <c r="AB10" s="2696"/>
      <c r="AC10" s="2696"/>
      <c r="AD10" s="2696"/>
      <c r="AE10" s="2696"/>
      <c r="AF10" s="2696"/>
      <c r="AG10" s="2696"/>
      <c r="AH10" s="2696"/>
      <c r="AI10" s="2696"/>
      <c r="AJ10" s="2696"/>
      <c r="AK10" s="2696"/>
      <c r="AL10" s="2696"/>
    </row>
    <row r="11" spans="1:38" s="672" customFormat="1" ht="12.75">
      <c r="A11" s="2515" t="s">
        <v>2303</v>
      </c>
      <c r="B11" s="2516"/>
      <c r="C11" s="2516"/>
      <c r="D11" s="2516"/>
      <c r="E11" s="2516"/>
      <c r="F11" s="2516"/>
      <c r="G11" s="2516"/>
      <c r="H11" s="2516"/>
      <c r="I11" s="2516"/>
      <c r="J11" s="2516"/>
      <c r="K11" s="2516"/>
      <c r="L11" s="2516"/>
      <c r="M11" s="2516"/>
      <c r="N11" s="2516"/>
      <c r="O11" s="2516"/>
      <c r="P11" s="2516"/>
      <c r="Q11" s="2516"/>
      <c r="R11" s="2516"/>
      <c r="S11" s="2516"/>
      <c r="T11" s="2516"/>
      <c r="U11" s="2516"/>
      <c r="V11" s="2516"/>
      <c r="W11" s="2516"/>
      <c r="X11" s="2516"/>
      <c r="Y11" s="2516"/>
      <c r="Z11" s="2516"/>
      <c r="AA11" s="2516"/>
      <c r="AB11" s="2516"/>
      <c r="AC11" s="2516"/>
      <c r="AD11" s="2516"/>
      <c r="AE11" s="2516"/>
      <c r="AF11" s="2516"/>
      <c r="AG11" s="2516"/>
      <c r="AH11" s="2516"/>
      <c r="AI11" s="2516"/>
      <c r="AJ11" s="2516"/>
      <c r="AK11" s="2516"/>
      <c r="AL11" s="2516"/>
    </row>
    <row r="12" spans="1:38" ht="12.75">
      <c r="A12" s="2167" t="s">
        <v>2203</v>
      </c>
      <c r="B12" s="2167"/>
      <c r="C12" s="2167"/>
      <c r="D12" s="2167"/>
      <c r="E12" s="2167"/>
      <c r="F12" s="2167"/>
      <c r="G12" s="2167"/>
      <c r="H12" s="2167"/>
      <c r="I12" s="2167"/>
      <c r="J12" s="2167"/>
      <c r="K12" s="2167"/>
      <c r="L12" s="2167"/>
      <c r="M12" s="2167"/>
      <c r="N12" s="2167"/>
      <c r="O12" s="2167"/>
      <c r="P12" s="2167"/>
      <c r="Q12" s="2167"/>
      <c r="R12" s="2167"/>
      <c r="S12" s="2167"/>
      <c r="T12" s="2167"/>
      <c r="U12" s="2167"/>
      <c r="V12" s="2167"/>
      <c r="W12" s="2167"/>
      <c r="X12" s="2167"/>
      <c r="Y12" s="2167"/>
      <c r="Z12" s="2167"/>
      <c r="AA12" s="2167"/>
      <c r="AB12" s="2167"/>
      <c r="AC12" s="2167"/>
      <c r="AD12" s="2167"/>
      <c r="AE12" s="2167"/>
      <c r="AF12" s="2167"/>
      <c r="AG12" s="2167"/>
      <c r="AH12" s="2167"/>
      <c r="AI12" s="2167"/>
      <c r="AJ12" s="2167"/>
      <c r="AK12" s="2167"/>
      <c r="AL12" s="2167"/>
    </row>
    <row r="13" spans="1:38" ht="12.75" customHeight="1" thickBot="1">
      <c r="A13" s="2169"/>
      <c r="B13" s="2169"/>
      <c r="C13" s="2169"/>
      <c r="D13" s="2169"/>
      <c r="E13" s="2169"/>
      <c r="F13" s="2169"/>
      <c r="G13" s="2169"/>
      <c r="H13" s="2169"/>
      <c r="I13" s="2169"/>
      <c r="J13" s="2169"/>
      <c r="K13" s="2169"/>
      <c r="L13" s="2169"/>
      <c r="M13" s="2169"/>
      <c r="N13" s="2169"/>
      <c r="O13" s="2169"/>
      <c r="P13" s="2169"/>
      <c r="Q13" s="2169"/>
      <c r="R13" s="2169"/>
      <c r="S13" s="2169"/>
      <c r="T13" s="2169"/>
      <c r="U13" s="2169"/>
      <c r="V13" s="2169"/>
      <c r="W13" s="2169"/>
      <c r="X13" s="2169"/>
      <c r="Y13" s="2169"/>
      <c r="Z13" s="2169"/>
      <c r="AA13" s="2169"/>
      <c r="AB13" s="2169"/>
      <c r="AC13" s="2169"/>
      <c r="AD13" s="2169"/>
      <c r="AE13" s="2169"/>
      <c r="AF13" s="2169"/>
      <c r="AG13" s="2169"/>
      <c r="AH13" s="2169"/>
      <c r="AI13" s="2169"/>
      <c r="AJ13" s="2169"/>
      <c r="AK13" s="2169"/>
      <c r="AL13" s="2169"/>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2512" t="s">
        <v>2677</v>
      </c>
      <c r="I15" s="2512"/>
      <c r="J15" s="2512"/>
      <c r="K15" s="2512"/>
      <c r="L15" s="2512"/>
      <c r="M15" s="2512"/>
      <c r="N15" s="2512"/>
      <c r="O15" s="2512"/>
      <c r="P15" s="2512"/>
      <c r="Q15" s="2512"/>
      <c r="R15" s="2512"/>
      <c r="S15" s="2512"/>
      <c r="T15" s="2512"/>
      <c r="U15" s="2512"/>
      <c r="V15" s="2512"/>
      <c r="W15" s="2512"/>
      <c r="X15" s="2512"/>
      <c r="Y15" s="2512"/>
      <c r="Z15" s="2512"/>
      <c r="AA15" s="2512"/>
      <c r="AB15" s="2512"/>
      <c r="AC15" s="2512"/>
      <c r="AD15" s="2512"/>
      <c r="AE15" s="2512"/>
      <c r="AF15" s="2512"/>
      <c r="AG15" s="2512"/>
      <c r="AH15" s="2512"/>
      <c r="AI15" s="2512"/>
      <c r="AJ15" s="2512"/>
    </row>
    <row r="16" spans="1:38" ht="12.75" customHeight="1"/>
    <row r="17" spans="1:40" ht="12.75" customHeight="1">
      <c r="A17" s="154" t="s">
        <v>876</v>
      </c>
      <c r="C17" s="8"/>
      <c r="D17" s="8"/>
      <c r="E17" s="8"/>
      <c r="F17" s="8"/>
      <c r="G17" s="8"/>
      <c r="H17" s="2309" t="s">
        <v>2678</v>
      </c>
      <c r="I17" s="2310"/>
      <c r="J17" s="2310"/>
      <c r="K17" s="2310"/>
      <c r="L17" s="2310"/>
      <c r="M17" s="2310"/>
      <c r="N17" s="2310"/>
      <c r="O17" s="2310"/>
      <c r="P17" s="2310"/>
      <c r="Q17" s="2310"/>
      <c r="R17" s="2310"/>
      <c r="S17" s="2310"/>
      <c r="T17" s="2310"/>
      <c r="U17" s="2310"/>
      <c r="V17" s="2310"/>
      <c r="W17" s="2310"/>
      <c r="X17" s="2310"/>
      <c r="Y17" s="2310"/>
      <c r="Z17" s="2310"/>
      <c r="AA17" s="2310"/>
      <c r="AB17" s="2310"/>
      <c r="AC17" s="2310"/>
      <c r="AD17" s="2310"/>
      <c r="AE17" s="2310"/>
      <c r="AF17" s="2310"/>
      <c r="AG17" s="2310"/>
      <c r="AH17" s="2310"/>
      <c r="AI17" s="2310"/>
      <c r="AJ17" s="2310"/>
    </row>
    <row r="18" spans="1:40" ht="12.75" customHeight="1"/>
    <row r="19" spans="1:40" ht="15" customHeight="1">
      <c r="A19" s="2188" t="s">
        <v>1242</v>
      </c>
      <c r="B19" s="2188"/>
      <c r="C19" s="2188"/>
      <c r="D19" s="2188"/>
      <c r="E19" s="2188"/>
      <c r="F19" s="2188"/>
      <c r="G19" s="2188"/>
      <c r="H19" s="2188"/>
      <c r="I19" s="2188"/>
      <c r="J19" s="2188"/>
      <c r="K19" s="2188"/>
      <c r="L19" s="2188"/>
      <c r="M19" s="2188"/>
      <c r="N19" s="2188"/>
      <c r="O19" s="2188"/>
      <c r="P19" s="2188"/>
      <c r="Q19" s="2188"/>
      <c r="R19" s="2188"/>
      <c r="S19" s="2188"/>
      <c r="T19" s="2188"/>
      <c r="U19" s="2188"/>
      <c r="V19" s="2188"/>
      <c r="W19" s="2188"/>
      <c r="X19" s="2188"/>
      <c r="Y19" s="2188"/>
      <c r="Z19" s="2188"/>
      <c r="AA19" s="2188"/>
      <c r="AB19" s="2188"/>
      <c r="AC19" s="2188"/>
      <c r="AD19" s="2188"/>
      <c r="AE19" s="2188"/>
      <c r="AF19" s="2188"/>
      <c r="AG19" s="2188"/>
      <c r="AH19" s="2188"/>
      <c r="AI19" s="2188"/>
      <c r="AJ19" s="2188"/>
      <c r="AK19" s="2188"/>
      <c r="AL19" s="2188"/>
    </row>
    <row r="20" spans="1:40" ht="12.75" customHeight="1">
      <c r="A20" s="2521" t="s">
        <v>1521</v>
      </c>
      <c r="B20" s="2521"/>
      <c r="C20" s="2521"/>
      <c r="D20" s="2521"/>
      <c r="E20" s="2521"/>
      <c r="F20" s="2521"/>
      <c r="G20" s="2521"/>
      <c r="H20" s="2521"/>
      <c r="I20" s="2521"/>
      <c r="J20" s="2521"/>
      <c r="K20" s="2521"/>
      <c r="L20" s="2521"/>
      <c r="M20" s="2521"/>
      <c r="N20" s="2521"/>
      <c r="O20" s="2521"/>
      <c r="P20" s="2521"/>
      <c r="Q20" s="2521"/>
      <c r="R20" s="2521"/>
      <c r="S20" s="2521"/>
      <c r="T20" s="2521"/>
      <c r="U20" s="2521"/>
      <c r="V20" s="2521"/>
      <c r="W20" s="2521"/>
      <c r="X20" s="2521"/>
      <c r="Y20" s="2521"/>
      <c r="Z20" s="2521"/>
      <c r="AA20" s="2521"/>
      <c r="AB20" s="2521"/>
      <c r="AC20" s="2521"/>
      <c r="AD20" s="2521"/>
      <c r="AE20" s="2521"/>
      <c r="AF20" s="2521"/>
      <c r="AG20" s="2521"/>
      <c r="AH20" s="2521"/>
      <c r="AI20" s="2521"/>
      <c r="AJ20" s="2521"/>
      <c r="AK20" s="2521"/>
      <c r="AL20" s="252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522">
        <f>'Basis &amp; Credits'!AB55</f>
        <v>2499996.1</v>
      </c>
      <c r="N25" s="2522"/>
      <c r="O25" s="2522"/>
      <c r="P25" s="2522"/>
      <c r="Q25" s="2522"/>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522">
        <f>'Basis &amp; Credits'!AB76</f>
        <v>0</v>
      </c>
      <c r="N27" s="2522"/>
      <c r="O27" s="2522"/>
      <c r="P27" s="2522"/>
      <c r="Q27" s="2522"/>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2343" t="s">
        <v>135</v>
      </c>
      <c r="P33" s="2343"/>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2519" t="s">
        <v>2304</v>
      </c>
      <c r="H128" s="2520"/>
      <c r="I128" s="72" t="s">
        <v>466</v>
      </c>
      <c r="J128" s="72"/>
      <c r="L128" s="2517" t="s">
        <v>2305</v>
      </c>
      <c r="M128" s="2518"/>
      <c r="N128" s="2518"/>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2517" t="s">
        <v>2306</v>
      </c>
      <c r="D130" s="2518"/>
      <c r="E130" s="2518"/>
      <c r="F130" s="2518"/>
      <c r="G130" s="2518"/>
      <c r="H130" s="2518"/>
      <c r="I130" s="2518"/>
      <c r="J130" s="2518"/>
      <c r="K130" s="2518"/>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309" t="s">
        <v>2307</v>
      </c>
      <c r="Z131" s="2310"/>
      <c r="AA131" s="2310"/>
      <c r="AB131" s="2310"/>
      <c r="AC131" s="2310"/>
      <c r="AD131" s="2310"/>
      <c r="AE131" s="2310"/>
      <c r="AF131" s="2310"/>
      <c r="AG131" s="2310"/>
      <c r="AH131" s="2310"/>
      <c r="AI131" s="2310"/>
      <c r="AJ131" s="2310"/>
      <c r="AK131" s="231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2309" t="s">
        <v>2308</v>
      </c>
      <c r="Z134" s="2310"/>
      <c r="AA134" s="2310"/>
      <c r="AB134" s="2310"/>
      <c r="AC134" s="2310"/>
      <c r="AD134" s="2310"/>
      <c r="AE134" s="2310"/>
      <c r="AF134" s="2310"/>
      <c r="AG134" s="2310"/>
      <c r="AH134" s="2310"/>
      <c r="AI134" s="2310"/>
      <c r="AJ134" s="2310"/>
      <c r="AK134" s="2310"/>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2309" t="s">
        <v>2679</v>
      </c>
      <c r="P160" s="2310"/>
      <c r="Q160" s="2310"/>
      <c r="R160" s="2310"/>
      <c r="S160" s="2310"/>
      <c r="T160" s="2310"/>
      <c r="U160" s="2310"/>
      <c r="V160" s="2310"/>
      <c r="W160" s="2310"/>
      <c r="X160" s="2310"/>
      <c r="Y160" s="2310"/>
      <c r="Z160" s="2310"/>
      <c r="AA160" s="2310"/>
      <c r="AB160" s="2310"/>
      <c r="AC160" s="2310"/>
      <c r="AD160" s="2310"/>
      <c r="AE160" s="2310"/>
      <c r="AF160" s="2310"/>
      <c r="AG160" s="2310"/>
      <c r="AH160" s="2310"/>
    </row>
    <row r="161" spans="1:59" ht="12.75" customHeight="1">
      <c r="D161" s="768" t="s">
        <v>610</v>
      </c>
      <c r="F161" s="42"/>
      <c r="G161" s="42"/>
      <c r="H161" s="42"/>
      <c r="I161" s="42"/>
      <c r="J161" s="42"/>
      <c r="K161" s="42"/>
      <c r="L161" s="42"/>
      <c r="M161" s="42"/>
      <c r="N161" s="42"/>
      <c r="O161" s="2502" t="s">
        <v>2680</v>
      </c>
      <c r="P161" s="2313"/>
      <c r="Q161" s="2313"/>
      <c r="R161" s="2313"/>
      <c r="S161" s="2313"/>
      <c r="T161" s="2313"/>
      <c r="U161" s="2313"/>
      <c r="V161" s="2313"/>
      <c r="W161" s="2313"/>
      <c r="X161" s="2313"/>
      <c r="Y161" s="2313"/>
      <c r="Z161" s="2313"/>
      <c r="AA161" s="2313"/>
      <c r="AB161" s="2313"/>
      <c r="AC161" s="2313"/>
      <c r="AD161" s="2313"/>
      <c r="AE161" s="2313"/>
      <c r="AF161" s="2313"/>
      <c r="AG161" s="2313"/>
      <c r="AH161" s="2313"/>
      <c r="AI161" s="16" t="s">
        <v>782</v>
      </c>
    </row>
    <row r="162" spans="1:59" ht="12.75" customHeight="1">
      <c r="D162" s="17" t="s">
        <v>611</v>
      </c>
      <c r="F162" s="17"/>
      <c r="G162" s="17"/>
      <c r="H162" s="17"/>
      <c r="I162" s="17"/>
      <c r="J162" s="17"/>
      <c r="K162" s="17"/>
      <c r="L162" s="17"/>
      <c r="M162" s="17"/>
      <c r="N162" s="17"/>
      <c r="O162" s="2510" t="s">
        <v>2681</v>
      </c>
      <c r="P162" s="2511"/>
      <c r="Q162" s="2511"/>
      <c r="R162" s="2511"/>
      <c r="S162" s="2511"/>
      <c r="T162" s="2511"/>
      <c r="U162" s="2511"/>
      <c r="V162" s="2511"/>
      <c r="W162" s="2511"/>
      <c r="X162" s="2511"/>
      <c r="Y162" s="2511"/>
      <c r="Z162" s="2511"/>
      <c r="AA162" s="2511"/>
      <c r="AB162" s="2511"/>
      <c r="AC162" s="2511"/>
      <c r="AD162" s="2511"/>
      <c r="AE162" s="2511"/>
      <c r="AF162" s="2511"/>
      <c r="AG162" s="2511"/>
      <c r="AH162" s="2511"/>
    </row>
    <row r="163" spans="1:59" ht="12.75" customHeight="1">
      <c r="D163" s="42" t="s">
        <v>720</v>
      </c>
      <c r="F163" s="42"/>
      <c r="G163" s="42"/>
      <c r="H163" s="42"/>
      <c r="I163" s="42"/>
      <c r="J163" s="42"/>
      <c r="K163" s="42"/>
      <c r="L163" s="42"/>
      <c r="M163" s="42"/>
      <c r="N163" s="42"/>
      <c r="O163" s="2309" t="s">
        <v>2682</v>
      </c>
      <c r="P163" s="2312"/>
      <c r="Q163" s="2312"/>
      <c r="R163" s="2312"/>
      <c r="S163" s="2312"/>
      <c r="T163" s="2312"/>
      <c r="U163" s="2312"/>
      <c r="V163" s="2312"/>
      <c r="W163" s="2312"/>
      <c r="X163" s="2312"/>
      <c r="Y163" s="2312"/>
      <c r="Z163" s="2312"/>
      <c r="AA163" s="2312"/>
      <c r="AB163" s="2312"/>
      <c r="AC163" s="2312"/>
      <c r="AD163" s="2312"/>
      <c r="AE163" s="2312"/>
      <c r="AF163" s="2312"/>
      <c r="AG163" s="2312"/>
      <c r="AH163" s="2312"/>
    </row>
    <row r="164" spans="1:59" ht="12.75" customHeight="1">
      <c r="D164" s="42" t="s">
        <v>721</v>
      </c>
      <c r="F164" s="42"/>
      <c r="G164" s="42"/>
      <c r="H164" s="42"/>
      <c r="I164" s="42"/>
      <c r="J164" s="42"/>
      <c r="K164" s="42"/>
      <c r="L164" s="42"/>
      <c r="M164" s="42"/>
      <c r="N164" s="42"/>
      <c r="O164" s="2309" t="s">
        <v>2683</v>
      </c>
      <c r="P164" s="2310"/>
      <c r="Q164" s="2310"/>
      <c r="R164" s="2310"/>
      <c r="S164" s="2310"/>
      <c r="T164" s="2310"/>
      <c r="U164" s="2310"/>
      <c r="V164" s="2310"/>
      <c r="W164" s="2310"/>
      <c r="X164" s="2310"/>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2526">
        <v>92702</v>
      </c>
      <c r="P165" s="2526"/>
      <c r="Q165" s="2526"/>
      <c r="R165" s="2526"/>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2304" t="s">
        <v>2684</v>
      </c>
      <c r="P166" s="2305"/>
      <c r="Q166" s="2305"/>
      <c r="R166" s="2305"/>
      <c r="S166" s="2305"/>
      <c r="T166" s="2305"/>
      <c r="V166" s="283" t="s">
        <v>12</v>
      </c>
      <c r="W166" s="2527"/>
      <c r="X166" s="2527"/>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2304" t="s">
        <v>2685</v>
      </c>
      <c r="P167" s="2305"/>
      <c r="Q167" s="2305"/>
      <c r="R167" s="2305"/>
      <c r="S167" s="2305"/>
      <c r="T167" s="2305"/>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2307" t="s">
        <v>2686</v>
      </c>
      <c r="P168" s="2307"/>
      <c r="Q168" s="2307"/>
      <c r="R168" s="2307"/>
      <c r="S168" s="2307"/>
      <c r="T168" s="2307"/>
      <c r="U168" s="2307"/>
      <c r="V168" s="2307"/>
      <c r="W168" s="2307"/>
      <c r="X168" s="2307"/>
      <c r="Y168" s="2307"/>
      <c r="Z168" s="2307"/>
      <c r="AA168" s="2307"/>
      <c r="AB168" s="2307"/>
      <c r="AC168" s="2307"/>
      <c r="AD168" s="2307"/>
      <c r="AE168" s="2307"/>
      <c r="AF168" s="2307"/>
      <c r="AG168" s="2307"/>
      <c r="AH168" s="230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784" t="s">
        <v>2278</v>
      </c>
      <c r="E171" s="2784"/>
      <c r="F171" s="2784"/>
      <c r="G171" s="2784"/>
      <c r="H171" s="2784"/>
      <c r="I171" s="2784"/>
      <c r="J171" s="2784"/>
      <c r="K171" s="2784"/>
      <c r="L171" s="2784"/>
      <c r="M171" s="2784"/>
      <c r="N171" s="2784"/>
      <c r="O171" s="2784"/>
      <c r="P171" s="2784"/>
      <c r="Q171" s="2784"/>
      <c r="R171" s="2784"/>
      <c r="S171" s="2784"/>
      <c r="T171" s="2784"/>
      <c r="U171" s="2784"/>
      <c r="V171" s="2784"/>
      <c r="W171" s="2784"/>
      <c r="X171" s="2784"/>
      <c r="Y171" s="2784"/>
      <c r="Z171" s="416"/>
      <c r="AA171" s="412"/>
      <c r="AB171" s="412"/>
      <c r="AC171" s="412"/>
      <c r="AD171" s="412"/>
      <c r="AE171" s="412"/>
      <c r="AF171" s="412"/>
      <c r="AG171" s="412"/>
      <c r="AH171" s="412"/>
      <c r="AI171" s="50"/>
      <c r="AJ171" s="50"/>
      <c r="AK171" s="50"/>
      <c r="AL171" s="50"/>
    </row>
    <row r="172" spans="1:59" ht="12.75" customHeight="1"/>
    <row r="173" spans="1:59" ht="12.75">
      <c r="A173" s="2314" t="s">
        <v>428</v>
      </c>
      <c r="B173" s="2314"/>
      <c r="C173" s="2314"/>
      <c r="D173" s="2314"/>
      <c r="E173" s="2314"/>
      <c r="F173" s="2314"/>
      <c r="G173" s="2314"/>
      <c r="H173" s="2314"/>
      <c r="I173" s="2314"/>
      <c r="J173" s="2314"/>
      <c r="K173" s="2314"/>
      <c r="L173" s="2314"/>
      <c r="M173" s="2314"/>
      <c r="N173" s="2314"/>
      <c r="O173" s="2314"/>
      <c r="P173" s="2314"/>
      <c r="Q173" s="2314"/>
      <c r="R173" s="2314"/>
      <c r="S173" s="2314"/>
      <c r="T173" s="2314"/>
      <c r="U173" s="2314"/>
      <c r="V173" s="2314"/>
      <c r="W173" s="2314"/>
      <c r="X173" s="2314"/>
      <c r="Y173" s="2314"/>
      <c r="Z173" s="2314"/>
      <c r="AA173" s="2314"/>
      <c r="AB173" s="2314"/>
      <c r="AC173" s="2314"/>
      <c r="AD173" s="2314"/>
      <c r="AE173" s="2314"/>
      <c r="AF173" s="2314"/>
      <c r="AG173" s="2314"/>
      <c r="AH173" s="2314"/>
      <c r="AI173" s="2314"/>
      <c r="AJ173" s="2314"/>
      <c r="AK173" s="2314"/>
      <c r="AL173" s="2314"/>
    </row>
    <row r="174" spans="1:59" ht="12.75" customHeight="1" thickBot="1">
      <c r="A174" s="2315"/>
      <c r="B174" s="2315"/>
      <c r="C174" s="2315"/>
      <c r="D174" s="2315"/>
      <c r="E174" s="2315"/>
      <c r="F174" s="2315"/>
      <c r="G174" s="2315"/>
      <c r="H174" s="2315"/>
      <c r="I174" s="2315"/>
      <c r="J174" s="2315"/>
      <c r="K174" s="2315"/>
      <c r="L174" s="2315"/>
      <c r="M174" s="2315"/>
      <c r="N174" s="2315"/>
      <c r="O174" s="2315"/>
      <c r="P174" s="2315"/>
      <c r="Q174" s="2315"/>
      <c r="R174" s="2315"/>
      <c r="S174" s="2315"/>
      <c r="T174" s="2315"/>
      <c r="U174" s="2315"/>
      <c r="V174" s="2315"/>
      <c r="W174" s="2315"/>
      <c r="X174" s="2315"/>
      <c r="Y174" s="2315"/>
      <c r="Z174" s="2315"/>
      <c r="AA174" s="2315"/>
      <c r="AB174" s="2315"/>
      <c r="AC174" s="2315"/>
      <c r="AD174" s="2315"/>
      <c r="AE174" s="2315"/>
      <c r="AF174" s="2315"/>
      <c r="AG174" s="2315"/>
      <c r="AH174" s="2315"/>
      <c r="AI174" s="2315"/>
      <c r="AJ174" s="2315"/>
      <c r="AK174" s="2315"/>
      <c r="AL174" s="2315"/>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2535" t="s">
        <v>568</v>
      </c>
      <c r="K177" s="2535"/>
      <c r="L177" s="2535"/>
      <c r="M177" s="2535"/>
      <c r="N177" s="2535"/>
      <c r="O177" s="2535"/>
      <c r="P177" s="2535"/>
      <c r="Q177" s="2535"/>
      <c r="R177" s="2535"/>
      <c r="S177" s="2535"/>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2343" t="s">
        <v>536</v>
      </c>
      <c r="V178" s="2343"/>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2536"/>
      <c r="V179" s="2536"/>
      <c r="W179" s="4" t="s">
        <v>259</v>
      </c>
      <c r="X179" s="2525"/>
      <c r="Y179" s="2525"/>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2343" t="s">
        <v>536</v>
      </c>
      <c r="V181" s="2343"/>
      <c r="W181" s="3"/>
      <c r="X181" s="3"/>
      <c r="Y181" s="3"/>
      <c r="AD181" s="35"/>
      <c r="AF181" s="35"/>
      <c r="AH181" s="35"/>
      <c r="AJ181" s="3"/>
      <c r="AK181" s="3"/>
      <c r="AL181" s="3"/>
      <c r="BA181" s="47" t="s">
        <v>82</v>
      </c>
      <c r="BG181" s="16" t="s">
        <v>439</v>
      </c>
    </row>
    <row r="182" spans="1:59" ht="12.75">
      <c r="A182" s="35"/>
      <c r="C182" s="54"/>
      <c r="D182" s="624" t="s">
        <v>1390</v>
      </c>
      <c r="AD182" s="35"/>
      <c r="AF182" s="35"/>
      <c r="AH182" s="35"/>
      <c r="AJ182" s="3"/>
      <c r="AK182" s="3"/>
      <c r="AL182" s="3"/>
      <c r="BA182" s="47" t="s">
        <v>83</v>
      </c>
      <c r="BG182" s="16" t="s">
        <v>440</v>
      </c>
    </row>
    <row r="183" spans="1:59" ht="12.75">
      <c r="A183" s="35"/>
      <c r="C183" s="54"/>
      <c r="E183" s="827" t="s">
        <v>257</v>
      </c>
      <c r="F183" s="625"/>
      <c r="G183" s="827"/>
      <c r="H183" s="827" t="s">
        <v>258</v>
      </c>
      <c r="I183" s="625"/>
      <c r="J183" s="2705"/>
      <c r="K183" s="2705"/>
      <c r="L183" s="826" t="s">
        <v>259</v>
      </c>
      <c r="M183" s="2538"/>
      <c r="N183" s="2538"/>
      <c r="O183" s="625"/>
      <c r="P183" s="625"/>
      <c r="Q183" s="625"/>
      <c r="R183" s="625"/>
      <c r="AE183" s="35"/>
      <c r="AJ183" s="3"/>
      <c r="AK183" s="3"/>
      <c r="AL183" s="3"/>
      <c r="BA183" s="47" t="s">
        <v>530</v>
      </c>
      <c r="BG183" s="16" t="s">
        <v>441</v>
      </c>
    </row>
    <row r="184" spans="1:59" ht="12.75">
      <c r="A184" s="35"/>
      <c r="C184" s="54"/>
      <c r="E184" s="777" t="s">
        <v>1391</v>
      </c>
      <c r="F184" s="625"/>
      <c r="G184" s="827"/>
      <c r="H184" s="827"/>
      <c r="I184" s="827"/>
      <c r="J184" s="827"/>
      <c r="K184" s="827"/>
      <c r="L184" s="827"/>
      <c r="N184" s="2706"/>
      <c r="O184" s="2706"/>
      <c r="P184" s="2706"/>
      <c r="Q184" s="2706"/>
      <c r="R184" s="2706"/>
      <c r="AE184" s="35"/>
      <c r="AJ184" s="3"/>
      <c r="AK184" s="3"/>
      <c r="AL184" s="3"/>
      <c r="BA184" s="47" t="s">
        <v>531</v>
      </c>
      <c r="BG184" s="16" t="s">
        <v>442</v>
      </c>
    </row>
    <row r="185" spans="1:59" ht="12.75">
      <c r="A185" s="35"/>
      <c r="C185" s="55"/>
      <c r="D185" s="3" t="s">
        <v>612</v>
      </c>
      <c r="O185" s="625"/>
      <c r="P185" s="827"/>
      <c r="Q185" s="625"/>
      <c r="R185" s="625"/>
      <c r="Y185" s="2343" t="s">
        <v>536</v>
      </c>
      <c r="Z185" s="2528"/>
      <c r="AE185" s="35"/>
      <c r="AJ185" s="3"/>
      <c r="AK185" s="3"/>
      <c r="AL185" s="3"/>
      <c r="BA185" s="47" t="s">
        <v>532</v>
      </c>
      <c r="BG185" s="16" t="s">
        <v>443</v>
      </c>
    </row>
    <row r="186" spans="1:59" ht="12.75">
      <c r="A186" s="35"/>
      <c r="C186" s="55"/>
      <c r="D186" s="57"/>
      <c r="E186" s="624" t="s">
        <v>1389</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2514" t="str">
        <f>H17</f>
        <v>Harbor Heights</v>
      </c>
      <c r="J191" s="2514"/>
      <c r="K191" s="2514"/>
      <c r="L191" s="2514"/>
      <c r="M191" s="2514"/>
      <c r="N191" s="2514"/>
      <c r="O191" s="2514"/>
      <c r="P191" s="2514"/>
      <c r="Q191" s="2514"/>
      <c r="R191" s="2514"/>
      <c r="S191" s="2514"/>
      <c r="T191" s="2514"/>
      <c r="U191" s="2514"/>
      <c r="V191" s="2514"/>
      <c r="W191" s="2514"/>
      <c r="X191" s="2514"/>
      <c r="Y191" s="2514"/>
      <c r="Z191" s="2514"/>
      <c r="AA191" s="2514"/>
      <c r="AB191" s="2514"/>
      <c r="AC191" s="2514"/>
      <c r="AD191" s="2514"/>
      <c r="AE191" s="2514"/>
      <c r="AF191" s="35"/>
      <c r="AH191" s="35"/>
      <c r="AJ191" s="3"/>
      <c r="AK191" s="3"/>
      <c r="AL191" s="3"/>
      <c r="BA191" s="47" t="s">
        <v>542</v>
      </c>
      <c r="BG191" s="16" t="s">
        <v>449</v>
      </c>
    </row>
    <row r="192" spans="1:59" ht="12.75">
      <c r="A192" s="35"/>
      <c r="C192" s="58"/>
      <c r="D192" s="35" t="s">
        <v>483</v>
      </c>
      <c r="E192" s="35"/>
      <c r="F192" s="35"/>
      <c r="G192" s="35"/>
      <c r="H192" s="35"/>
      <c r="I192" s="2502" t="s">
        <v>2687</v>
      </c>
      <c r="J192" s="2436"/>
      <c r="K192" s="2436"/>
      <c r="L192" s="2436"/>
      <c r="M192" s="2436"/>
      <c r="N192" s="2436"/>
      <c r="O192" s="2436"/>
      <c r="P192" s="2436"/>
      <c r="Q192" s="2436"/>
      <c r="R192" s="2436"/>
      <c r="S192" s="2436"/>
      <c r="T192" s="2436"/>
      <c r="U192" s="2436"/>
      <c r="V192" s="2436"/>
      <c r="W192" s="2436"/>
      <c r="X192" s="2436"/>
      <c r="Y192" s="2436"/>
      <c r="Z192" s="2436"/>
      <c r="AA192" s="2436"/>
      <c r="AB192" s="2436"/>
      <c r="AC192" s="2436"/>
      <c r="AD192" s="2436"/>
      <c r="AE192" s="2436"/>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2700"/>
      <c r="F194" s="2700"/>
      <c r="G194" s="2700"/>
      <c r="H194" s="2700"/>
      <c r="I194" s="2700"/>
      <c r="J194" s="2700"/>
      <c r="K194" s="2700"/>
      <c r="L194" s="2700"/>
      <c r="M194" s="2700"/>
      <c r="N194" s="2700"/>
      <c r="O194" s="2700"/>
      <c r="P194" s="2700"/>
      <c r="Q194" s="2700"/>
      <c r="R194" s="2700"/>
      <c r="S194" s="2700"/>
      <c r="T194" s="2700"/>
      <c r="U194" s="2700"/>
      <c r="V194" s="2700"/>
      <c r="W194" s="2700"/>
      <c r="X194" s="2700"/>
      <c r="Y194" s="2700"/>
      <c r="Z194" s="2700"/>
      <c r="AA194" s="2700"/>
      <c r="AB194" s="2700"/>
      <c r="AC194" s="2700"/>
      <c r="AD194" s="2700"/>
      <c r="AE194" s="2700"/>
      <c r="AF194" s="35"/>
      <c r="AH194" s="35"/>
      <c r="AJ194" s="3"/>
      <c r="AK194" s="3"/>
      <c r="AL194" s="3"/>
      <c r="BA194" s="47" t="s">
        <v>667</v>
      </c>
      <c r="BG194" s="16" t="s">
        <v>452</v>
      </c>
    </row>
    <row r="195" spans="1:59" ht="12.75">
      <c r="A195" s="35"/>
      <c r="C195" s="58"/>
      <c r="D195" s="35"/>
      <c r="E195" s="2698"/>
      <c r="F195" s="2698"/>
      <c r="G195" s="2698"/>
      <c r="H195" s="2698"/>
      <c r="I195" s="2698"/>
      <c r="J195" s="2698"/>
      <c r="K195" s="2698"/>
      <c r="L195" s="2698"/>
      <c r="M195" s="2698"/>
      <c r="N195" s="2698"/>
      <c r="O195" s="2698"/>
      <c r="P195" s="2698"/>
      <c r="Q195" s="2698"/>
      <c r="R195" s="2698"/>
      <c r="S195" s="2698"/>
      <c r="T195" s="2698"/>
      <c r="U195" s="2698"/>
      <c r="V195" s="2698"/>
      <c r="W195" s="2698"/>
      <c r="X195" s="2698"/>
      <c r="Y195" s="2698"/>
      <c r="Z195" s="2698"/>
      <c r="AA195" s="2698"/>
      <c r="AB195" s="2698"/>
      <c r="AC195" s="2698"/>
      <c r="AD195" s="2698"/>
      <c r="AE195" s="2698"/>
      <c r="AF195" s="35"/>
      <c r="AH195" s="35"/>
      <c r="AJ195" s="3"/>
      <c r="AK195" s="3"/>
      <c r="AL195" s="3"/>
      <c r="BA195" s="47" t="s">
        <v>668</v>
      </c>
      <c r="BG195" s="16" t="s">
        <v>453</v>
      </c>
    </row>
    <row r="196" spans="1:59" ht="12.75">
      <c r="A196" s="35"/>
      <c r="C196" s="58"/>
      <c r="D196" s="35" t="s">
        <v>484</v>
      </c>
      <c r="E196" s="35"/>
      <c r="I196" s="2309" t="s">
        <v>2683</v>
      </c>
      <c r="J196" s="2312"/>
      <c r="K196" s="2312"/>
      <c r="L196" s="2312"/>
      <c r="M196" s="2312"/>
      <c r="N196" s="2312"/>
      <c r="O196" s="2312"/>
      <c r="P196" s="2312"/>
      <c r="Q196" s="35" t="s">
        <v>486</v>
      </c>
      <c r="T196" s="2312" t="s">
        <v>931</v>
      </c>
      <c r="U196" s="2312"/>
      <c r="V196" s="2312"/>
      <c r="W196" s="2312"/>
      <c r="X196" s="2312"/>
      <c r="Y196" s="2312"/>
      <c r="Z196" s="2312"/>
      <c r="AA196" s="2312"/>
      <c r="AB196" s="2312"/>
      <c r="AC196" s="2312"/>
      <c r="AD196" s="2312"/>
      <c r="AE196" s="2312"/>
      <c r="AH196" s="35"/>
      <c r="AJ196" s="3"/>
      <c r="AK196" s="3"/>
      <c r="AL196" s="3"/>
      <c r="BA196" s="47" t="s">
        <v>670</v>
      </c>
      <c r="BG196" s="16" t="s">
        <v>454</v>
      </c>
    </row>
    <row r="197" spans="1:59" ht="12.75">
      <c r="A197" s="35"/>
      <c r="C197" s="59"/>
      <c r="D197" s="35" t="s">
        <v>487</v>
      </c>
      <c r="E197" s="35"/>
      <c r="F197" s="35"/>
      <c r="G197" s="35"/>
      <c r="I197" s="2436">
        <v>92704</v>
      </c>
      <c r="J197" s="2436"/>
      <c r="K197" s="2436"/>
      <c r="L197" s="2436"/>
      <c r="M197" s="2436"/>
      <c r="N197" s="2436"/>
      <c r="O197" s="35" t="s">
        <v>489</v>
      </c>
      <c r="P197" s="35"/>
      <c r="Q197" s="35"/>
      <c r="R197" s="35"/>
      <c r="S197" s="35"/>
      <c r="T197" s="2537">
        <v>992.49</v>
      </c>
      <c r="U197" s="2537"/>
      <c r="V197" s="2537"/>
      <c r="W197" s="2537"/>
      <c r="X197" s="2537"/>
      <c r="Y197" s="2537"/>
      <c r="Z197" s="2537"/>
      <c r="AA197" s="2537"/>
      <c r="AB197" s="2537"/>
      <c r="AC197" s="2537"/>
      <c r="AD197" s="2537"/>
      <c r="AE197" s="2537"/>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2699" t="s">
        <v>2688</v>
      </c>
      <c r="O198" s="2700"/>
      <c r="P198" s="2700"/>
      <c r="Q198" s="2700"/>
      <c r="R198" s="2700"/>
      <c r="S198" s="2700"/>
      <c r="T198" s="2700"/>
      <c r="U198" s="2700"/>
      <c r="V198" s="2700"/>
      <c r="W198" s="2700"/>
      <c r="X198" s="2700"/>
      <c r="Y198" s="2700"/>
      <c r="Z198" s="2700"/>
      <c r="AA198" s="2700"/>
      <c r="AB198" s="2700"/>
      <c r="AC198" s="2700"/>
      <c r="AD198" s="2700"/>
      <c r="AE198" s="2700"/>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2698"/>
      <c r="O199" s="2698"/>
      <c r="P199" s="2698"/>
      <c r="Q199" s="2698"/>
      <c r="R199" s="2698"/>
      <c r="S199" s="2698"/>
      <c r="T199" s="2698"/>
      <c r="U199" s="2698"/>
      <c r="V199" s="2698"/>
      <c r="W199" s="2698"/>
      <c r="X199" s="2698"/>
      <c r="Y199" s="2698"/>
      <c r="Z199" s="2698"/>
      <c r="AA199" s="2698"/>
      <c r="AB199" s="2698"/>
      <c r="AC199" s="2698"/>
      <c r="AD199" s="2698"/>
      <c r="AE199" s="2698"/>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2343" t="s">
        <v>536</v>
      </c>
      <c r="U200" s="2343"/>
      <c r="W200" s="72" t="s">
        <v>2221</v>
      </c>
      <c r="AA200" s="2302"/>
      <c r="AB200" s="2302"/>
      <c r="AC200" s="2302"/>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2325" t="s">
        <v>118</v>
      </c>
      <c r="U201" s="2325"/>
      <c r="W201" s="35" t="s">
        <v>67</v>
      </c>
      <c r="X201" s="35"/>
      <c r="Y201" s="35"/>
      <c r="Z201" s="35"/>
      <c r="AA201" s="35"/>
      <c r="AB201" s="35"/>
      <c r="AC201" s="35"/>
      <c r="AD201" s="35"/>
      <c r="AE201" s="35"/>
      <c r="AF201" s="35"/>
      <c r="AG201" s="35"/>
      <c r="AH201" s="35"/>
      <c r="AI201" s="2343" t="s">
        <v>536</v>
      </c>
      <c r="AJ201" s="2343"/>
      <c r="AK201" s="3"/>
      <c r="AL201" s="3"/>
      <c r="AP201" s="8" t="s">
        <v>1303</v>
      </c>
      <c r="BA201" s="47" t="s">
        <v>676</v>
      </c>
      <c r="BG201" s="16" t="s">
        <v>459</v>
      </c>
    </row>
    <row r="202" spans="1:59" ht="12.75">
      <c r="A202" s="35"/>
      <c r="C202" s="59"/>
      <c r="D202" s="1155" t="s">
        <v>2013</v>
      </c>
      <c r="E202" s="3"/>
      <c r="F202" s="3"/>
      <c r="G202" s="3"/>
      <c r="H202" s="3"/>
      <c r="I202" s="3"/>
      <c r="J202" s="3"/>
      <c r="K202" s="3"/>
      <c r="L202" s="3"/>
      <c r="M202" s="3"/>
      <c r="N202" s="35"/>
      <c r="O202" s="35"/>
      <c r="P202" s="35"/>
      <c r="Q202" s="35"/>
      <c r="R202" s="35"/>
      <c r="T202" s="2325" t="s">
        <v>536</v>
      </c>
      <c r="U202" s="2325"/>
      <c r="X202" s="1428" t="s">
        <v>2251</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2325" t="s">
        <v>536</v>
      </c>
      <c r="U203" s="2325"/>
      <c r="AJ203" s="3"/>
      <c r="AK203" s="3"/>
      <c r="AL203" s="3"/>
      <c r="AP203" s="8" t="s">
        <v>1305</v>
      </c>
      <c r="BA203" s="47" t="s">
        <v>639</v>
      </c>
      <c r="BG203" s="16" t="s">
        <v>461</v>
      </c>
    </row>
    <row r="204" spans="1:59" ht="12.75">
      <c r="A204" s="35"/>
      <c r="C204" s="59"/>
      <c r="D204" s="72" t="s">
        <v>2222</v>
      </c>
      <c r="T204" s="2343" t="s">
        <v>536</v>
      </c>
      <c r="U204" s="2343"/>
      <c r="AJ204" s="3"/>
      <c r="AK204" s="3"/>
      <c r="AL204" s="3"/>
      <c r="AM204" s="35" t="s">
        <v>131</v>
      </c>
      <c r="AP204" s="8" t="s">
        <v>1306</v>
      </c>
      <c r="BA204" s="47" t="s">
        <v>641</v>
      </c>
      <c r="BG204" s="16" t="s">
        <v>462</v>
      </c>
    </row>
    <row r="205" spans="1:59" ht="12.75" customHeight="1">
      <c r="A205" s="35"/>
      <c r="C205" s="59"/>
      <c r="D205" s="1155" t="s">
        <v>2261</v>
      </c>
      <c r="W205" s="2519" t="s">
        <v>536</v>
      </c>
      <c r="X205" s="2343"/>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2514" t="str">
        <f>IF(AND(M25&gt;0,M27&gt;0),"Federal and State","Federal Only")</f>
        <v>Federal Only</v>
      </c>
      <c r="E210" s="2514"/>
      <c r="F210" s="2514"/>
      <c r="G210" s="2514"/>
      <c r="H210" s="2514"/>
      <c r="I210" s="2514"/>
      <c r="J210" s="2514"/>
      <c r="K210" s="2514"/>
      <c r="L210" s="2514"/>
      <c r="M210" s="2514"/>
      <c r="P210" s="2702">
        <f>M25</f>
        <v>2499996.1</v>
      </c>
      <c r="Q210" s="2702"/>
      <c r="R210" s="2702"/>
      <c r="S210" s="2702"/>
      <c r="T210" s="2702"/>
      <c r="U210" s="2702"/>
      <c r="V210" s="35"/>
      <c r="W210" s="2702">
        <f>M27</f>
        <v>0</v>
      </c>
      <c r="X210" s="2702"/>
      <c r="Y210" s="2702"/>
      <c r="Z210" s="2702"/>
      <c r="AA210" s="2702"/>
      <c r="AB210" s="2702"/>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2524" t="s">
        <v>192</v>
      </c>
      <c r="Q211" s="2524"/>
      <c r="R211" s="2524"/>
      <c r="S211" s="2524"/>
      <c r="T211" s="2524"/>
      <c r="U211" s="2524"/>
      <c r="V211" s="60"/>
      <c r="W211" s="2524" t="s">
        <v>193</v>
      </c>
      <c r="X211" s="2524"/>
      <c r="Y211" s="2524"/>
      <c r="Z211" s="2524"/>
      <c r="AA211" s="2524"/>
      <c r="AB211" s="2524"/>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2310" t="s">
        <v>2309</v>
      </c>
      <c r="E215" s="2310"/>
      <c r="F215" s="2310"/>
      <c r="G215" s="2310"/>
      <c r="H215" s="2310"/>
      <c r="I215" s="2310"/>
      <c r="J215" s="2310"/>
      <c r="K215" s="2310"/>
      <c r="L215" s="2310"/>
      <c r="M215" s="2310"/>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2292</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2310" t="s">
        <v>135</v>
      </c>
      <c r="E218" s="2310"/>
      <c r="F218" s="2310"/>
      <c r="G218" s="2310"/>
      <c r="H218" s="2310"/>
      <c r="I218" s="2310"/>
      <c r="J218" s="2310"/>
      <c r="K218" s="2310"/>
      <c r="L218" s="2310"/>
      <c r="M218" s="2310"/>
      <c r="N218" s="2310"/>
      <c r="O218" s="2310"/>
      <c r="P218" s="2310"/>
      <c r="X218" s="1445"/>
      <c r="Y218" s="2343" t="s">
        <v>118</v>
      </c>
      <c r="Z218" s="2343"/>
      <c r="AA218" s="1446"/>
      <c r="AB218" s="1446"/>
      <c r="AC218" s="1446"/>
      <c r="AD218" s="1446"/>
      <c r="AE218" s="1446"/>
      <c r="AF218" s="1446"/>
      <c r="AG218" s="1446"/>
      <c r="AH218" s="1446"/>
      <c r="AI218" s="1446"/>
      <c r="AJ218" s="1446"/>
      <c r="AK218" s="1447"/>
      <c r="AL218" s="3"/>
      <c r="AP218" s="16" t="s">
        <v>1613</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837</v>
      </c>
      <c r="BB219" s="67"/>
      <c r="BC219" s="68"/>
      <c r="BD219" s="68"/>
      <c r="BE219" s="68"/>
      <c r="BF219" s="68"/>
      <c r="BG219" s="68" t="s">
        <v>893</v>
      </c>
    </row>
    <row r="220" spans="1:61" ht="12.75" customHeight="1">
      <c r="A220" s="63" t="s">
        <v>136</v>
      </c>
      <c r="C220" s="63" t="s">
        <v>1614</v>
      </c>
      <c r="AG220" s="3"/>
      <c r="AJ220" s="3"/>
      <c r="AK220" s="3"/>
      <c r="AL220" s="3"/>
      <c r="AP220" s="8" t="s">
        <v>1621</v>
      </c>
      <c r="BA220" s="47" t="s">
        <v>731</v>
      </c>
      <c r="BB220" s="65"/>
      <c r="BC220" s="68"/>
      <c r="BD220" s="68"/>
      <c r="BE220" s="68"/>
      <c r="BF220" s="68"/>
      <c r="BG220" s="68" t="s">
        <v>894</v>
      </c>
    </row>
    <row r="221" spans="1:61" ht="12.75">
      <c r="C221" s="58"/>
      <c r="D221" s="2310" t="s">
        <v>1613</v>
      </c>
      <c r="E221" s="2310"/>
      <c r="F221" s="2310"/>
      <c r="G221" s="2310"/>
      <c r="H221" s="2310"/>
      <c r="I221" s="2310"/>
      <c r="J221" s="2310"/>
      <c r="K221" s="2310"/>
      <c r="L221" s="2310"/>
      <c r="M221" s="2310"/>
      <c r="N221" s="2310"/>
      <c r="O221" s="2310"/>
      <c r="P221" s="2310"/>
      <c r="Q221" s="2310"/>
      <c r="R221" s="2310"/>
      <c r="S221" s="2310"/>
      <c r="T221" s="2310"/>
      <c r="U221" s="2310"/>
      <c r="V221" s="2310"/>
      <c r="W221" s="2310"/>
      <c r="X221" s="2310"/>
      <c r="Y221" s="2310"/>
      <c r="Z221" s="2310"/>
      <c r="AG221" s="3"/>
      <c r="AJ221" s="3"/>
      <c r="AK221" s="3"/>
      <c r="AL221" s="3"/>
      <c r="BA221" s="47" t="s">
        <v>732</v>
      </c>
      <c r="BB221" s="65"/>
      <c r="BC221" s="68"/>
      <c r="BD221" s="68"/>
      <c r="BE221" s="68"/>
      <c r="BF221" s="69"/>
      <c r="BG221" s="69" t="s">
        <v>895</v>
      </c>
    </row>
    <row r="222" spans="1:61" ht="12.75">
      <c r="D222" s="64"/>
      <c r="E222" s="8" t="s">
        <v>1630</v>
      </c>
      <c r="AE222" s="2694">
        <v>0</v>
      </c>
      <c r="AF222" s="2694"/>
      <c r="AG222" s="3"/>
      <c r="AJ222" s="3"/>
      <c r="AK222" s="3"/>
      <c r="AL222" s="3"/>
      <c r="AP222" s="16" t="s">
        <v>85</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2697" t="s">
        <v>135</v>
      </c>
      <c r="F224" s="2698"/>
      <c r="G224" s="2698"/>
      <c r="H224" s="2698"/>
      <c r="I224" s="2698"/>
      <c r="J224" s="2698"/>
      <c r="K224" s="2698"/>
      <c r="L224" s="2698"/>
      <c r="M224" s="2698"/>
      <c r="N224" s="2698"/>
      <c r="O224" s="2698"/>
      <c r="P224" s="2698"/>
      <c r="Q224" s="2698"/>
      <c r="R224" s="2698"/>
      <c r="S224" s="2698"/>
      <c r="T224" s="2698"/>
      <c r="U224" s="2698"/>
      <c r="V224" s="2698"/>
      <c r="W224" s="2698"/>
      <c r="X224" s="2698"/>
      <c r="Y224" s="2698"/>
      <c r="Z224" s="2698"/>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900</v>
      </c>
    </row>
    <row r="228" spans="1:66" ht="12.75" customHeight="1">
      <c r="A228" s="30"/>
      <c r="D228" s="2309" t="s">
        <v>953</v>
      </c>
      <c r="E228" s="2309"/>
      <c r="F228" s="2309"/>
      <c r="G228" s="2309"/>
      <c r="H228" s="2309"/>
      <c r="I228" s="2309"/>
      <c r="J228" s="2309"/>
      <c r="K228" s="2309"/>
      <c r="L228" s="2309"/>
      <c r="M228" s="2309"/>
      <c r="N228" s="2309"/>
      <c r="O228" s="2309"/>
      <c r="P228" s="2309"/>
      <c r="Q228" s="2309"/>
      <c r="R228" s="2309"/>
      <c r="S228" s="2309"/>
      <c r="T228" s="2309"/>
      <c r="U228" s="2309"/>
      <c r="V228" s="2309"/>
      <c r="W228" s="2309"/>
      <c r="X228" s="2309"/>
      <c r="Y228" s="2309"/>
      <c r="Z228" s="2309"/>
      <c r="AA228" s="2309"/>
      <c r="AB228" s="2309"/>
      <c r="AC228" s="2309"/>
      <c r="AD228" s="2309"/>
      <c r="AE228" s="2309"/>
      <c r="AF228" s="2309"/>
      <c r="AG228" s="2309"/>
      <c r="AH228" s="2309"/>
      <c r="AI228" s="2309"/>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2343">
        <v>48</v>
      </c>
      <c r="P230" s="2343"/>
      <c r="AP230" s="284" t="s">
        <v>151</v>
      </c>
      <c r="BA230" s="47" t="s">
        <v>4</v>
      </c>
      <c r="BG230" s="69" t="s">
        <v>903</v>
      </c>
    </row>
    <row r="231" spans="1:66" ht="12" customHeight="1">
      <c r="D231" s="35" t="s">
        <v>625</v>
      </c>
      <c r="E231" s="35"/>
      <c r="F231" s="35"/>
      <c r="G231" s="35"/>
      <c r="H231" s="35"/>
      <c r="I231" s="35"/>
      <c r="J231" s="35"/>
      <c r="K231" s="35"/>
      <c r="L231" s="35"/>
      <c r="M231" s="35"/>
      <c r="N231" s="35"/>
      <c r="O231" s="2343">
        <v>72</v>
      </c>
      <c r="P231" s="2343"/>
      <c r="AP231" s="285" t="s">
        <v>1635</v>
      </c>
      <c r="BA231" s="47" t="s">
        <v>21</v>
      </c>
      <c r="BG231" s="69" t="s">
        <v>22</v>
      </c>
    </row>
    <row r="232" spans="1:66" ht="12.75">
      <c r="D232" s="35" t="s">
        <v>626</v>
      </c>
      <c r="E232" s="35"/>
      <c r="F232" s="35"/>
      <c r="G232" s="35"/>
      <c r="H232" s="35"/>
      <c r="I232" s="35"/>
      <c r="J232" s="35"/>
      <c r="K232" s="35"/>
      <c r="L232" s="35"/>
      <c r="M232" s="35"/>
      <c r="N232" s="35"/>
      <c r="O232" s="2343">
        <v>34</v>
      </c>
      <c r="P232" s="2343"/>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80</v>
      </c>
      <c r="BA234" s="47" t="s">
        <v>497</v>
      </c>
      <c r="BG234" s="69" t="s">
        <v>906</v>
      </c>
    </row>
    <row r="235" spans="1:66" ht="12.75"/>
    <row r="236" spans="1:66" ht="12.75">
      <c r="A236" s="2314" t="s">
        <v>549</v>
      </c>
      <c r="B236" s="2314"/>
      <c r="C236" s="2314"/>
      <c r="D236" s="2314"/>
      <c r="E236" s="2314"/>
      <c r="F236" s="2314"/>
      <c r="G236" s="2314"/>
      <c r="H236" s="2314"/>
      <c r="I236" s="2314"/>
      <c r="J236" s="2314"/>
      <c r="K236" s="2314"/>
      <c r="L236" s="2314"/>
      <c r="M236" s="2314"/>
      <c r="N236" s="2314"/>
      <c r="O236" s="2314"/>
      <c r="P236" s="2314"/>
      <c r="Q236" s="2314"/>
      <c r="R236" s="2314"/>
      <c r="S236" s="2314"/>
      <c r="T236" s="2314"/>
      <c r="U236" s="2314"/>
      <c r="V236" s="2314"/>
      <c r="W236" s="2314"/>
      <c r="X236" s="2314"/>
      <c r="Y236" s="2314"/>
      <c r="Z236" s="2314"/>
      <c r="AA236" s="2314"/>
      <c r="AB236" s="2314"/>
      <c r="AC236" s="2314"/>
      <c r="AD236" s="2314"/>
      <c r="AE236" s="2314"/>
      <c r="AF236" s="2314"/>
      <c r="AG236" s="2314"/>
      <c r="AH236" s="2314"/>
      <c r="AI236" s="2314"/>
      <c r="AJ236" s="2314"/>
      <c r="AK236" s="2314"/>
      <c r="AL236" s="2314"/>
      <c r="AP236" s="784" t="s">
        <v>85</v>
      </c>
    </row>
    <row r="237" spans="1:66" ht="13.5" thickBot="1">
      <c r="A237" s="2315"/>
      <c r="B237" s="2315"/>
      <c r="C237" s="2315"/>
      <c r="D237" s="2315"/>
      <c r="E237" s="2315"/>
      <c r="F237" s="2315"/>
      <c r="G237" s="2315"/>
      <c r="H237" s="2315"/>
      <c r="I237" s="2315"/>
      <c r="J237" s="2315"/>
      <c r="K237" s="2315"/>
      <c r="L237" s="2315"/>
      <c r="M237" s="2315"/>
      <c r="N237" s="2315"/>
      <c r="O237" s="2315"/>
      <c r="P237" s="2315"/>
      <c r="Q237" s="2315"/>
      <c r="R237" s="2315"/>
      <c r="S237" s="2315"/>
      <c r="T237" s="2315"/>
      <c r="U237" s="2315"/>
      <c r="V237" s="2315"/>
      <c r="W237" s="2315"/>
      <c r="X237" s="2315"/>
      <c r="Y237" s="2315"/>
      <c r="Z237" s="2315"/>
      <c r="AA237" s="2315"/>
      <c r="AB237" s="2315"/>
      <c r="AC237" s="2315"/>
      <c r="AD237" s="2315"/>
      <c r="AE237" s="2315"/>
      <c r="AF237" s="2315"/>
      <c r="AG237" s="2315"/>
      <c r="AH237" s="2315"/>
      <c r="AI237" s="2315"/>
      <c r="AJ237" s="2315"/>
      <c r="AK237" s="2315"/>
      <c r="AL237" s="2315"/>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2523" t="str">
        <f>H15</f>
        <v>Harbor Heights, LP (to be formed with the tentative name if available)</v>
      </c>
      <c r="N240" s="2523"/>
      <c r="O240" s="2523"/>
      <c r="P240" s="2523"/>
      <c r="Q240" s="2523"/>
      <c r="R240" s="2523"/>
      <c r="S240" s="2523"/>
      <c r="T240" s="2523"/>
      <c r="U240" s="2523"/>
      <c r="V240" s="2523"/>
      <c r="W240" s="2523"/>
      <c r="X240" s="2523"/>
      <c r="Y240" s="2523"/>
      <c r="Z240" s="2523"/>
      <c r="AA240" s="2523"/>
      <c r="AB240" s="2523"/>
      <c r="AC240" s="2523"/>
      <c r="AD240" s="2523"/>
      <c r="AE240" s="2523"/>
      <c r="AF240" s="2523"/>
      <c r="AG240" s="2523"/>
      <c r="AH240" s="2523"/>
      <c r="AI240" s="2523"/>
      <c r="AJ240" s="2523"/>
      <c r="AK240" s="2523"/>
      <c r="AM240" s="72"/>
      <c r="AN240" s="72"/>
      <c r="AP240" s="16" t="s">
        <v>819</v>
      </c>
    </row>
    <row r="241" spans="1:56" ht="12.75">
      <c r="D241" s="71" t="s">
        <v>421</v>
      </c>
      <c r="E241" s="71"/>
      <c r="F241" s="71"/>
      <c r="G241" s="71"/>
      <c r="H241" s="71"/>
      <c r="I241" s="71"/>
      <c r="J241" s="71"/>
      <c r="K241" s="8"/>
      <c r="M241" s="2310" t="s">
        <v>2310</v>
      </c>
      <c r="N241" s="2310"/>
      <c r="O241" s="2310"/>
      <c r="P241" s="2310"/>
      <c r="Q241" s="2310"/>
      <c r="R241" s="2310"/>
      <c r="S241" s="2310"/>
      <c r="T241" s="2310"/>
      <c r="U241" s="2310"/>
      <c r="V241" s="2310"/>
      <c r="W241" s="2310"/>
      <c r="X241" s="2310"/>
      <c r="Y241" s="2310"/>
      <c r="Z241" s="2310"/>
      <c r="AA241" s="2310"/>
      <c r="AB241" s="2310"/>
      <c r="AC241" s="2310"/>
      <c r="AD241" s="2310"/>
      <c r="AE241" s="2310"/>
      <c r="AN241" s="72"/>
      <c r="AP241" s="16" t="s">
        <v>701</v>
      </c>
    </row>
    <row r="242" spans="1:56" ht="12.75">
      <c r="D242" s="71" t="s">
        <v>484</v>
      </c>
      <c r="E242" s="71"/>
      <c r="M242" s="2309" t="s">
        <v>2306</v>
      </c>
      <c r="N242" s="2310"/>
      <c r="O242" s="2310"/>
      <c r="P242" s="2310"/>
      <c r="Q242" s="2310"/>
      <c r="R242" s="2310"/>
      <c r="S242" s="2310"/>
      <c r="T242" s="2310"/>
      <c r="V242" s="73" t="s">
        <v>422</v>
      </c>
      <c r="W242" s="2502" t="s">
        <v>2311</v>
      </c>
      <c r="X242" s="2313"/>
      <c r="Y242" s="71" t="s">
        <v>487</v>
      </c>
      <c r="AC242" s="2310">
        <v>92614</v>
      </c>
      <c r="AD242" s="2310"/>
      <c r="AE242" s="2310"/>
      <c r="AN242" s="72"/>
      <c r="AP242" s="16" t="s">
        <v>702</v>
      </c>
    </row>
    <row r="243" spans="1:56" ht="12.75">
      <c r="D243" s="74" t="s">
        <v>423</v>
      </c>
      <c r="E243" s="8"/>
      <c r="F243" s="8"/>
      <c r="G243" s="8"/>
      <c r="H243" s="8"/>
      <c r="I243" s="8"/>
      <c r="J243" s="8"/>
      <c r="K243" s="39"/>
      <c r="M243" s="2309" t="s">
        <v>2307</v>
      </c>
      <c r="N243" s="2310"/>
      <c r="O243" s="2310"/>
      <c r="P243" s="2310"/>
      <c r="Q243" s="2310"/>
      <c r="R243" s="2310"/>
      <c r="S243" s="2310"/>
      <c r="T243" s="2310"/>
      <c r="U243" s="2310"/>
      <c r="V243" s="2310"/>
      <c r="W243" s="2310"/>
      <c r="X243" s="2310"/>
      <c r="Y243" s="2310"/>
      <c r="Z243" s="2310"/>
      <c r="AA243" s="2310"/>
      <c r="AB243" s="2310"/>
      <c r="AC243" s="2310"/>
      <c r="AD243" s="2310"/>
      <c r="AE243" s="2310"/>
      <c r="AI243" s="8"/>
      <c r="AJ243" s="8"/>
      <c r="AK243" s="8"/>
      <c r="AL243" s="8"/>
      <c r="AM243" s="72"/>
      <c r="AN243" s="72"/>
      <c r="AP243" s="16" t="s">
        <v>548</v>
      </c>
      <c r="BC243" s="75"/>
    </row>
    <row r="244" spans="1:56" ht="12.75">
      <c r="D244" s="74" t="s">
        <v>424</v>
      </c>
      <c r="E244" s="8"/>
      <c r="F244" s="8"/>
      <c r="M244" s="2316" t="s">
        <v>2312</v>
      </c>
      <c r="N244" s="2306"/>
      <c r="O244" s="2306"/>
      <c r="P244" s="2306"/>
      <c r="Q244" s="2306"/>
      <c r="R244" s="2306"/>
      <c r="S244" s="8" t="s">
        <v>907</v>
      </c>
      <c r="T244" s="8"/>
      <c r="U244" s="2313"/>
      <c r="V244" s="2313"/>
      <c r="W244" s="2313"/>
      <c r="X244" s="8" t="s">
        <v>425</v>
      </c>
      <c r="Z244" s="2306"/>
      <c r="AA244" s="2306"/>
      <c r="AB244" s="2306"/>
      <c r="AC244" s="2306"/>
      <c r="AD244" s="2306"/>
      <c r="AE244" s="2306"/>
      <c r="AN244" s="72"/>
      <c r="AO244" s="72"/>
      <c r="AP244" s="16" t="s">
        <v>553</v>
      </c>
      <c r="BD244" s="75"/>
    </row>
    <row r="245" spans="1:56" ht="12.75">
      <c r="D245" s="74" t="s">
        <v>426</v>
      </c>
      <c r="E245" s="8"/>
      <c r="F245" s="8"/>
      <c r="M245" s="2307" t="s">
        <v>2313</v>
      </c>
      <c r="N245" s="2307"/>
      <c r="O245" s="2307"/>
      <c r="P245" s="2307"/>
      <c r="Q245" s="2307"/>
      <c r="R245" s="2307"/>
      <c r="S245" s="2307"/>
      <c r="T245" s="2307"/>
      <c r="U245" s="2307"/>
      <c r="V245" s="2307"/>
      <c r="W245" s="2307"/>
      <c r="X245" s="2307"/>
      <c r="Y245" s="2307"/>
      <c r="Z245" s="2307"/>
      <c r="AA245" s="2307"/>
      <c r="AB245" s="2307"/>
      <c r="AC245" s="2307"/>
      <c r="AD245" s="2307"/>
      <c r="AE245" s="2307"/>
      <c r="AF245" s="8"/>
      <c r="AG245" s="8"/>
      <c r="AH245" s="8"/>
      <c r="AI245" s="8"/>
      <c r="AJ245" s="8"/>
      <c r="AK245" s="8"/>
      <c r="AL245" s="8"/>
      <c r="AM245" s="8"/>
      <c r="AN245" s="72"/>
      <c r="AO245" s="72"/>
      <c r="BD245" s="75"/>
    </row>
    <row r="246" spans="1:56" ht="12.75">
      <c r="A246" s="63" t="s">
        <v>8</v>
      </c>
      <c r="C246" s="48" t="s">
        <v>698</v>
      </c>
      <c r="M246" s="2436" t="s">
        <v>701</v>
      </c>
      <c r="N246" s="2436"/>
      <c r="O246" s="2436"/>
      <c r="P246" s="2436"/>
      <c r="Q246" s="2436"/>
      <c r="R246" s="2436"/>
      <c r="S246" s="2436"/>
      <c r="T246" s="2436"/>
      <c r="U246" s="8" t="s">
        <v>1293</v>
      </c>
      <c r="AA246" s="2304" t="s">
        <v>135</v>
      </c>
      <c r="AB246" s="2308"/>
      <c r="AC246" s="2308"/>
      <c r="AD246" s="2308"/>
      <c r="AE246" s="2308"/>
      <c r="AF246" s="2308"/>
      <c r="AG246" s="2308"/>
      <c r="AH246" s="2308"/>
      <c r="AI246" s="2308"/>
      <c r="AJ246" s="2308"/>
      <c r="AK246" s="2308"/>
      <c r="AL246" s="72"/>
      <c r="AO246" s="8" t="s">
        <v>711</v>
      </c>
      <c r="AT246" s="674">
        <f>IF(AND(AND($M$256="for profit",$M$264="for profit",$M$272="nonprofit")),2,0)</f>
        <v>0</v>
      </c>
      <c r="BB246" s="75"/>
    </row>
    <row r="247" spans="1:56" ht="12.75">
      <c r="D247" s="16" t="s">
        <v>704</v>
      </c>
      <c r="M247" s="2312"/>
      <c r="N247" s="2312"/>
      <c r="O247" s="2312"/>
      <c r="P247" s="2312"/>
      <c r="Q247" s="2312"/>
      <c r="R247" s="2312"/>
      <c r="S247" s="2312"/>
      <c r="T247" s="2312"/>
      <c r="U247" s="2312"/>
      <c r="V247" s="2312"/>
      <c r="W247" s="2312"/>
      <c r="X247" s="2312"/>
      <c r="Y247" s="2312"/>
      <c r="Z247" s="2312"/>
      <c r="AA247" s="2312"/>
      <c r="AB247" s="2312"/>
      <c r="AC247" s="2312"/>
      <c r="AD247" s="2312"/>
      <c r="AE247" s="2312"/>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2512" t="s">
        <v>2316</v>
      </c>
      <c r="N250" s="2512"/>
      <c r="O250" s="2512"/>
      <c r="P250" s="2512"/>
      <c r="Q250" s="2512"/>
      <c r="R250" s="2512"/>
      <c r="S250" s="2512"/>
      <c r="T250" s="2512"/>
      <c r="U250" s="2512"/>
      <c r="V250" s="2512"/>
      <c r="W250" s="2512"/>
      <c r="X250" s="2512"/>
      <c r="Y250" s="2512"/>
      <c r="Z250" s="2512"/>
      <c r="AA250" s="2512"/>
      <c r="AB250" s="2512"/>
      <c r="AC250" s="2512"/>
      <c r="AD250" s="2512"/>
      <c r="AE250" s="2512"/>
      <c r="AF250" s="2488" t="s">
        <v>2314</v>
      </c>
      <c r="AG250" s="2488"/>
      <c r="AH250" s="2488"/>
      <c r="AI250" s="2488"/>
      <c r="AJ250" s="2488"/>
      <c r="AK250" s="2488"/>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2310" t="s">
        <v>2310</v>
      </c>
      <c r="N251" s="2310"/>
      <c r="O251" s="2310"/>
      <c r="P251" s="2310"/>
      <c r="Q251" s="2310"/>
      <c r="R251" s="2310"/>
      <c r="S251" s="2310"/>
      <c r="T251" s="2310"/>
      <c r="U251" s="2310"/>
      <c r="V251" s="2310"/>
      <c r="W251" s="2310"/>
      <c r="X251" s="2310"/>
      <c r="Y251" s="2310"/>
      <c r="Z251" s="2310"/>
      <c r="AA251" s="2310"/>
      <c r="AB251" s="2310"/>
      <c r="AC251" s="2310"/>
      <c r="AD251" s="2310"/>
      <c r="AE251" s="2310"/>
      <c r="AL251" s="8"/>
      <c r="AN251" s="72"/>
      <c r="BB251" s="75"/>
    </row>
    <row r="252" spans="1:56" ht="12.75">
      <c r="A252" s="39"/>
      <c r="B252" s="8"/>
      <c r="C252" s="8"/>
      <c r="D252" s="71" t="s">
        <v>484</v>
      </c>
      <c r="E252" s="71"/>
      <c r="M252" s="2309" t="s">
        <v>2306</v>
      </c>
      <c r="N252" s="2310"/>
      <c r="O252" s="2310"/>
      <c r="P252" s="2310"/>
      <c r="Q252" s="2310"/>
      <c r="R252" s="2310"/>
      <c r="S252" s="2310"/>
      <c r="T252" s="2310"/>
      <c r="V252" s="73" t="s">
        <v>422</v>
      </c>
      <c r="W252" s="2502" t="s">
        <v>2311</v>
      </c>
      <c r="X252" s="2313"/>
      <c r="Y252" s="71" t="s">
        <v>487</v>
      </c>
      <c r="AC252" s="2310">
        <v>92614</v>
      </c>
      <c r="AD252" s="2310"/>
      <c r="AE252" s="2310"/>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2309" t="s">
        <v>2307</v>
      </c>
      <c r="N253" s="2310"/>
      <c r="O253" s="2310"/>
      <c r="P253" s="2310"/>
      <c r="Q253" s="2310"/>
      <c r="R253" s="2310"/>
      <c r="S253" s="2310"/>
      <c r="T253" s="2310"/>
      <c r="U253" s="2310"/>
      <c r="V253" s="2310"/>
      <c r="W253" s="2310"/>
      <c r="X253" s="2310"/>
      <c r="Y253" s="2310"/>
      <c r="Z253" s="2310"/>
      <c r="AA253" s="2310"/>
      <c r="AB253" s="2310"/>
      <c r="AC253" s="2310"/>
      <c r="AD253" s="2310"/>
      <c r="AE253" s="2310"/>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2316" t="s">
        <v>2312</v>
      </c>
      <c r="N254" s="2306"/>
      <c r="O254" s="2306"/>
      <c r="P254" s="2306"/>
      <c r="Q254" s="2306"/>
      <c r="R254" s="2306"/>
      <c r="S254" s="8" t="s">
        <v>907</v>
      </c>
      <c r="T254" s="8"/>
      <c r="U254" s="2313"/>
      <c r="V254" s="2313"/>
      <c r="W254" s="2313"/>
      <c r="X254" s="8" t="s">
        <v>425</v>
      </c>
      <c r="Z254" s="2306"/>
      <c r="AA254" s="2306"/>
      <c r="AB254" s="2306"/>
      <c r="AC254" s="2306"/>
      <c r="AD254" s="2306"/>
      <c r="AE254" s="2306"/>
      <c r="AO254" s="63" t="s">
        <v>711</v>
      </c>
      <c r="AP254" s="63"/>
      <c r="AQ254" s="63"/>
      <c r="AR254" s="63"/>
      <c r="AS254" s="63"/>
      <c r="AT254" s="272">
        <f>IF(AND(AND($M$256="for profit",$M$264="nonprofit",$M$272="nonprofit")),2,0)</f>
        <v>0</v>
      </c>
    </row>
    <row r="255" spans="1:56" ht="12.75">
      <c r="A255" s="39"/>
      <c r="B255" s="8"/>
      <c r="C255" s="8"/>
      <c r="D255" s="74" t="s">
        <v>426</v>
      </c>
      <c r="E255" s="8"/>
      <c r="F255" s="8"/>
      <c r="M255" s="2307" t="s">
        <v>2313</v>
      </c>
      <c r="N255" s="2307"/>
      <c r="O255" s="2307"/>
      <c r="P255" s="2307"/>
      <c r="Q255" s="2307"/>
      <c r="R255" s="2307"/>
      <c r="S255" s="2307"/>
      <c r="T255" s="2307"/>
      <c r="U255" s="2307"/>
      <c r="V255" s="2307"/>
      <c r="W255" s="2307"/>
      <c r="X255" s="2307"/>
      <c r="Y255" s="2307"/>
      <c r="Z255" s="2307"/>
      <c r="AA255" s="2307"/>
      <c r="AB255" s="2307"/>
      <c r="AC255" s="2307"/>
      <c r="AD255" s="2307"/>
      <c r="AE255" s="2307"/>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2436" t="s">
        <v>709</v>
      </c>
      <c r="N256" s="2436"/>
      <c r="O256" s="2436"/>
      <c r="P256" s="2436"/>
      <c r="Q256" s="2436"/>
      <c r="R256" s="2436"/>
      <c r="S256" s="2436"/>
      <c r="T256" s="2436"/>
      <c r="U256" s="8" t="s">
        <v>1293</v>
      </c>
      <c r="AA256" s="2308"/>
      <c r="AB256" s="2308"/>
      <c r="AC256" s="2308"/>
      <c r="AD256" s="2308"/>
      <c r="AE256" s="2308"/>
      <c r="AF256" s="2308"/>
      <c r="AG256" s="2308"/>
      <c r="AH256" s="2308"/>
      <c r="AI256" s="2308"/>
      <c r="AJ256" s="2308"/>
      <c r="AK256" s="2308"/>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2512" t="s">
        <v>2317</v>
      </c>
      <c r="N258" s="2512"/>
      <c r="O258" s="2512"/>
      <c r="P258" s="2512"/>
      <c r="Q258" s="2512"/>
      <c r="R258" s="2512"/>
      <c r="S258" s="2512"/>
      <c r="T258" s="2512"/>
      <c r="U258" s="2512"/>
      <c r="V258" s="2512"/>
      <c r="W258" s="2512"/>
      <c r="X258" s="2512"/>
      <c r="Y258" s="2512"/>
      <c r="Z258" s="2512"/>
      <c r="AA258" s="2512"/>
      <c r="AB258" s="2512"/>
      <c r="AC258" s="2512"/>
      <c r="AD258" s="2512"/>
      <c r="AE258" s="2512"/>
      <c r="AF258" s="2488" t="s">
        <v>2315</v>
      </c>
      <c r="AG258" s="2488"/>
      <c r="AH258" s="2488"/>
      <c r="AI258" s="2488"/>
      <c r="AJ258" s="2488"/>
      <c r="AK258" s="2488"/>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2310" t="s">
        <v>2318</v>
      </c>
      <c r="N259" s="2310"/>
      <c r="O259" s="2310"/>
      <c r="P259" s="2310"/>
      <c r="Q259" s="2310"/>
      <c r="R259" s="2310"/>
      <c r="S259" s="2310"/>
      <c r="T259" s="2310"/>
      <c r="U259" s="2310"/>
      <c r="V259" s="2310"/>
      <c r="W259" s="2310"/>
      <c r="X259" s="2310"/>
      <c r="Y259" s="2310"/>
      <c r="Z259" s="2310"/>
      <c r="AA259" s="2310"/>
      <c r="AB259" s="2310"/>
      <c r="AC259" s="2310"/>
      <c r="AD259" s="2310"/>
      <c r="AE259" s="2310"/>
      <c r="AL259" s="8"/>
      <c r="AO259" s="16" t="s">
        <v>1134</v>
      </c>
      <c r="AT259" s="674">
        <f>IF(AND(AND($M$256="for profit",$M$264="for profit",$M$272="for profit")),3,0)</f>
        <v>0</v>
      </c>
    </row>
    <row r="260" spans="1:58" ht="12.75">
      <c r="A260" s="39"/>
      <c r="B260" s="8"/>
      <c r="C260" s="8"/>
      <c r="D260" s="71" t="s">
        <v>484</v>
      </c>
      <c r="E260" s="71"/>
      <c r="M260" s="2310" t="s">
        <v>2319</v>
      </c>
      <c r="N260" s="2310"/>
      <c r="O260" s="2310"/>
      <c r="P260" s="2310"/>
      <c r="Q260" s="2310"/>
      <c r="R260" s="2310"/>
      <c r="S260" s="2310"/>
      <c r="T260" s="2310"/>
      <c r="V260" s="73" t="s">
        <v>422</v>
      </c>
      <c r="W260" s="2502" t="s">
        <v>2311</v>
      </c>
      <c r="X260" s="2313"/>
      <c r="Y260" s="71" t="s">
        <v>487</v>
      </c>
      <c r="AC260" s="2310">
        <v>91775</v>
      </c>
      <c r="AD260" s="2310"/>
      <c r="AE260" s="2310"/>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2310" t="s">
        <v>2320</v>
      </c>
      <c r="N261" s="2310"/>
      <c r="O261" s="2310"/>
      <c r="P261" s="2310"/>
      <c r="Q261" s="2310"/>
      <c r="R261" s="2310"/>
      <c r="S261" s="2310"/>
      <c r="T261" s="2310"/>
      <c r="U261" s="2310"/>
      <c r="V261" s="2310"/>
      <c r="W261" s="2310"/>
      <c r="X261" s="2310"/>
      <c r="Y261" s="2310"/>
      <c r="Z261" s="2310"/>
      <c r="AA261" s="2310"/>
      <c r="AB261" s="2310"/>
      <c r="AC261" s="2310"/>
      <c r="AD261" s="2310"/>
      <c r="AE261" s="2310"/>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2306" t="s">
        <v>2321</v>
      </c>
      <c r="N262" s="2306"/>
      <c r="O262" s="2306"/>
      <c r="P262" s="2306"/>
      <c r="Q262" s="2306"/>
      <c r="R262" s="2306"/>
      <c r="S262" s="8" t="s">
        <v>907</v>
      </c>
      <c r="T262" s="8"/>
      <c r="U262" s="2313"/>
      <c r="V262" s="2313"/>
      <c r="W262" s="2313"/>
      <c r="X262" s="8" t="s">
        <v>425</v>
      </c>
      <c r="Z262" s="2306"/>
      <c r="AA262" s="2306"/>
      <c r="AB262" s="2306"/>
      <c r="AC262" s="2306"/>
      <c r="AD262" s="2306"/>
      <c r="AE262" s="2306"/>
      <c r="BA262" s="35"/>
      <c r="BB262" s="35"/>
    </row>
    <row r="263" spans="1:58" ht="12.75">
      <c r="A263" s="39"/>
      <c r="B263" s="8"/>
      <c r="C263" s="8"/>
      <c r="D263" s="74" t="s">
        <v>426</v>
      </c>
      <c r="E263" s="8"/>
      <c r="F263" s="8"/>
      <c r="M263" s="2307" t="s">
        <v>2322</v>
      </c>
      <c r="N263" s="2307"/>
      <c r="O263" s="2307"/>
      <c r="P263" s="2307"/>
      <c r="Q263" s="2307"/>
      <c r="R263" s="2307"/>
      <c r="S263" s="2307"/>
      <c r="T263" s="2307"/>
      <c r="U263" s="2307"/>
      <c r="V263" s="2307"/>
      <c r="W263" s="2307"/>
      <c r="X263" s="2307"/>
      <c r="Y263" s="2307"/>
      <c r="Z263" s="2307"/>
      <c r="AA263" s="2307"/>
      <c r="AB263" s="2307"/>
      <c r="AC263" s="2307"/>
      <c r="AD263" s="2307"/>
      <c r="AE263" s="2307"/>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2436" t="s">
        <v>707</v>
      </c>
      <c r="N264" s="2436"/>
      <c r="O264" s="2436"/>
      <c r="P264" s="2436"/>
      <c r="Q264" s="2436"/>
      <c r="R264" s="2436"/>
      <c r="S264" s="2436"/>
      <c r="T264" s="2436"/>
      <c r="U264" s="8" t="s">
        <v>1293</v>
      </c>
      <c r="AA264" s="2304" t="s">
        <v>135</v>
      </c>
      <c r="AB264" s="2308"/>
      <c r="AC264" s="2308"/>
      <c r="AD264" s="2308"/>
      <c r="AE264" s="2308"/>
      <c r="AF264" s="2308"/>
      <c r="AG264" s="2308"/>
      <c r="AH264" s="2308"/>
      <c r="AI264" s="2308"/>
      <c r="AJ264" s="2308"/>
      <c r="AK264" s="2308"/>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2488"/>
      <c r="N266" s="2488"/>
      <c r="O266" s="2488"/>
      <c r="P266" s="2488"/>
      <c r="Q266" s="2488"/>
      <c r="R266" s="2488"/>
      <c r="S266" s="2488"/>
      <c r="T266" s="2488"/>
      <c r="U266" s="2488"/>
      <c r="V266" s="2488"/>
      <c r="W266" s="2488"/>
      <c r="X266" s="2488"/>
      <c r="Y266" s="2488"/>
      <c r="Z266" s="2488"/>
      <c r="AA266" s="2488"/>
      <c r="AB266" s="2488"/>
      <c r="AC266" s="2488"/>
      <c r="AD266" s="2488"/>
      <c r="AE266" s="2488"/>
      <c r="AF266" s="2488" t="s">
        <v>85</v>
      </c>
      <c r="AG266" s="2488"/>
      <c r="AH266" s="2488"/>
      <c r="AI266" s="2488"/>
      <c r="AJ266" s="2488"/>
      <c r="AK266" s="2488"/>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2310"/>
      <c r="N267" s="2310"/>
      <c r="O267" s="2310"/>
      <c r="P267" s="2310"/>
      <c r="Q267" s="2310"/>
      <c r="R267" s="2310"/>
      <c r="S267" s="2310"/>
      <c r="T267" s="2310"/>
      <c r="U267" s="2310"/>
      <c r="V267" s="2310"/>
      <c r="W267" s="2310"/>
      <c r="X267" s="2310"/>
      <c r="Y267" s="2310"/>
      <c r="Z267" s="2310"/>
      <c r="AA267" s="2310"/>
      <c r="AB267" s="2310"/>
      <c r="AC267" s="2310"/>
      <c r="AD267" s="2310"/>
      <c r="AE267" s="2310"/>
      <c r="AL267" s="72"/>
      <c r="AN267" s="8" t="s">
        <v>508</v>
      </c>
      <c r="AT267" s="16">
        <v>3</v>
      </c>
      <c r="AU267" s="16" t="s">
        <v>709</v>
      </c>
      <c r="BA267" s="75"/>
    </row>
    <row r="268" spans="1:58" ht="12.75">
      <c r="A268" s="33"/>
      <c r="B268" s="8"/>
      <c r="C268" s="8"/>
      <c r="D268" s="71" t="s">
        <v>484</v>
      </c>
      <c r="E268" s="71"/>
      <c r="M268" s="2310"/>
      <c r="N268" s="2310"/>
      <c r="O268" s="2310"/>
      <c r="P268" s="2310"/>
      <c r="Q268" s="2310"/>
      <c r="R268" s="2310"/>
      <c r="S268" s="2310"/>
      <c r="T268" s="2310"/>
      <c r="V268" s="73" t="s">
        <v>422</v>
      </c>
      <c r="W268" s="2313"/>
      <c r="X268" s="2313"/>
      <c r="Y268" s="71" t="s">
        <v>487</v>
      </c>
      <c r="AC268" s="2310"/>
      <c r="AD268" s="2310"/>
      <c r="AE268" s="2310"/>
      <c r="AL268" s="72"/>
      <c r="BA268" s="75"/>
    </row>
    <row r="269" spans="1:58" ht="12.75">
      <c r="A269" s="33"/>
      <c r="B269" s="8"/>
      <c r="C269" s="8"/>
      <c r="D269" s="74" t="s">
        <v>423</v>
      </c>
      <c r="E269" s="8"/>
      <c r="F269" s="8"/>
      <c r="G269" s="8"/>
      <c r="H269" s="8"/>
      <c r="I269" s="8"/>
      <c r="J269" s="8"/>
      <c r="K269" s="8"/>
      <c r="L269" s="39"/>
      <c r="M269" s="2310"/>
      <c r="N269" s="2310"/>
      <c r="O269" s="2310"/>
      <c r="P269" s="2310"/>
      <c r="Q269" s="2310"/>
      <c r="R269" s="2310"/>
      <c r="S269" s="2310"/>
      <c r="T269" s="2310"/>
      <c r="U269" s="2310"/>
      <c r="V269" s="2310"/>
      <c r="W269" s="2310"/>
      <c r="X269" s="2310"/>
      <c r="Y269" s="2310"/>
      <c r="Z269" s="2310"/>
      <c r="AA269" s="2310"/>
      <c r="AB269" s="2310"/>
      <c r="AC269" s="2310"/>
      <c r="AD269" s="2310"/>
      <c r="AE269" s="2310"/>
      <c r="AJ269" s="8"/>
      <c r="AK269" s="8"/>
      <c r="AL269" s="72"/>
      <c r="BA269" s="75"/>
    </row>
    <row r="270" spans="1:58" ht="12.75">
      <c r="A270" s="33"/>
      <c r="B270" s="8"/>
      <c r="C270" s="8"/>
      <c r="D270" s="74" t="s">
        <v>424</v>
      </c>
      <c r="E270" s="8"/>
      <c r="F270" s="8"/>
      <c r="M270" s="2306"/>
      <c r="N270" s="2306"/>
      <c r="O270" s="2306"/>
      <c r="P270" s="2306"/>
      <c r="Q270" s="2306"/>
      <c r="R270" s="2306"/>
      <c r="S270" s="8" t="s">
        <v>907</v>
      </c>
      <c r="T270" s="8"/>
      <c r="U270" s="2313"/>
      <c r="V270" s="2313"/>
      <c r="W270" s="2313"/>
      <c r="X270" s="8" t="s">
        <v>425</v>
      </c>
      <c r="Z270" s="2306"/>
      <c r="AA270" s="2306"/>
      <c r="AB270" s="2306"/>
      <c r="AC270" s="2306"/>
      <c r="AD270" s="2306"/>
      <c r="AE270" s="2306"/>
      <c r="AL270" s="72"/>
      <c r="BA270" s="75"/>
    </row>
    <row r="271" spans="1:58" ht="12.75">
      <c r="A271" s="33"/>
      <c r="B271" s="8"/>
      <c r="C271" s="8"/>
      <c r="D271" s="74" t="s">
        <v>426</v>
      </c>
      <c r="E271" s="8"/>
      <c r="F271" s="8"/>
      <c r="M271" s="2307"/>
      <c r="N271" s="2307"/>
      <c r="O271" s="2307"/>
      <c r="P271" s="2307"/>
      <c r="Q271" s="2307"/>
      <c r="R271" s="2307"/>
      <c r="S271" s="2307"/>
      <c r="T271" s="2307"/>
      <c r="U271" s="2307"/>
      <c r="V271" s="2307"/>
      <c r="W271" s="2307"/>
      <c r="X271" s="2307"/>
      <c r="Y271" s="2307"/>
      <c r="Z271" s="2307"/>
      <c r="AA271" s="2307"/>
      <c r="AB271" s="2307"/>
      <c r="AC271" s="2307"/>
      <c r="AD271" s="2307"/>
      <c r="AE271" s="2307"/>
      <c r="AG271" s="8"/>
      <c r="AH271" s="8"/>
      <c r="AI271" s="8"/>
      <c r="AJ271" s="8"/>
      <c r="AK271" s="8"/>
      <c r="AL271" s="72"/>
      <c r="BA271" s="75"/>
    </row>
    <row r="272" spans="1:58" ht="12.75">
      <c r="A272" s="33"/>
      <c r="B272" s="8"/>
      <c r="C272" s="159"/>
      <c r="D272" s="74" t="s">
        <v>708</v>
      </c>
      <c r="E272" s="8"/>
      <c r="F272" s="8"/>
      <c r="G272" s="8"/>
      <c r="H272" s="8"/>
      <c r="I272" s="8"/>
      <c r="J272" s="8"/>
      <c r="K272" s="8"/>
      <c r="L272" s="8"/>
      <c r="M272" s="2436" t="s">
        <v>85</v>
      </c>
      <c r="N272" s="2436"/>
      <c r="O272" s="2436"/>
      <c r="P272" s="2436"/>
      <c r="Q272" s="2436"/>
      <c r="R272" s="2436"/>
      <c r="S272" s="2436"/>
      <c r="T272" s="2436"/>
      <c r="U272" s="8" t="s">
        <v>1293</v>
      </c>
      <c r="AA272" s="2308"/>
      <c r="AB272" s="2308"/>
      <c r="AC272" s="2308"/>
      <c r="AD272" s="2308"/>
      <c r="AE272" s="2308"/>
      <c r="AF272" s="2308"/>
      <c r="AG272" s="2308"/>
      <c r="AH272" s="2308"/>
      <c r="AI272" s="2308"/>
      <c r="AJ272" s="2308"/>
      <c r="AK272" s="2308"/>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513" t="str">
        <f>BB265</f>
        <v>Joint Venture</v>
      </c>
      <c r="U274" s="2513"/>
      <c r="V274" s="2513"/>
      <c r="W274" s="2513"/>
      <c r="X274" s="2513"/>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2310" t="s">
        <v>508</v>
      </c>
      <c r="E277" s="2310"/>
      <c r="F277" s="2310"/>
      <c r="G277" s="2310"/>
      <c r="H277" s="2310"/>
      <c r="J277" s="16" t="s">
        <v>1004</v>
      </c>
      <c r="X277" s="2311">
        <v>44105</v>
      </c>
      <c r="Y277" s="2311"/>
      <c r="Z277" s="2311"/>
      <c r="AA277" s="2311"/>
      <c r="AB277" s="2311"/>
      <c r="AC277" s="2311"/>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2488" t="s">
        <v>2316</v>
      </c>
      <c r="M281" s="2488"/>
      <c r="N281" s="2488"/>
      <c r="O281" s="2488"/>
      <c r="P281" s="2488"/>
      <c r="Q281" s="2488"/>
      <c r="R281" s="2488"/>
      <c r="S281" s="2488"/>
      <c r="T281" s="2488"/>
      <c r="U281" s="2488"/>
      <c r="V281" s="2488"/>
      <c r="W281" s="2488"/>
      <c r="X281" s="2488"/>
      <c r="Y281" s="2488"/>
      <c r="Z281" s="2488"/>
      <c r="AA281" s="2488"/>
      <c r="AB281" s="2488"/>
      <c r="AC281" s="2488"/>
      <c r="AD281" s="2488"/>
      <c r="AE281" s="2488"/>
      <c r="AF281" s="2488"/>
      <c r="AG281" s="2488"/>
      <c r="AH281" s="2488"/>
      <c r="AI281" s="2488"/>
      <c r="AJ281" s="2488"/>
      <c r="AK281" s="72"/>
      <c r="AL281" s="72"/>
      <c r="BA281" s="75"/>
    </row>
    <row r="282" spans="1:53" ht="12.75">
      <c r="D282" s="71" t="s">
        <v>421</v>
      </c>
      <c r="E282" s="71"/>
      <c r="F282" s="71"/>
      <c r="G282" s="71"/>
      <c r="H282" s="71"/>
      <c r="I282" s="71"/>
      <c r="J282" s="71"/>
      <c r="K282" s="8"/>
      <c r="L282" s="2310" t="s">
        <v>2323</v>
      </c>
      <c r="M282" s="2310"/>
      <c r="N282" s="2310"/>
      <c r="O282" s="2310"/>
      <c r="P282" s="2310"/>
      <c r="Q282" s="2310"/>
      <c r="R282" s="2310"/>
      <c r="S282" s="2310"/>
      <c r="T282" s="2310"/>
      <c r="U282" s="2310"/>
      <c r="V282" s="2310"/>
      <c r="W282" s="2310"/>
      <c r="X282" s="2310"/>
      <c r="Y282" s="2310"/>
      <c r="Z282" s="2310"/>
      <c r="AA282" s="2310"/>
      <c r="AB282" s="2310"/>
      <c r="AC282" s="2310"/>
      <c r="AD282" s="2310"/>
      <c r="AK282" s="72"/>
      <c r="AL282" s="72"/>
      <c r="BA282" s="75"/>
    </row>
    <row r="283" spans="1:53" ht="12.75">
      <c r="D283" s="71" t="s">
        <v>484</v>
      </c>
      <c r="E283" s="71"/>
      <c r="L283" s="2309" t="s">
        <v>2306</v>
      </c>
      <c r="M283" s="2310"/>
      <c r="N283" s="2310"/>
      <c r="O283" s="2310"/>
      <c r="P283" s="2310"/>
      <c r="Q283" s="2310"/>
      <c r="R283" s="2310"/>
      <c r="S283" s="2310"/>
      <c r="U283" s="73" t="s">
        <v>422</v>
      </c>
      <c r="V283" s="2502" t="s">
        <v>2311</v>
      </c>
      <c r="W283" s="2313"/>
      <c r="X283" s="71" t="s">
        <v>487</v>
      </c>
      <c r="AB283" s="2310">
        <v>92614</v>
      </c>
      <c r="AC283" s="2310"/>
      <c r="AD283" s="2310"/>
      <c r="AK283" s="72"/>
      <c r="AL283" s="72"/>
      <c r="BA283" s="75"/>
    </row>
    <row r="284" spans="1:53" ht="12.75">
      <c r="D284" s="74" t="s">
        <v>423</v>
      </c>
      <c r="E284" s="8"/>
      <c r="F284" s="8"/>
      <c r="G284" s="8"/>
      <c r="H284" s="8"/>
      <c r="I284" s="8"/>
      <c r="J284" s="8"/>
      <c r="K284" s="39"/>
      <c r="L284" s="2309" t="s">
        <v>2324</v>
      </c>
      <c r="M284" s="2310"/>
      <c r="N284" s="2310"/>
      <c r="O284" s="2310"/>
      <c r="P284" s="2310"/>
      <c r="Q284" s="2310"/>
      <c r="R284" s="2310"/>
      <c r="S284" s="2310"/>
      <c r="T284" s="2310"/>
      <c r="U284" s="2310"/>
      <c r="V284" s="2310"/>
      <c r="W284" s="2310"/>
      <c r="X284" s="2310"/>
      <c r="Y284" s="2310"/>
      <c r="Z284" s="2310"/>
      <c r="AA284" s="2310"/>
      <c r="AB284" s="2310"/>
      <c r="AC284" s="2310"/>
      <c r="AD284" s="2310"/>
      <c r="AI284" s="8"/>
      <c r="AJ284" s="8"/>
      <c r="AK284" s="72"/>
      <c r="AL284" s="72"/>
      <c r="BA284" s="75"/>
    </row>
    <row r="285" spans="1:53" ht="12.75">
      <c r="D285" s="74" t="s">
        <v>424</v>
      </c>
      <c r="E285" s="8"/>
      <c r="F285" s="8"/>
      <c r="L285" s="2316" t="s">
        <v>2325</v>
      </c>
      <c r="M285" s="2306"/>
      <c r="N285" s="2306"/>
      <c r="O285" s="2306"/>
      <c r="P285" s="2306"/>
      <c r="Q285" s="2306"/>
      <c r="R285" s="8" t="s">
        <v>907</v>
      </c>
      <c r="S285" s="8"/>
      <c r="T285" s="2313"/>
      <c r="U285" s="2313"/>
      <c r="V285" s="2313"/>
      <c r="W285" s="8" t="s">
        <v>425</v>
      </c>
      <c r="Y285" s="2306"/>
      <c r="Z285" s="2306"/>
      <c r="AA285" s="2306"/>
      <c r="AB285" s="2306"/>
      <c r="AC285" s="2306"/>
      <c r="AD285" s="2306"/>
      <c r="BA285" s="75"/>
    </row>
    <row r="286" spans="1:53" ht="12.75">
      <c r="D286" s="74" t="s">
        <v>426</v>
      </c>
      <c r="E286" s="8"/>
      <c r="F286" s="8"/>
      <c r="L286" s="2307" t="s">
        <v>2326</v>
      </c>
      <c r="M286" s="2307"/>
      <c r="N286" s="2307"/>
      <c r="O286" s="2307"/>
      <c r="P286" s="2307"/>
      <c r="Q286" s="2307"/>
      <c r="R286" s="2307"/>
      <c r="S286" s="2307"/>
      <c r="T286" s="2307"/>
      <c r="U286" s="2307"/>
      <c r="V286" s="2307"/>
      <c r="W286" s="2307"/>
      <c r="X286" s="2307"/>
      <c r="Y286" s="2307"/>
      <c r="Z286" s="2307"/>
      <c r="AA286" s="2307"/>
      <c r="AB286" s="2307"/>
      <c r="AC286" s="2307"/>
      <c r="AD286" s="2307"/>
      <c r="AF286" s="8"/>
      <c r="AG286" s="8"/>
      <c r="AH286" s="8"/>
      <c r="AI286" s="8"/>
      <c r="AJ286" s="8"/>
      <c r="BA286" s="75"/>
    </row>
    <row r="287" spans="1:53" ht="12.75">
      <c r="D287" s="72" t="s">
        <v>203</v>
      </c>
      <c r="E287" s="72"/>
      <c r="F287" s="72"/>
      <c r="G287" s="72"/>
      <c r="H287" s="72"/>
      <c r="I287" s="72"/>
      <c r="L287" s="2502" t="s">
        <v>2327</v>
      </c>
      <c r="M287" s="2502"/>
      <c r="N287" s="2502"/>
      <c r="O287" s="2502"/>
      <c r="P287" s="2502"/>
      <c r="Q287" s="2502"/>
      <c r="R287" s="2502"/>
      <c r="S287" s="2502"/>
      <c r="T287" s="2502"/>
      <c r="U287" s="2502"/>
      <c r="V287" s="2502"/>
      <c r="W287" s="2502"/>
      <c r="X287" s="2502"/>
      <c r="Y287" s="2502"/>
      <c r="Z287" s="2502"/>
      <c r="AA287" s="2502"/>
      <c r="AB287" s="2502"/>
      <c r="AC287" s="2502"/>
      <c r="AD287" s="2502"/>
      <c r="AK287" s="72"/>
      <c r="AL287" s="72"/>
      <c r="BA287" s="75"/>
    </row>
    <row r="288" spans="1:53" ht="12.75">
      <c r="L288" s="46" t="s">
        <v>204</v>
      </c>
      <c r="BA288" s="75"/>
    </row>
    <row r="289" spans="1:53" ht="12.75">
      <c r="A289" s="2314" t="s">
        <v>550</v>
      </c>
      <c r="B289" s="2314"/>
      <c r="C289" s="2314"/>
      <c r="D289" s="2314"/>
      <c r="E289" s="2314"/>
      <c r="F289" s="2314"/>
      <c r="G289" s="2314"/>
      <c r="H289" s="2314"/>
      <c r="I289" s="2314"/>
      <c r="J289" s="2314"/>
      <c r="K289" s="2314"/>
      <c r="L289" s="2314"/>
      <c r="M289" s="2314"/>
      <c r="N289" s="2314"/>
      <c r="O289" s="2314"/>
      <c r="P289" s="2314"/>
      <c r="Q289" s="2314"/>
      <c r="R289" s="2314"/>
      <c r="S289" s="2314"/>
      <c r="T289" s="2314"/>
      <c r="U289" s="2314"/>
      <c r="V289" s="2314"/>
      <c r="W289" s="2314"/>
      <c r="X289" s="2314"/>
      <c r="Y289" s="2314"/>
      <c r="Z289" s="2314"/>
      <c r="AA289" s="2314"/>
      <c r="AB289" s="2314"/>
      <c r="AC289" s="2314"/>
      <c r="AD289" s="2314"/>
      <c r="AE289" s="2314"/>
      <c r="AF289" s="2314"/>
      <c r="AG289" s="2314"/>
      <c r="AH289" s="2314"/>
      <c r="AI289" s="2314"/>
      <c r="AJ289" s="2314"/>
      <c r="AK289" s="2314"/>
      <c r="AL289" s="2314"/>
      <c r="BA289" s="75"/>
    </row>
    <row r="290" spans="1:53" ht="13.5" thickBot="1">
      <c r="A290" s="2315"/>
      <c r="B290" s="2315"/>
      <c r="C290" s="2315"/>
      <c r="D290" s="2315"/>
      <c r="E290" s="2315"/>
      <c r="F290" s="2315"/>
      <c r="G290" s="2315"/>
      <c r="H290" s="2315"/>
      <c r="I290" s="2315"/>
      <c r="J290" s="2315"/>
      <c r="K290" s="2315"/>
      <c r="L290" s="2315"/>
      <c r="M290" s="2315"/>
      <c r="N290" s="2315"/>
      <c r="O290" s="2315"/>
      <c r="P290" s="2315"/>
      <c r="Q290" s="2315"/>
      <c r="R290" s="2315"/>
      <c r="S290" s="2315"/>
      <c r="T290" s="2315"/>
      <c r="U290" s="2315"/>
      <c r="V290" s="2315"/>
      <c r="W290" s="2315"/>
      <c r="X290" s="2315"/>
      <c r="Y290" s="2315"/>
      <c r="Z290" s="2315"/>
      <c r="AA290" s="2315"/>
      <c r="AB290" s="2315"/>
      <c r="AC290" s="2315"/>
      <c r="AD290" s="2315"/>
      <c r="AE290" s="2315"/>
      <c r="AF290" s="2315"/>
      <c r="AG290" s="2315"/>
      <c r="AH290" s="2315"/>
      <c r="AI290" s="2315"/>
      <c r="AJ290" s="2315"/>
      <c r="AK290" s="2315"/>
      <c r="AL290" s="2315"/>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2312" t="s">
        <v>2316</v>
      </c>
      <c r="I294" s="2312"/>
      <c r="J294" s="2312"/>
      <c r="K294" s="2312"/>
      <c r="L294" s="2312"/>
      <c r="M294" s="2312"/>
      <c r="N294" s="2312"/>
      <c r="O294" s="2312"/>
      <c r="P294" s="2312"/>
      <c r="Q294" s="2312"/>
      <c r="R294" s="2312"/>
      <c r="T294" s="72" t="s">
        <v>820</v>
      </c>
      <c r="V294" s="72"/>
      <c r="W294" s="72"/>
      <c r="X294" s="72"/>
      <c r="Y294" s="72"/>
      <c r="AA294" s="2312" t="s">
        <v>2689</v>
      </c>
      <c r="AB294" s="2312"/>
      <c r="AC294" s="2312"/>
      <c r="AD294" s="2312"/>
      <c r="AE294" s="2312"/>
      <c r="AF294" s="2312"/>
      <c r="AG294" s="2312"/>
      <c r="AH294" s="2312"/>
      <c r="AI294" s="2312"/>
      <c r="AJ294" s="2312"/>
      <c r="AK294" s="2312"/>
      <c r="BA294" s="75"/>
    </row>
    <row r="295" spans="1:53" ht="12.75">
      <c r="B295" s="72" t="s">
        <v>772</v>
      </c>
      <c r="C295" s="72"/>
      <c r="D295" s="72"/>
      <c r="E295" s="72"/>
      <c r="F295" s="72"/>
      <c r="H295" s="2436" t="s">
        <v>2310</v>
      </c>
      <c r="I295" s="2436"/>
      <c r="J295" s="2436"/>
      <c r="K295" s="2436"/>
      <c r="L295" s="2436"/>
      <c r="M295" s="2436"/>
      <c r="N295" s="2436"/>
      <c r="O295" s="2436"/>
      <c r="P295" s="2436"/>
      <c r="Q295" s="2436"/>
      <c r="R295" s="2436"/>
      <c r="T295" s="72" t="s">
        <v>772</v>
      </c>
      <c r="V295" s="72"/>
      <c r="W295" s="72"/>
      <c r="X295" s="72"/>
      <c r="Y295" s="72"/>
      <c r="AA295" s="2436" t="s">
        <v>2690</v>
      </c>
      <c r="AB295" s="2436"/>
      <c r="AC295" s="2436"/>
      <c r="AD295" s="2436"/>
      <c r="AE295" s="2436"/>
      <c r="AF295" s="2436"/>
      <c r="AG295" s="2436"/>
      <c r="AH295" s="2436"/>
      <c r="AI295" s="2436"/>
      <c r="AJ295" s="2436"/>
      <c r="AK295" s="2436"/>
      <c r="BA295" s="75"/>
    </row>
    <row r="296" spans="1:53" ht="12.75">
      <c r="B296" s="72" t="s">
        <v>774</v>
      </c>
      <c r="C296" s="72"/>
      <c r="D296" s="72"/>
      <c r="E296" s="72"/>
      <c r="F296" s="72"/>
      <c r="H296" s="2436" t="s">
        <v>2328</v>
      </c>
      <c r="I296" s="2436"/>
      <c r="J296" s="2436"/>
      <c r="K296" s="2436"/>
      <c r="L296" s="2436"/>
      <c r="M296" s="2436"/>
      <c r="N296" s="2436"/>
      <c r="O296" s="2436"/>
      <c r="P296" s="2436"/>
      <c r="Q296" s="2436"/>
      <c r="R296" s="2436"/>
      <c r="T296" s="72" t="s">
        <v>773</v>
      </c>
      <c r="V296" s="72"/>
      <c r="W296" s="72"/>
      <c r="X296" s="72"/>
      <c r="Y296" s="72"/>
      <c r="AA296" s="2436" t="s">
        <v>2691</v>
      </c>
      <c r="AB296" s="2436"/>
      <c r="AC296" s="2436"/>
      <c r="AD296" s="2436"/>
      <c r="AE296" s="2436"/>
      <c r="AF296" s="2436"/>
      <c r="AG296" s="2436"/>
      <c r="AH296" s="2436"/>
      <c r="AI296" s="2436"/>
      <c r="AJ296" s="2436"/>
      <c r="AK296" s="2436"/>
      <c r="BA296" s="75"/>
    </row>
    <row r="297" spans="1:53" ht="12.75" customHeight="1">
      <c r="B297" s="72" t="s">
        <v>423</v>
      </c>
      <c r="C297" s="72"/>
      <c r="D297" s="72"/>
      <c r="E297" s="72"/>
      <c r="F297" s="72"/>
      <c r="H297" s="2436" t="s">
        <v>2307</v>
      </c>
      <c r="I297" s="2436"/>
      <c r="J297" s="2436"/>
      <c r="K297" s="2436"/>
      <c r="L297" s="2436"/>
      <c r="M297" s="2436"/>
      <c r="N297" s="2436"/>
      <c r="O297" s="2436"/>
      <c r="P297" s="2436"/>
      <c r="Q297" s="2436"/>
      <c r="R297" s="2436"/>
      <c r="T297" s="72" t="s">
        <v>423</v>
      </c>
      <c r="V297" s="72"/>
      <c r="W297" s="72"/>
      <c r="X297" s="72"/>
      <c r="Y297" s="72"/>
      <c r="AA297" s="2436" t="s">
        <v>2692</v>
      </c>
      <c r="AB297" s="2436"/>
      <c r="AC297" s="2436"/>
      <c r="AD297" s="2436"/>
      <c r="AE297" s="2436"/>
      <c r="AF297" s="2436"/>
      <c r="AG297" s="2436"/>
      <c r="AH297" s="2436"/>
      <c r="AI297" s="2436"/>
      <c r="AJ297" s="2436"/>
      <c r="AK297" s="2436"/>
      <c r="BA297" s="75"/>
    </row>
    <row r="298" spans="1:53" ht="12.75">
      <c r="B298" s="72" t="s">
        <v>424</v>
      </c>
      <c r="C298" s="72"/>
      <c r="D298" s="72"/>
      <c r="E298" s="72"/>
      <c r="F298" s="72"/>
      <c r="G298" s="72"/>
      <c r="H298" s="2308" t="s">
        <v>2312</v>
      </c>
      <c r="I298" s="2308"/>
      <c r="J298" s="2308"/>
      <c r="K298" s="2308"/>
      <c r="L298" s="2308"/>
      <c r="M298" s="2308"/>
      <c r="N298" s="8" t="s">
        <v>907</v>
      </c>
      <c r="O298" s="8"/>
      <c r="P298" s="2310"/>
      <c r="Q298" s="2310"/>
      <c r="R298" s="2310"/>
      <c r="S298" s="72"/>
      <c r="T298" s="72" t="s">
        <v>424</v>
      </c>
      <c r="V298" s="72"/>
      <c r="W298" s="72"/>
      <c r="X298" s="72"/>
      <c r="Y298" s="72"/>
      <c r="AA298" s="2308" t="s">
        <v>2693</v>
      </c>
      <c r="AB298" s="2308"/>
      <c r="AC298" s="2308"/>
      <c r="AD298" s="2308"/>
      <c r="AE298" s="2308"/>
      <c r="AF298" s="2308"/>
      <c r="AG298" s="8" t="s">
        <v>907</v>
      </c>
      <c r="AH298" s="8"/>
      <c r="AI298" s="2310"/>
      <c r="AJ298" s="2310"/>
      <c r="AK298" s="2310"/>
      <c r="BA298" s="75"/>
    </row>
    <row r="299" spans="1:53" ht="12.75">
      <c r="B299" s="72" t="s">
        <v>425</v>
      </c>
      <c r="C299" s="72"/>
      <c r="D299" s="72"/>
      <c r="E299" s="72"/>
      <c r="F299" s="72"/>
      <c r="G299" s="72"/>
      <c r="H299" s="2306" t="s">
        <v>2329</v>
      </c>
      <c r="I299" s="2306"/>
      <c r="J299" s="2306"/>
      <c r="K299" s="2306"/>
      <c r="L299" s="2306"/>
      <c r="M299" s="2306"/>
      <c r="N299" s="74"/>
      <c r="O299" s="74"/>
      <c r="P299" s="76"/>
      <c r="Q299" s="76"/>
      <c r="R299" s="76"/>
      <c r="S299" s="72"/>
      <c r="T299" s="72" t="s">
        <v>425</v>
      </c>
      <c r="V299" s="72"/>
      <c r="W299" s="72"/>
      <c r="X299" s="72"/>
      <c r="Y299" s="72"/>
      <c r="AA299" s="2306"/>
      <c r="AB299" s="2306"/>
      <c r="AC299" s="2306"/>
      <c r="AD299" s="2306"/>
      <c r="AE299" s="2306"/>
      <c r="AF299" s="2306"/>
      <c r="AG299" s="74"/>
      <c r="AH299" s="74"/>
      <c r="AI299" s="76"/>
      <c r="AJ299" s="76"/>
      <c r="AK299" s="76"/>
      <c r="BA299" s="75"/>
    </row>
    <row r="300" spans="1:53" ht="12.75">
      <c r="B300" s="72" t="s">
        <v>775</v>
      </c>
      <c r="C300" s="72"/>
      <c r="D300" s="72"/>
      <c r="E300" s="72"/>
      <c r="F300" s="72"/>
      <c r="G300" s="72"/>
      <c r="H300" s="2436" t="s">
        <v>2313</v>
      </c>
      <c r="I300" s="2436"/>
      <c r="J300" s="2436"/>
      <c r="K300" s="2436"/>
      <c r="L300" s="2436"/>
      <c r="M300" s="2436"/>
      <c r="N300" s="2312"/>
      <c r="O300" s="2312"/>
      <c r="P300" s="2312"/>
      <c r="Q300" s="2312"/>
      <c r="R300" s="2312"/>
      <c r="S300" s="72"/>
      <c r="T300" s="72" t="s">
        <v>775</v>
      </c>
      <c r="V300" s="72"/>
      <c r="W300" s="72"/>
      <c r="X300" s="72"/>
      <c r="Y300" s="72"/>
      <c r="AA300" s="2502" t="s">
        <v>2694</v>
      </c>
      <c r="AB300" s="2436"/>
      <c r="AC300" s="2436"/>
      <c r="AD300" s="2436"/>
      <c r="AE300" s="2436"/>
      <c r="AF300" s="2436"/>
      <c r="AG300" s="2312"/>
      <c r="AH300" s="2312"/>
      <c r="AI300" s="2312"/>
      <c r="AJ300" s="2312"/>
      <c r="AK300" s="2312"/>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2312"/>
      <c r="I302" s="2312"/>
      <c r="J302" s="2312"/>
      <c r="K302" s="2312"/>
      <c r="L302" s="2312"/>
      <c r="M302" s="2312"/>
      <c r="N302" s="2312"/>
      <c r="O302" s="2312"/>
      <c r="P302" s="2312"/>
      <c r="Q302" s="2312"/>
      <c r="R302" s="2312"/>
      <c r="T302" s="72" t="s">
        <v>40</v>
      </c>
      <c r="V302" s="72"/>
      <c r="W302" s="72"/>
      <c r="X302" s="72"/>
      <c r="Y302" s="72"/>
      <c r="AA302" s="2312"/>
      <c r="AB302" s="2312"/>
      <c r="AC302" s="2312"/>
      <c r="AD302" s="2312"/>
      <c r="AE302" s="2312"/>
      <c r="AF302" s="2312"/>
      <c r="AG302" s="2312"/>
      <c r="AH302" s="2312"/>
      <c r="AI302" s="2312"/>
      <c r="AJ302" s="2312"/>
      <c r="AK302" s="2312"/>
      <c r="BA302" s="75"/>
    </row>
    <row r="303" spans="1:53" ht="12.75">
      <c r="B303" s="72" t="s">
        <v>772</v>
      </c>
      <c r="C303" s="72"/>
      <c r="D303" s="72"/>
      <c r="E303" s="72"/>
      <c r="F303" s="72"/>
      <c r="H303" s="2436"/>
      <c r="I303" s="2436"/>
      <c r="J303" s="2436"/>
      <c r="K303" s="2436"/>
      <c r="L303" s="2436"/>
      <c r="M303" s="2436"/>
      <c r="N303" s="2436"/>
      <c r="O303" s="2436"/>
      <c r="P303" s="2436"/>
      <c r="Q303" s="2436"/>
      <c r="R303" s="2436"/>
      <c r="T303" s="72" t="s">
        <v>772</v>
      </c>
      <c r="V303" s="72"/>
      <c r="W303" s="72"/>
      <c r="X303" s="72"/>
      <c r="Y303" s="72"/>
      <c r="AA303" s="2436"/>
      <c r="AB303" s="2436"/>
      <c r="AC303" s="2436"/>
      <c r="AD303" s="2436"/>
      <c r="AE303" s="2436"/>
      <c r="AF303" s="2436"/>
      <c r="AG303" s="2436"/>
      <c r="AH303" s="2436"/>
      <c r="AI303" s="2436"/>
      <c r="AJ303" s="2436"/>
      <c r="AK303" s="2436"/>
      <c r="BA303" s="75"/>
    </row>
    <row r="304" spans="1:53" ht="12.75">
      <c r="B304" s="72" t="s">
        <v>774</v>
      </c>
      <c r="C304" s="72"/>
      <c r="D304" s="72"/>
      <c r="E304" s="72"/>
      <c r="F304" s="72"/>
      <c r="H304" s="2436"/>
      <c r="I304" s="2436"/>
      <c r="J304" s="2436"/>
      <c r="K304" s="2436"/>
      <c r="L304" s="2436"/>
      <c r="M304" s="2436"/>
      <c r="N304" s="2436"/>
      <c r="O304" s="2436"/>
      <c r="P304" s="2436"/>
      <c r="Q304" s="2436"/>
      <c r="R304" s="2436"/>
      <c r="T304" s="72" t="s">
        <v>773</v>
      </c>
      <c r="V304" s="72"/>
      <c r="W304" s="72"/>
      <c r="X304" s="72"/>
      <c r="Y304" s="72"/>
      <c r="AA304" s="2436"/>
      <c r="AB304" s="2436"/>
      <c r="AC304" s="2436"/>
      <c r="AD304" s="2436"/>
      <c r="AE304" s="2436"/>
      <c r="AF304" s="2436"/>
      <c r="AG304" s="2436"/>
      <c r="AH304" s="2436"/>
      <c r="AI304" s="2436"/>
      <c r="AJ304" s="2436"/>
      <c r="AK304" s="2436"/>
      <c r="BA304" s="75"/>
    </row>
    <row r="305" spans="2:53" ht="12.75" customHeight="1">
      <c r="B305" s="72" t="s">
        <v>423</v>
      </c>
      <c r="C305" s="72"/>
      <c r="D305" s="72"/>
      <c r="E305" s="72"/>
      <c r="F305" s="72"/>
      <c r="H305" s="2436"/>
      <c r="I305" s="2436"/>
      <c r="J305" s="2436"/>
      <c r="K305" s="2436"/>
      <c r="L305" s="2436"/>
      <c r="M305" s="2436"/>
      <c r="N305" s="2436"/>
      <c r="O305" s="2436"/>
      <c r="P305" s="2436"/>
      <c r="Q305" s="2436"/>
      <c r="R305" s="2436"/>
      <c r="T305" s="72" t="s">
        <v>423</v>
      </c>
      <c r="V305" s="72"/>
      <c r="W305" s="72"/>
      <c r="X305" s="72"/>
      <c r="Y305" s="72"/>
      <c r="AA305" s="2436"/>
      <c r="AB305" s="2436"/>
      <c r="AC305" s="2436"/>
      <c r="AD305" s="2436"/>
      <c r="AE305" s="2436"/>
      <c r="AF305" s="2436"/>
      <c r="AG305" s="2436"/>
      <c r="AH305" s="2436"/>
      <c r="AI305" s="2436"/>
      <c r="AJ305" s="2436"/>
      <c r="AK305" s="2436"/>
      <c r="BA305" s="75"/>
    </row>
    <row r="306" spans="2:53" ht="12.75">
      <c r="B306" s="72" t="s">
        <v>424</v>
      </c>
      <c r="C306" s="72"/>
      <c r="D306" s="72"/>
      <c r="E306" s="72"/>
      <c r="F306" s="72"/>
      <c r="G306" s="72"/>
      <c r="H306" s="2308"/>
      <c r="I306" s="2308"/>
      <c r="J306" s="2308"/>
      <c r="K306" s="2308"/>
      <c r="L306" s="2308"/>
      <c r="M306" s="2308"/>
      <c r="N306" s="8" t="s">
        <v>907</v>
      </c>
      <c r="O306" s="8"/>
      <c r="P306" s="2310"/>
      <c r="Q306" s="2310"/>
      <c r="R306" s="2310"/>
      <c r="S306" s="72"/>
      <c r="T306" s="72" t="s">
        <v>424</v>
      </c>
      <c r="V306" s="72"/>
      <c r="W306" s="72"/>
      <c r="X306" s="72"/>
      <c r="Y306" s="72"/>
      <c r="AA306" s="2308"/>
      <c r="AB306" s="2308"/>
      <c r="AC306" s="2308"/>
      <c r="AD306" s="2308"/>
      <c r="AE306" s="2308"/>
      <c r="AF306" s="2308"/>
      <c r="AG306" s="8" t="s">
        <v>907</v>
      </c>
      <c r="AH306" s="8"/>
      <c r="AI306" s="2310"/>
      <c r="AJ306" s="2310"/>
      <c r="AK306" s="2310"/>
      <c r="BA306" s="75"/>
    </row>
    <row r="307" spans="2:53" ht="12.75">
      <c r="B307" s="72" t="s">
        <v>425</v>
      </c>
      <c r="C307" s="72"/>
      <c r="D307" s="72"/>
      <c r="E307" s="72"/>
      <c r="F307" s="72"/>
      <c r="G307" s="72"/>
      <c r="H307" s="2306"/>
      <c r="I307" s="2306"/>
      <c r="J307" s="2306"/>
      <c r="K307" s="2306"/>
      <c r="L307" s="2306"/>
      <c r="M307" s="2306"/>
      <c r="N307" s="74"/>
      <c r="O307" s="74"/>
      <c r="P307" s="76"/>
      <c r="Q307" s="76"/>
      <c r="R307" s="76"/>
      <c r="S307" s="72"/>
      <c r="T307" s="72" t="s">
        <v>425</v>
      </c>
      <c r="V307" s="72"/>
      <c r="W307" s="72"/>
      <c r="X307" s="72"/>
      <c r="Y307" s="72"/>
      <c r="AA307" s="2306"/>
      <c r="AB307" s="2306"/>
      <c r="AC307" s="2306"/>
      <c r="AD307" s="2306"/>
      <c r="AE307" s="2306"/>
      <c r="AF307" s="2306"/>
      <c r="AG307" s="74"/>
      <c r="AH307" s="74"/>
      <c r="AI307" s="76"/>
      <c r="AJ307" s="76"/>
      <c r="AK307" s="76"/>
      <c r="BA307" s="75"/>
    </row>
    <row r="308" spans="2:53" ht="12.75">
      <c r="B308" s="72" t="s">
        <v>775</v>
      </c>
      <c r="C308" s="72"/>
      <c r="D308" s="72"/>
      <c r="E308" s="72"/>
      <c r="F308" s="72"/>
      <c r="G308" s="72"/>
      <c r="H308" s="2436"/>
      <c r="I308" s="2436"/>
      <c r="J308" s="2436"/>
      <c r="K308" s="2436"/>
      <c r="L308" s="2436"/>
      <c r="M308" s="2436"/>
      <c r="N308" s="2312"/>
      <c r="O308" s="2312"/>
      <c r="P308" s="2312"/>
      <c r="Q308" s="2312"/>
      <c r="R308" s="2312"/>
      <c r="S308" s="72"/>
      <c r="T308" s="72" t="s">
        <v>775</v>
      </c>
      <c r="V308" s="72"/>
      <c r="W308" s="72"/>
      <c r="X308" s="72"/>
      <c r="Y308" s="72"/>
      <c r="AA308" s="2436"/>
      <c r="AB308" s="2436"/>
      <c r="AC308" s="2436"/>
      <c r="AD308" s="2436"/>
      <c r="AE308" s="2436"/>
      <c r="AF308" s="2436"/>
      <c r="AG308" s="2312"/>
      <c r="AH308" s="2312"/>
      <c r="AI308" s="2312"/>
      <c r="AJ308" s="2312"/>
      <c r="AK308" s="2312"/>
      <c r="BA308" s="75"/>
    </row>
    <row r="309" spans="2:53" ht="12.75" customHeight="1">
      <c r="BA309" s="75"/>
    </row>
    <row r="310" spans="2:53" ht="12.75" customHeight="1">
      <c r="B310" s="72" t="s">
        <v>776</v>
      </c>
      <c r="C310" s="72"/>
      <c r="D310" s="72"/>
      <c r="E310" s="72"/>
      <c r="F310" s="72"/>
      <c r="H310" s="2312" t="s">
        <v>2330</v>
      </c>
      <c r="I310" s="2312"/>
      <c r="J310" s="2312"/>
      <c r="K310" s="2312"/>
      <c r="L310" s="2312"/>
      <c r="M310" s="2312"/>
      <c r="N310" s="2312"/>
      <c r="O310" s="2312"/>
      <c r="P310" s="2312"/>
      <c r="Q310" s="2312"/>
      <c r="R310" s="2312"/>
      <c r="T310" s="8" t="s">
        <v>1248</v>
      </c>
      <c r="V310" s="72"/>
      <c r="W310" s="72"/>
      <c r="X310" s="72"/>
      <c r="Y310" s="72"/>
      <c r="AA310" s="2312"/>
      <c r="AB310" s="2312"/>
      <c r="AC310" s="2312"/>
      <c r="AD310" s="2312"/>
      <c r="AE310" s="2312"/>
      <c r="AF310" s="2312"/>
      <c r="AG310" s="2312"/>
      <c r="AH310" s="2312"/>
      <c r="AI310" s="2312"/>
      <c r="AJ310" s="2312"/>
      <c r="AK310" s="2312"/>
      <c r="BA310" s="75"/>
    </row>
    <row r="311" spans="2:53" ht="12.75" customHeight="1">
      <c r="B311" s="72" t="s">
        <v>772</v>
      </c>
      <c r="C311" s="72"/>
      <c r="D311" s="72"/>
      <c r="E311" s="72"/>
      <c r="F311" s="72"/>
      <c r="H311" s="2436" t="s">
        <v>2331</v>
      </c>
      <c r="I311" s="2436"/>
      <c r="J311" s="2436"/>
      <c r="K311" s="2436"/>
      <c r="L311" s="2436"/>
      <c r="M311" s="2436"/>
      <c r="N311" s="2436"/>
      <c r="O311" s="2436"/>
      <c r="P311" s="2436"/>
      <c r="Q311" s="2436"/>
      <c r="R311" s="2436"/>
      <c r="T311" s="72" t="s">
        <v>772</v>
      </c>
      <c r="V311" s="72"/>
      <c r="W311" s="72"/>
      <c r="X311" s="72"/>
      <c r="Y311" s="72"/>
      <c r="AA311" s="2436"/>
      <c r="AB311" s="2436"/>
      <c r="AC311" s="2436"/>
      <c r="AD311" s="2436"/>
      <c r="AE311" s="2436"/>
      <c r="AF311" s="2436"/>
      <c r="AG311" s="2436"/>
      <c r="AH311" s="2436"/>
      <c r="AI311" s="2436"/>
      <c r="AJ311" s="2436"/>
      <c r="AK311" s="2436"/>
      <c r="BA311" s="75"/>
    </row>
    <row r="312" spans="2:53" ht="12.75" customHeight="1">
      <c r="B312" s="72" t="s">
        <v>774</v>
      </c>
      <c r="C312" s="72"/>
      <c r="D312" s="72"/>
      <c r="E312" s="72"/>
      <c r="F312" s="72"/>
      <c r="H312" s="2436" t="s">
        <v>2332</v>
      </c>
      <c r="I312" s="2436"/>
      <c r="J312" s="2436"/>
      <c r="K312" s="2436"/>
      <c r="L312" s="2436"/>
      <c r="M312" s="2436"/>
      <c r="N312" s="2436"/>
      <c r="O312" s="2436"/>
      <c r="P312" s="2436"/>
      <c r="Q312" s="2436"/>
      <c r="R312" s="2436"/>
      <c r="T312" s="72" t="s">
        <v>773</v>
      </c>
      <c r="V312" s="72"/>
      <c r="W312" s="72"/>
      <c r="X312" s="72"/>
      <c r="Y312" s="72"/>
      <c r="AA312" s="2436"/>
      <c r="AB312" s="2436"/>
      <c r="AC312" s="2436"/>
      <c r="AD312" s="2436"/>
      <c r="AE312" s="2436"/>
      <c r="AF312" s="2436"/>
      <c r="AG312" s="2436"/>
      <c r="AH312" s="2436"/>
      <c r="AI312" s="2436"/>
      <c r="AJ312" s="2436"/>
      <c r="AK312" s="2436"/>
      <c r="BA312" s="75"/>
    </row>
    <row r="313" spans="2:53" ht="12.75">
      <c r="B313" s="72" t="s">
        <v>423</v>
      </c>
      <c r="C313" s="72"/>
      <c r="D313" s="72"/>
      <c r="E313" s="72"/>
      <c r="F313" s="72"/>
      <c r="H313" s="2436" t="s">
        <v>2333</v>
      </c>
      <c r="I313" s="2436"/>
      <c r="J313" s="2436"/>
      <c r="K313" s="2436"/>
      <c r="L313" s="2436"/>
      <c r="M313" s="2436"/>
      <c r="N313" s="2436"/>
      <c r="O313" s="2436"/>
      <c r="P313" s="2436"/>
      <c r="Q313" s="2436"/>
      <c r="R313" s="2436"/>
      <c r="T313" s="72" t="s">
        <v>423</v>
      </c>
      <c r="V313" s="72"/>
      <c r="W313" s="72"/>
      <c r="X313" s="72"/>
      <c r="Y313" s="72"/>
      <c r="AA313" s="2436"/>
      <c r="AB313" s="2436"/>
      <c r="AC313" s="2436"/>
      <c r="AD313" s="2436"/>
      <c r="AE313" s="2436"/>
      <c r="AF313" s="2436"/>
      <c r="AG313" s="2436"/>
      <c r="AH313" s="2436"/>
      <c r="AI313" s="2436"/>
      <c r="AJ313" s="2436"/>
      <c r="AK313" s="2436"/>
      <c r="BA313" s="75"/>
    </row>
    <row r="314" spans="2:53" ht="12.75">
      <c r="B314" s="72" t="s">
        <v>424</v>
      </c>
      <c r="C314" s="72"/>
      <c r="D314" s="72"/>
      <c r="E314" s="72"/>
      <c r="F314" s="72"/>
      <c r="G314" s="72"/>
      <c r="H314" s="2308" t="s">
        <v>2334</v>
      </c>
      <c r="I314" s="2308"/>
      <c r="J314" s="2308"/>
      <c r="K314" s="2308"/>
      <c r="L314" s="2308"/>
      <c r="M314" s="2308"/>
      <c r="N314" s="8" t="s">
        <v>907</v>
      </c>
      <c r="O314" s="8"/>
      <c r="P314" s="2310"/>
      <c r="Q314" s="2310"/>
      <c r="R314" s="2310"/>
      <c r="S314" s="72"/>
      <c r="T314" s="72" t="s">
        <v>424</v>
      </c>
      <c r="V314" s="72"/>
      <c r="W314" s="72"/>
      <c r="X314" s="72"/>
      <c r="Y314" s="72"/>
      <c r="AA314" s="2308"/>
      <c r="AB314" s="2308"/>
      <c r="AC314" s="2308"/>
      <c r="AD314" s="2308"/>
      <c r="AE314" s="2308"/>
      <c r="AF314" s="2308"/>
      <c r="AG314" s="8" t="s">
        <v>907</v>
      </c>
      <c r="AH314" s="8"/>
      <c r="AI314" s="2310"/>
      <c r="AJ314" s="2310"/>
      <c r="AK314" s="2310"/>
      <c r="BA314" s="75"/>
    </row>
    <row r="315" spans="2:53" ht="12.75">
      <c r="B315" s="72" t="s">
        <v>425</v>
      </c>
      <c r="C315" s="72"/>
      <c r="D315" s="72"/>
      <c r="E315" s="72"/>
      <c r="F315" s="72"/>
      <c r="G315" s="72"/>
      <c r="H315" s="2306" t="s">
        <v>2335</v>
      </c>
      <c r="I315" s="2306"/>
      <c r="J315" s="2306"/>
      <c r="K315" s="2306"/>
      <c r="L315" s="2306"/>
      <c r="M315" s="2306"/>
      <c r="N315" s="74"/>
      <c r="O315" s="74"/>
      <c r="P315" s="76"/>
      <c r="Q315" s="76"/>
      <c r="R315" s="76"/>
      <c r="S315" s="72"/>
      <c r="T315" s="72" t="s">
        <v>425</v>
      </c>
      <c r="V315" s="72"/>
      <c r="W315" s="72"/>
      <c r="X315" s="72"/>
      <c r="Y315" s="72"/>
      <c r="AA315" s="2306"/>
      <c r="AB315" s="2306"/>
      <c r="AC315" s="2306"/>
      <c r="AD315" s="2306"/>
      <c r="AE315" s="2306"/>
      <c r="AF315" s="2306"/>
      <c r="AG315" s="74"/>
      <c r="AH315" s="74"/>
      <c r="AI315" s="76"/>
      <c r="AJ315" s="76"/>
      <c r="AK315" s="76"/>
      <c r="BA315" s="75"/>
    </row>
    <row r="316" spans="2:53" ht="12.75">
      <c r="B316" s="72" t="s">
        <v>775</v>
      </c>
      <c r="C316" s="72"/>
      <c r="D316" s="72"/>
      <c r="E316" s="72"/>
      <c r="F316" s="72"/>
      <c r="G316" s="72"/>
      <c r="H316" s="2436" t="s">
        <v>2336</v>
      </c>
      <c r="I316" s="2436"/>
      <c r="J316" s="2436"/>
      <c r="K316" s="2436"/>
      <c r="L316" s="2436"/>
      <c r="M316" s="2436"/>
      <c r="N316" s="2312"/>
      <c r="O316" s="2312"/>
      <c r="P316" s="2312"/>
      <c r="Q316" s="2312"/>
      <c r="R316" s="2312"/>
      <c r="S316" s="72"/>
      <c r="T316" s="72" t="s">
        <v>775</v>
      </c>
      <c r="V316" s="72"/>
      <c r="W316" s="72"/>
      <c r="X316" s="72"/>
      <c r="Y316" s="72"/>
      <c r="AA316" s="2436"/>
      <c r="AB316" s="2436"/>
      <c r="AC316" s="2436"/>
      <c r="AD316" s="2436"/>
      <c r="AE316" s="2436"/>
      <c r="AF316" s="2436"/>
      <c r="AG316" s="2312"/>
      <c r="AH316" s="2312"/>
      <c r="AI316" s="2312"/>
      <c r="AJ316" s="2312"/>
      <c r="AK316" s="2312"/>
      <c r="BA316" s="75"/>
    </row>
    <row r="317" spans="2:53" ht="12.75">
      <c r="BA317" s="75"/>
    </row>
    <row r="318" spans="2:53" ht="12.75">
      <c r="B318" s="8" t="s">
        <v>1295</v>
      </c>
      <c r="C318" s="72"/>
      <c r="D318" s="72"/>
      <c r="E318" s="72"/>
      <c r="F318" s="72"/>
      <c r="H318" s="2312" t="s">
        <v>2330</v>
      </c>
      <c r="I318" s="2312"/>
      <c r="J318" s="2312"/>
      <c r="K318" s="2312"/>
      <c r="L318" s="2312"/>
      <c r="M318" s="2312"/>
      <c r="N318" s="2312"/>
      <c r="O318" s="2312"/>
      <c r="P318" s="2312"/>
      <c r="Q318" s="2312"/>
      <c r="R318" s="2312"/>
      <c r="T318" s="72" t="s">
        <v>41</v>
      </c>
      <c r="V318" s="72"/>
      <c r="W318" s="72"/>
      <c r="X318" s="72"/>
      <c r="Y318" s="72"/>
      <c r="AA318" s="2312" t="s">
        <v>2341</v>
      </c>
      <c r="AB318" s="2312"/>
      <c r="AC318" s="2312"/>
      <c r="AD318" s="2312"/>
      <c r="AE318" s="2312"/>
      <c r="AF318" s="2312"/>
      <c r="AG318" s="2312"/>
      <c r="AH318" s="2312"/>
      <c r="AI318" s="2312"/>
      <c r="AJ318" s="2312"/>
      <c r="AK318" s="2312"/>
      <c r="BA318" s="75"/>
    </row>
    <row r="319" spans="2:53" ht="12.75" customHeight="1">
      <c r="B319" s="72" t="s">
        <v>772</v>
      </c>
      <c r="C319" s="72"/>
      <c r="D319" s="72"/>
      <c r="E319" s="72"/>
      <c r="F319" s="72"/>
      <c r="H319" s="2436" t="s">
        <v>2331</v>
      </c>
      <c r="I319" s="2436"/>
      <c r="J319" s="2436"/>
      <c r="K319" s="2436"/>
      <c r="L319" s="2436"/>
      <c r="M319" s="2436"/>
      <c r="N319" s="2436"/>
      <c r="O319" s="2436"/>
      <c r="P319" s="2436"/>
      <c r="Q319" s="2436"/>
      <c r="R319" s="2436"/>
      <c r="T319" s="72" t="s">
        <v>772</v>
      </c>
      <c r="V319" s="72"/>
      <c r="W319" s="72"/>
      <c r="X319" s="72"/>
      <c r="Y319" s="72"/>
      <c r="AA319" s="2436" t="s">
        <v>2342</v>
      </c>
      <c r="AB319" s="2436"/>
      <c r="AC319" s="2436"/>
      <c r="AD319" s="2436"/>
      <c r="AE319" s="2436"/>
      <c r="AF319" s="2436"/>
      <c r="AG319" s="2436"/>
      <c r="AH319" s="2436"/>
      <c r="AI319" s="2436"/>
      <c r="AJ319" s="2436"/>
      <c r="AK319" s="2436"/>
      <c r="BA319" s="75"/>
    </row>
    <row r="320" spans="2:53" ht="12.75" customHeight="1">
      <c r="B320" s="72" t="s">
        <v>774</v>
      </c>
      <c r="C320" s="72"/>
      <c r="D320" s="72"/>
      <c r="E320" s="72"/>
      <c r="F320" s="72"/>
      <c r="H320" s="2436" t="s">
        <v>2332</v>
      </c>
      <c r="I320" s="2436"/>
      <c r="J320" s="2436"/>
      <c r="K320" s="2436"/>
      <c r="L320" s="2436"/>
      <c r="M320" s="2436"/>
      <c r="N320" s="2436"/>
      <c r="O320" s="2436"/>
      <c r="P320" s="2436"/>
      <c r="Q320" s="2436"/>
      <c r="R320" s="2436"/>
      <c r="T320" s="72" t="s">
        <v>773</v>
      </c>
      <c r="V320" s="72"/>
      <c r="W320" s="72"/>
      <c r="X320" s="72"/>
      <c r="Y320" s="72"/>
      <c r="AA320" s="2436" t="s">
        <v>2343</v>
      </c>
      <c r="AB320" s="2436"/>
      <c r="AC320" s="2436"/>
      <c r="AD320" s="2436"/>
      <c r="AE320" s="2436"/>
      <c r="AF320" s="2436"/>
      <c r="AG320" s="2436"/>
      <c r="AH320" s="2436"/>
      <c r="AI320" s="2436"/>
      <c r="AJ320" s="2436"/>
      <c r="AK320" s="2436"/>
      <c r="BA320" s="75"/>
    </row>
    <row r="321" spans="1:53" ht="12.75" customHeight="1">
      <c r="A321" s="50"/>
      <c r="B321" s="72" t="s">
        <v>423</v>
      </c>
      <c r="C321" s="72"/>
      <c r="D321" s="72"/>
      <c r="E321" s="72"/>
      <c r="F321" s="72"/>
      <c r="H321" s="2436" t="s">
        <v>2337</v>
      </c>
      <c r="I321" s="2436"/>
      <c r="J321" s="2436"/>
      <c r="K321" s="2436"/>
      <c r="L321" s="2436"/>
      <c r="M321" s="2436"/>
      <c r="N321" s="2436"/>
      <c r="O321" s="2436"/>
      <c r="P321" s="2436"/>
      <c r="Q321" s="2436"/>
      <c r="R321" s="2436"/>
      <c r="T321" s="72" t="s">
        <v>423</v>
      </c>
      <c r="V321" s="72"/>
      <c r="W321" s="72"/>
      <c r="X321" s="72"/>
      <c r="Y321" s="72"/>
      <c r="AA321" s="2436" t="s">
        <v>2344</v>
      </c>
      <c r="AB321" s="2436"/>
      <c r="AC321" s="2436"/>
      <c r="AD321" s="2436"/>
      <c r="AE321" s="2436"/>
      <c r="AF321" s="2436"/>
      <c r="AG321" s="2436"/>
      <c r="AH321" s="2436"/>
      <c r="AI321" s="2436"/>
      <c r="AJ321" s="2436"/>
      <c r="AK321" s="2436"/>
      <c r="AL321" s="50"/>
      <c r="BA321" s="75"/>
    </row>
    <row r="322" spans="1:53" ht="12.75" customHeight="1">
      <c r="A322" s="50"/>
      <c r="B322" s="72" t="s">
        <v>424</v>
      </c>
      <c r="C322" s="72"/>
      <c r="D322" s="72"/>
      <c r="E322" s="72"/>
      <c r="F322" s="72"/>
      <c r="G322" s="72"/>
      <c r="H322" s="2308" t="s">
        <v>2338</v>
      </c>
      <c r="I322" s="2308"/>
      <c r="J322" s="2308"/>
      <c r="K322" s="2308"/>
      <c r="L322" s="2308"/>
      <c r="M322" s="2308"/>
      <c r="N322" s="8" t="s">
        <v>907</v>
      </c>
      <c r="O322" s="8"/>
      <c r="P322" s="2310"/>
      <c r="Q322" s="2310"/>
      <c r="R322" s="2310"/>
      <c r="S322" s="72"/>
      <c r="T322" s="72" t="s">
        <v>424</v>
      </c>
      <c r="V322" s="72"/>
      <c r="W322" s="72"/>
      <c r="X322" s="72"/>
      <c r="Y322" s="72"/>
      <c r="AA322" s="2308" t="s">
        <v>2346</v>
      </c>
      <c r="AB322" s="2308"/>
      <c r="AC322" s="2308"/>
      <c r="AD322" s="2308"/>
      <c r="AE322" s="2308"/>
      <c r="AF322" s="2308"/>
      <c r="AG322" s="8" t="s">
        <v>907</v>
      </c>
      <c r="AH322" s="8"/>
      <c r="AI322" s="2310"/>
      <c r="AJ322" s="2310"/>
      <c r="AK322" s="2310"/>
      <c r="AL322" s="50"/>
      <c r="BA322" s="75"/>
    </row>
    <row r="323" spans="1:53" ht="12.75">
      <c r="A323" s="50"/>
      <c r="B323" s="72" t="s">
        <v>425</v>
      </c>
      <c r="C323" s="72"/>
      <c r="D323" s="72"/>
      <c r="E323" s="72"/>
      <c r="F323" s="72"/>
      <c r="G323" s="72"/>
      <c r="H323" s="2306" t="s">
        <v>2339</v>
      </c>
      <c r="I323" s="2306"/>
      <c r="J323" s="2306"/>
      <c r="K323" s="2306"/>
      <c r="L323" s="2306"/>
      <c r="M323" s="2306"/>
      <c r="N323" s="74"/>
      <c r="O323" s="74"/>
      <c r="P323" s="76"/>
      <c r="Q323" s="76"/>
      <c r="R323" s="76"/>
      <c r="S323" s="72"/>
      <c r="T323" s="72" t="s">
        <v>425</v>
      </c>
      <c r="V323" s="72"/>
      <c r="W323" s="72"/>
      <c r="X323" s="72"/>
      <c r="Y323" s="72"/>
      <c r="AA323" s="2306"/>
      <c r="AB323" s="2306"/>
      <c r="AC323" s="2306"/>
      <c r="AD323" s="2306"/>
      <c r="AE323" s="2306"/>
      <c r="AF323" s="2306"/>
      <c r="AG323" s="74"/>
      <c r="AH323" s="74"/>
      <c r="AI323" s="76"/>
      <c r="AJ323" s="76"/>
      <c r="AK323" s="76"/>
      <c r="AL323" s="50"/>
      <c r="BA323" s="75"/>
    </row>
    <row r="324" spans="1:53" ht="12.75">
      <c r="A324" s="50"/>
      <c r="B324" s="72" t="s">
        <v>775</v>
      </c>
      <c r="C324" s="72"/>
      <c r="D324" s="72"/>
      <c r="E324" s="72"/>
      <c r="F324" s="72"/>
      <c r="G324" s="72"/>
      <c r="H324" s="2436" t="s">
        <v>2340</v>
      </c>
      <c r="I324" s="2436"/>
      <c r="J324" s="2436"/>
      <c r="K324" s="2436"/>
      <c r="L324" s="2436"/>
      <c r="M324" s="2436"/>
      <c r="N324" s="2312"/>
      <c r="O324" s="2312"/>
      <c r="P324" s="2312"/>
      <c r="Q324" s="2312"/>
      <c r="R324" s="2312"/>
      <c r="S324" s="72"/>
      <c r="T324" s="72" t="s">
        <v>775</v>
      </c>
      <c r="V324" s="72"/>
      <c r="W324" s="72"/>
      <c r="X324" s="72"/>
      <c r="Y324" s="72"/>
      <c r="AA324" s="2436" t="s">
        <v>2345</v>
      </c>
      <c r="AB324" s="2436"/>
      <c r="AC324" s="2436"/>
      <c r="AD324" s="2436"/>
      <c r="AE324" s="2436"/>
      <c r="AF324" s="2436"/>
      <c r="AG324" s="2312"/>
      <c r="AH324" s="2312"/>
      <c r="AI324" s="2312"/>
      <c r="AJ324" s="2312"/>
      <c r="AK324" s="2312"/>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2312"/>
      <c r="I326" s="2312"/>
      <c r="J326" s="2312"/>
      <c r="K326" s="2312"/>
      <c r="L326" s="2312"/>
      <c r="M326" s="2312"/>
      <c r="N326" s="2312"/>
      <c r="O326" s="2312"/>
      <c r="P326" s="2312"/>
      <c r="Q326" s="2312"/>
      <c r="R326" s="2312"/>
      <c r="T326" s="72" t="s">
        <v>42</v>
      </c>
      <c r="V326" s="72"/>
      <c r="W326" s="72"/>
      <c r="X326" s="72"/>
      <c r="Y326" s="72"/>
      <c r="AA326" s="2312" t="s">
        <v>2347</v>
      </c>
      <c r="AB326" s="2312"/>
      <c r="AC326" s="2312"/>
      <c r="AD326" s="2312"/>
      <c r="AE326" s="2312"/>
      <c r="AF326" s="2312"/>
      <c r="AG326" s="2312"/>
      <c r="AH326" s="2312"/>
      <c r="AI326" s="2312"/>
      <c r="AJ326" s="2312"/>
      <c r="AK326" s="2312"/>
      <c r="AL326" s="50"/>
      <c r="BA326" s="75"/>
    </row>
    <row r="327" spans="1:53" ht="12.75">
      <c r="A327" s="50"/>
      <c r="B327" s="72" t="s">
        <v>772</v>
      </c>
      <c r="C327" s="72"/>
      <c r="D327" s="72"/>
      <c r="E327" s="72"/>
      <c r="F327" s="72"/>
      <c r="H327" s="2436"/>
      <c r="I327" s="2436"/>
      <c r="J327" s="2436"/>
      <c r="K327" s="2436"/>
      <c r="L327" s="2436"/>
      <c r="M327" s="2436"/>
      <c r="N327" s="2436"/>
      <c r="O327" s="2436"/>
      <c r="P327" s="2436"/>
      <c r="Q327" s="2436"/>
      <c r="R327" s="2436"/>
      <c r="T327" s="72" t="s">
        <v>772</v>
      </c>
      <c r="V327" s="72"/>
      <c r="W327" s="72"/>
      <c r="X327" s="72"/>
      <c r="Y327" s="72"/>
      <c r="AA327" s="2436" t="s">
        <v>2348</v>
      </c>
      <c r="AB327" s="2436"/>
      <c r="AC327" s="2436"/>
      <c r="AD327" s="2436"/>
      <c r="AE327" s="2436"/>
      <c r="AF327" s="2436"/>
      <c r="AG327" s="2436"/>
      <c r="AH327" s="2436"/>
      <c r="AI327" s="2436"/>
      <c r="AJ327" s="2436"/>
      <c r="AK327" s="2436"/>
      <c r="AL327" s="50"/>
      <c r="BA327" s="75"/>
    </row>
    <row r="328" spans="1:53" ht="12.75">
      <c r="A328" s="50"/>
      <c r="B328" s="72" t="s">
        <v>774</v>
      </c>
      <c r="C328" s="72"/>
      <c r="D328" s="72"/>
      <c r="E328" s="72"/>
      <c r="F328" s="72"/>
      <c r="H328" s="2436"/>
      <c r="I328" s="2436"/>
      <c r="J328" s="2436"/>
      <c r="K328" s="2436"/>
      <c r="L328" s="2436"/>
      <c r="M328" s="2436"/>
      <c r="N328" s="2436"/>
      <c r="O328" s="2436"/>
      <c r="P328" s="2436"/>
      <c r="Q328" s="2436"/>
      <c r="R328" s="2436"/>
      <c r="T328" s="72" t="s">
        <v>773</v>
      </c>
      <c r="V328" s="72"/>
      <c r="W328" s="72"/>
      <c r="X328" s="72"/>
      <c r="Y328" s="72"/>
      <c r="AA328" s="2436" t="s">
        <v>2349</v>
      </c>
      <c r="AB328" s="2436"/>
      <c r="AC328" s="2436"/>
      <c r="AD328" s="2436"/>
      <c r="AE328" s="2436"/>
      <c r="AF328" s="2436"/>
      <c r="AG328" s="2436"/>
      <c r="AH328" s="2436"/>
      <c r="AI328" s="2436"/>
      <c r="AJ328" s="2436"/>
      <c r="AK328" s="2436"/>
      <c r="AL328" s="50"/>
      <c r="BA328" s="75"/>
    </row>
    <row r="329" spans="1:53" ht="12.75">
      <c r="A329" s="50"/>
      <c r="B329" s="72" t="s">
        <v>423</v>
      </c>
      <c r="C329" s="72"/>
      <c r="D329" s="72"/>
      <c r="E329" s="72"/>
      <c r="F329" s="72"/>
      <c r="H329" s="2436"/>
      <c r="I329" s="2436"/>
      <c r="J329" s="2436"/>
      <c r="K329" s="2436"/>
      <c r="L329" s="2436"/>
      <c r="M329" s="2436"/>
      <c r="N329" s="2436"/>
      <c r="O329" s="2436"/>
      <c r="P329" s="2436"/>
      <c r="Q329" s="2436"/>
      <c r="R329" s="2436"/>
      <c r="T329" s="72" t="s">
        <v>423</v>
      </c>
      <c r="V329" s="72"/>
      <c r="W329" s="72"/>
      <c r="X329" s="72"/>
      <c r="Y329" s="72"/>
      <c r="AA329" s="2436" t="s">
        <v>2350</v>
      </c>
      <c r="AB329" s="2436"/>
      <c r="AC329" s="2436"/>
      <c r="AD329" s="2436"/>
      <c r="AE329" s="2436"/>
      <c r="AF329" s="2436"/>
      <c r="AG329" s="2436"/>
      <c r="AH329" s="2436"/>
      <c r="AI329" s="2436"/>
      <c r="AJ329" s="2436"/>
      <c r="AK329" s="2436"/>
      <c r="AL329" s="50"/>
      <c r="BA329" s="75"/>
    </row>
    <row r="330" spans="1:53" ht="12.75">
      <c r="A330" s="50"/>
      <c r="B330" s="72" t="s">
        <v>424</v>
      </c>
      <c r="C330" s="72"/>
      <c r="D330" s="72"/>
      <c r="E330" s="72"/>
      <c r="F330" s="72"/>
      <c r="G330" s="72"/>
      <c r="H330" s="2308"/>
      <c r="I330" s="2308"/>
      <c r="J330" s="2308"/>
      <c r="K330" s="2308"/>
      <c r="L330" s="2308"/>
      <c r="M330" s="2308"/>
      <c r="N330" s="8" t="s">
        <v>907</v>
      </c>
      <c r="O330" s="8"/>
      <c r="P330" s="2310"/>
      <c r="Q330" s="2310"/>
      <c r="R330" s="2310"/>
      <c r="S330" s="72"/>
      <c r="T330" s="72" t="s">
        <v>424</v>
      </c>
      <c r="V330" s="72"/>
      <c r="W330" s="72"/>
      <c r="X330" s="72"/>
      <c r="Y330" s="72"/>
      <c r="AA330" s="2308" t="s">
        <v>2351</v>
      </c>
      <c r="AB330" s="2308"/>
      <c r="AC330" s="2308"/>
      <c r="AD330" s="2308"/>
      <c r="AE330" s="2308"/>
      <c r="AF330" s="2308"/>
      <c r="AG330" s="8" t="s">
        <v>907</v>
      </c>
      <c r="AH330" s="8"/>
      <c r="AI330" s="2310"/>
      <c r="AJ330" s="2310"/>
      <c r="AK330" s="2310"/>
      <c r="AL330" s="50"/>
      <c r="BA330" s="75"/>
    </row>
    <row r="331" spans="1:53" ht="12.75">
      <c r="A331" s="50"/>
      <c r="B331" s="72" t="s">
        <v>425</v>
      </c>
      <c r="C331" s="72"/>
      <c r="D331" s="72"/>
      <c r="E331" s="72"/>
      <c r="F331" s="72"/>
      <c r="G331" s="72"/>
      <c r="H331" s="2306"/>
      <c r="I331" s="2306"/>
      <c r="J331" s="2306"/>
      <c r="K331" s="2306"/>
      <c r="L331" s="2306"/>
      <c r="M331" s="2306"/>
      <c r="N331" s="74"/>
      <c r="O331" s="74"/>
      <c r="P331" s="76"/>
      <c r="Q331" s="76"/>
      <c r="R331" s="76"/>
      <c r="S331" s="72"/>
      <c r="T331" s="72" t="s">
        <v>425</v>
      </c>
      <c r="V331" s="72"/>
      <c r="W331" s="72"/>
      <c r="X331" s="72"/>
      <c r="Y331" s="72"/>
      <c r="AA331" s="2306" t="s">
        <v>2352</v>
      </c>
      <c r="AB331" s="2306"/>
      <c r="AC331" s="2306"/>
      <c r="AD331" s="2306"/>
      <c r="AE331" s="2306"/>
      <c r="AF331" s="2306"/>
      <c r="AG331" s="74"/>
      <c r="AH331" s="74"/>
      <c r="AI331" s="76"/>
      <c r="AJ331" s="76"/>
      <c r="AK331" s="76"/>
      <c r="AL331" s="50"/>
      <c r="BA331" s="75"/>
    </row>
    <row r="332" spans="1:53" ht="12.75" customHeight="1">
      <c r="A332" s="50"/>
      <c r="B332" s="72" t="s">
        <v>775</v>
      </c>
      <c r="C332" s="72"/>
      <c r="D332" s="72"/>
      <c r="E332" s="72"/>
      <c r="F332" s="72"/>
      <c r="G332" s="72"/>
      <c r="H332" s="2436"/>
      <c r="I332" s="2436"/>
      <c r="J332" s="2436"/>
      <c r="K332" s="2436"/>
      <c r="L332" s="2436"/>
      <c r="M332" s="2436"/>
      <c r="N332" s="2312"/>
      <c r="O332" s="2312"/>
      <c r="P332" s="2312"/>
      <c r="Q332" s="2312"/>
      <c r="R332" s="2312"/>
      <c r="S332" s="72"/>
      <c r="T332" s="72" t="s">
        <v>775</v>
      </c>
      <c r="V332" s="72"/>
      <c r="W332" s="72"/>
      <c r="X332" s="72"/>
      <c r="Y332" s="72"/>
      <c r="AA332" s="2436" t="s">
        <v>2353</v>
      </c>
      <c r="AB332" s="2436"/>
      <c r="AC332" s="2436"/>
      <c r="AD332" s="2436"/>
      <c r="AE332" s="2436"/>
      <c r="AF332" s="2436"/>
      <c r="AG332" s="2312"/>
      <c r="AH332" s="2312"/>
      <c r="AI332" s="2312"/>
      <c r="AJ332" s="2312"/>
      <c r="AK332" s="2312"/>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2312"/>
      <c r="I334" s="2312"/>
      <c r="J334" s="2312"/>
      <c r="K334" s="2312"/>
      <c r="L334" s="2312"/>
      <c r="M334" s="2312"/>
      <c r="N334" s="2312"/>
      <c r="O334" s="2312"/>
      <c r="P334" s="2312"/>
      <c r="Q334" s="2312"/>
      <c r="R334" s="2312"/>
      <c r="S334" s="757"/>
      <c r="T334" s="680" t="s">
        <v>1249</v>
      </c>
      <c r="V334" s="72"/>
      <c r="W334" s="72"/>
      <c r="X334" s="72"/>
      <c r="Y334" s="72"/>
      <c r="AA334" s="2312" t="s">
        <v>2354</v>
      </c>
      <c r="AB334" s="2312"/>
      <c r="AC334" s="2312"/>
      <c r="AD334" s="2312"/>
      <c r="AE334" s="2312"/>
      <c r="AF334" s="2312"/>
      <c r="AG334" s="2312"/>
      <c r="AH334" s="2312"/>
      <c r="AI334" s="2312"/>
      <c r="AJ334" s="2312"/>
      <c r="AK334" s="2312"/>
      <c r="AL334" s="50"/>
      <c r="BA334" s="75"/>
    </row>
    <row r="335" spans="1:53" ht="12.75">
      <c r="B335" s="72" t="s">
        <v>772</v>
      </c>
      <c r="C335" s="72"/>
      <c r="D335" s="72"/>
      <c r="E335" s="72"/>
      <c r="F335" s="72"/>
      <c r="H335" s="2436"/>
      <c r="I335" s="2436"/>
      <c r="J335" s="2436"/>
      <c r="K335" s="2436"/>
      <c r="L335" s="2436"/>
      <c r="M335" s="2436"/>
      <c r="N335" s="2436"/>
      <c r="O335" s="2436"/>
      <c r="P335" s="2436"/>
      <c r="Q335" s="2436"/>
      <c r="R335" s="2436"/>
      <c r="S335" s="757"/>
      <c r="T335" s="72" t="s">
        <v>772</v>
      </c>
      <c r="V335" s="72"/>
      <c r="W335" s="72"/>
      <c r="X335" s="72"/>
      <c r="Y335" s="72"/>
      <c r="AA335" s="2436" t="s">
        <v>2355</v>
      </c>
      <c r="AB335" s="2436"/>
      <c r="AC335" s="2436"/>
      <c r="AD335" s="2436"/>
      <c r="AE335" s="2436"/>
      <c r="AF335" s="2436"/>
      <c r="AG335" s="2436"/>
      <c r="AH335" s="2436"/>
      <c r="AI335" s="2436"/>
      <c r="AJ335" s="2436"/>
      <c r="AK335" s="2436"/>
      <c r="AL335" s="50"/>
      <c r="BA335" s="75"/>
    </row>
    <row r="336" spans="1:53" ht="12.75">
      <c r="B336" s="72" t="s">
        <v>774</v>
      </c>
      <c r="C336" s="72"/>
      <c r="D336" s="72"/>
      <c r="E336" s="72"/>
      <c r="F336" s="72"/>
      <c r="G336" s="72"/>
      <c r="H336" s="2436"/>
      <c r="I336" s="2436"/>
      <c r="J336" s="2436"/>
      <c r="K336" s="2436"/>
      <c r="L336" s="2436"/>
      <c r="M336" s="2436"/>
      <c r="N336" s="2436"/>
      <c r="O336" s="2436"/>
      <c r="P336" s="2436"/>
      <c r="Q336" s="2436"/>
      <c r="R336" s="2436"/>
      <c r="S336" s="757"/>
      <c r="T336" s="72" t="s">
        <v>773</v>
      </c>
      <c r="V336" s="72"/>
      <c r="W336" s="72"/>
      <c r="X336" s="72"/>
      <c r="Y336" s="72"/>
      <c r="AA336" s="2436" t="s">
        <v>2356</v>
      </c>
      <c r="AB336" s="2436"/>
      <c r="AC336" s="2436"/>
      <c r="AD336" s="2436"/>
      <c r="AE336" s="2436"/>
      <c r="AF336" s="2436"/>
      <c r="AG336" s="2436"/>
      <c r="AH336" s="2436"/>
      <c r="AI336" s="2436"/>
      <c r="AJ336" s="2436"/>
      <c r="AK336" s="2436"/>
      <c r="AL336" s="50"/>
      <c r="BA336" s="75"/>
    </row>
    <row r="337" spans="1:53" ht="12.75">
      <c r="A337" s="50"/>
      <c r="B337" s="72" t="s">
        <v>423</v>
      </c>
      <c r="C337" s="72"/>
      <c r="D337" s="72"/>
      <c r="E337" s="72"/>
      <c r="F337" s="72"/>
      <c r="H337" s="2436"/>
      <c r="I337" s="2436"/>
      <c r="J337" s="2436"/>
      <c r="K337" s="2436"/>
      <c r="L337" s="2436"/>
      <c r="M337" s="2436"/>
      <c r="N337" s="2436"/>
      <c r="O337" s="2436"/>
      <c r="P337" s="2436"/>
      <c r="Q337" s="2436"/>
      <c r="R337" s="2436"/>
      <c r="S337" s="757"/>
      <c r="T337" s="72" t="s">
        <v>423</v>
      </c>
      <c r="V337" s="72"/>
      <c r="W337" s="72"/>
      <c r="X337" s="72"/>
      <c r="Y337" s="72"/>
      <c r="AA337" s="2436" t="s">
        <v>2357</v>
      </c>
      <c r="AB337" s="2436"/>
      <c r="AC337" s="2436"/>
      <c r="AD337" s="2436"/>
      <c r="AE337" s="2436"/>
      <c r="AF337" s="2436"/>
      <c r="AG337" s="2436"/>
      <c r="AH337" s="2436"/>
      <c r="AI337" s="2436"/>
      <c r="AJ337" s="2436"/>
      <c r="AK337" s="2436"/>
      <c r="AL337" s="50"/>
      <c r="BA337" s="75"/>
    </row>
    <row r="338" spans="1:53" ht="12.75">
      <c r="A338" s="50"/>
      <c r="B338" s="72" t="s">
        <v>424</v>
      </c>
      <c r="C338" s="72"/>
      <c r="D338" s="72"/>
      <c r="E338" s="72"/>
      <c r="F338" s="72"/>
      <c r="G338" s="72"/>
      <c r="H338" s="2308"/>
      <c r="I338" s="2308"/>
      <c r="J338" s="2308"/>
      <c r="K338" s="2308"/>
      <c r="L338" s="2308"/>
      <c r="M338" s="2308"/>
      <c r="N338" s="8" t="s">
        <v>907</v>
      </c>
      <c r="O338" s="8"/>
      <c r="P338" s="2310"/>
      <c r="Q338" s="2310"/>
      <c r="R338" s="2310"/>
      <c r="S338" s="3"/>
      <c r="T338" s="72" t="s">
        <v>424</v>
      </c>
      <c r="V338" s="72"/>
      <c r="W338" s="72"/>
      <c r="X338" s="72"/>
      <c r="Y338" s="72"/>
      <c r="AA338" s="2308" t="s">
        <v>2358</v>
      </c>
      <c r="AB338" s="2308"/>
      <c r="AC338" s="2308"/>
      <c r="AD338" s="2308"/>
      <c r="AE338" s="2308"/>
      <c r="AF338" s="2308"/>
      <c r="AG338" s="8" t="s">
        <v>907</v>
      </c>
      <c r="AH338" s="8"/>
      <c r="AI338" s="2310">
        <v>418</v>
      </c>
      <c r="AJ338" s="2310"/>
      <c r="AK338" s="2310"/>
      <c r="AL338" s="50"/>
      <c r="BA338" s="75"/>
    </row>
    <row r="339" spans="1:53" ht="12.75">
      <c r="A339" s="50"/>
      <c r="B339" s="72" t="s">
        <v>425</v>
      </c>
      <c r="C339" s="72"/>
      <c r="D339" s="72"/>
      <c r="E339" s="72"/>
      <c r="F339" s="72"/>
      <c r="G339" s="72"/>
      <c r="H339" s="2306"/>
      <c r="I339" s="2306"/>
      <c r="J339" s="2306"/>
      <c r="K339" s="2306"/>
      <c r="L339" s="2306"/>
      <c r="M339" s="2306"/>
      <c r="N339" s="74"/>
      <c r="O339" s="74"/>
      <c r="P339" s="76"/>
      <c r="Q339" s="76"/>
      <c r="R339" s="76"/>
      <c r="S339" s="3"/>
      <c r="T339" s="72" t="s">
        <v>425</v>
      </c>
      <c r="V339" s="72"/>
      <c r="W339" s="72"/>
      <c r="X339" s="72"/>
      <c r="Y339" s="72"/>
      <c r="AA339" s="2306"/>
      <c r="AB339" s="2306"/>
      <c r="AC339" s="2306"/>
      <c r="AD339" s="2306"/>
      <c r="AE339" s="2306"/>
      <c r="AF339" s="2306"/>
      <c r="AG339" s="74"/>
      <c r="AH339" s="74"/>
      <c r="AI339" s="76"/>
      <c r="AJ339" s="76"/>
      <c r="AK339" s="76"/>
      <c r="AL339" s="50"/>
      <c r="BA339" s="75"/>
    </row>
    <row r="340" spans="1:53" ht="12.75">
      <c r="A340" s="50"/>
      <c r="B340" s="72" t="s">
        <v>775</v>
      </c>
      <c r="C340" s="72"/>
      <c r="D340" s="72"/>
      <c r="E340" s="72"/>
      <c r="F340" s="72"/>
      <c r="G340" s="72"/>
      <c r="H340" s="2436"/>
      <c r="I340" s="2436"/>
      <c r="J340" s="2436"/>
      <c r="K340" s="2436"/>
      <c r="L340" s="2436"/>
      <c r="M340" s="2436"/>
      <c r="N340" s="2312"/>
      <c r="O340" s="2312"/>
      <c r="P340" s="2312"/>
      <c r="Q340" s="2312"/>
      <c r="R340" s="2312"/>
      <c r="S340" s="757"/>
      <c r="T340" s="72" t="s">
        <v>775</v>
      </c>
      <c r="V340" s="72"/>
      <c r="W340" s="72"/>
      <c r="X340" s="72"/>
      <c r="Y340" s="72"/>
      <c r="AA340" s="2436" t="s">
        <v>2359</v>
      </c>
      <c r="AB340" s="2436"/>
      <c r="AC340" s="2436"/>
      <c r="AD340" s="2436"/>
      <c r="AE340" s="2436"/>
      <c r="AF340" s="2436"/>
      <c r="AG340" s="2312"/>
      <c r="AH340" s="2312"/>
      <c r="AI340" s="2312"/>
      <c r="AJ340" s="2312"/>
      <c r="AK340" s="2312"/>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2312"/>
      <c r="I342" s="2312"/>
      <c r="J342" s="2312"/>
      <c r="K342" s="2312"/>
      <c r="L342" s="2312"/>
      <c r="M342" s="2312"/>
      <c r="N342" s="2312"/>
      <c r="O342" s="2312"/>
      <c r="P342" s="2312"/>
      <c r="Q342" s="2312"/>
      <c r="R342" s="2312"/>
      <c r="T342" s="624" t="s">
        <v>1294</v>
      </c>
      <c r="AA342" s="2312" t="s">
        <v>2360</v>
      </c>
      <c r="AB342" s="2312"/>
      <c r="AC342" s="2312"/>
      <c r="AD342" s="2312"/>
      <c r="AE342" s="2312"/>
      <c r="AF342" s="2312"/>
      <c r="AG342" s="2312"/>
      <c r="AH342" s="2312"/>
      <c r="AI342" s="2312"/>
      <c r="AJ342" s="2312"/>
      <c r="AK342" s="2312"/>
      <c r="AL342" s="50"/>
      <c r="BA342" s="75"/>
    </row>
    <row r="343" spans="1:53" ht="12.75">
      <c r="A343" s="50"/>
      <c r="B343" s="624" t="s">
        <v>772</v>
      </c>
      <c r="C343" s="624"/>
      <c r="D343" s="624"/>
      <c r="E343" s="624"/>
      <c r="F343" s="624"/>
      <c r="G343" s="625"/>
      <c r="H343" s="2436"/>
      <c r="I343" s="2436"/>
      <c r="J343" s="2436"/>
      <c r="K343" s="2436"/>
      <c r="L343" s="2436"/>
      <c r="M343" s="2436"/>
      <c r="N343" s="2436"/>
      <c r="O343" s="2436"/>
      <c r="P343" s="2436"/>
      <c r="Q343" s="2436"/>
      <c r="R343" s="2436"/>
      <c r="T343" s="72" t="s">
        <v>772</v>
      </c>
      <c r="AA343" s="2436" t="s">
        <v>2361</v>
      </c>
      <c r="AB343" s="2436"/>
      <c r="AC343" s="2436"/>
      <c r="AD343" s="2436"/>
      <c r="AE343" s="2436"/>
      <c r="AF343" s="2436"/>
      <c r="AG343" s="2436"/>
      <c r="AH343" s="2436"/>
      <c r="AI343" s="2436"/>
      <c r="AJ343" s="2436"/>
      <c r="AK343" s="2436"/>
      <c r="AL343" s="50"/>
    </row>
    <row r="344" spans="1:53" ht="12.75">
      <c r="A344" s="50"/>
      <c r="B344" s="624" t="s">
        <v>774</v>
      </c>
      <c r="C344" s="624"/>
      <c r="D344" s="624"/>
      <c r="E344" s="624"/>
      <c r="F344" s="624"/>
      <c r="G344" s="624"/>
      <c r="H344" s="2436"/>
      <c r="I344" s="2436"/>
      <c r="J344" s="2436"/>
      <c r="K344" s="2436"/>
      <c r="L344" s="2436"/>
      <c r="M344" s="2436"/>
      <c r="N344" s="2436"/>
      <c r="O344" s="2436"/>
      <c r="P344" s="2436"/>
      <c r="Q344" s="2436"/>
      <c r="R344" s="2436"/>
      <c r="T344" s="72" t="s">
        <v>773</v>
      </c>
      <c r="AA344" s="2436" t="s">
        <v>2362</v>
      </c>
      <c r="AB344" s="2436"/>
      <c r="AC344" s="2436"/>
      <c r="AD344" s="2436"/>
      <c r="AE344" s="2436"/>
      <c r="AF344" s="2436"/>
      <c r="AG344" s="2436"/>
      <c r="AH344" s="2436"/>
      <c r="AI344" s="2436"/>
      <c r="AJ344" s="2436"/>
      <c r="AK344" s="2436"/>
      <c r="AL344" s="50"/>
    </row>
    <row r="345" spans="1:53" ht="12.75">
      <c r="A345" s="50"/>
      <c r="B345" s="624" t="s">
        <v>423</v>
      </c>
      <c r="C345" s="624"/>
      <c r="D345" s="624"/>
      <c r="E345" s="624"/>
      <c r="F345" s="624"/>
      <c r="G345" s="625"/>
      <c r="H345" s="2436"/>
      <c r="I345" s="2436"/>
      <c r="J345" s="2436"/>
      <c r="K345" s="2436"/>
      <c r="L345" s="2436"/>
      <c r="M345" s="2436"/>
      <c r="N345" s="2436"/>
      <c r="O345" s="2436"/>
      <c r="P345" s="2436"/>
      <c r="Q345" s="2436"/>
      <c r="R345" s="2436"/>
      <c r="T345" s="72" t="s">
        <v>423</v>
      </c>
      <c r="AA345" s="2436" t="s">
        <v>2363</v>
      </c>
      <c r="AB345" s="2436"/>
      <c r="AC345" s="2436"/>
      <c r="AD345" s="2436"/>
      <c r="AE345" s="2436"/>
      <c r="AF345" s="2436"/>
      <c r="AG345" s="2436"/>
      <c r="AH345" s="2436"/>
      <c r="AI345" s="2436"/>
      <c r="AJ345" s="2436"/>
      <c r="AK345" s="2436"/>
      <c r="AL345" s="50"/>
    </row>
    <row r="346" spans="1:53" ht="12.75">
      <c r="A346" s="50"/>
      <c r="B346" s="624" t="s">
        <v>424</v>
      </c>
      <c r="C346" s="624"/>
      <c r="D346" s="624"/>
      <c r="E346" s="624"/>
      <c r="F346" s="624"/>
      <c r="G346" s="624"/>
      <c r="H346" s="2308"/>
      <c r="I346" s="2308"/>
      <c r="J346" s="2308"/>
      <c r="K346" s="2308"/>
      <c r="L346" s="2308"/>
      <c r="M346" s="2308"/>
      <c r="N346" s="8" t="s">
        <v>907</v>
      </c>
      <c r="O346" s="8"/>
      <c r="P346" s="2310"/>
      <c r="Q346" s="2310"/>
      <c r="R346" s="2310"/>
      <c r="T346" s="72" t="s">
        <v>424</v>
      </c>
      <c r="AA346" s="2308" t="s">
        <v>2364</v>
      </c>
      <c r="AB346" s="2308"/>
      <c r="AC346" s="2308"/>
      <c r="AD346" s="2308"/>
      <c r="AE346" s="2308"/>
      <c r="AF346" s="2308"/>
      <c r="AG346" s="8" t="s">
        <v>907</v>
      </c>
      <c r="AH346" s="8"/>
      <c r="AI346" s="2310"/>
      <c r="AJ346" s="2310"/>
      <c r="AK346" s="2310"/>
      <c r="AL346" s="50"/>
    </row>
    <row r="347" spans="1:53" ht="12.75" customHeight="1">
      <c r="A347" s="50"/>
      <c r="B347" s="624" t="s">
        <v>425</v>
      </c>
      <c r="C347" s="624"/>
      <c r="D347" s="624"/>
      <c r="E347" s="624"/>
      <c r="F347" s="624"/>
      <c r="G347" s="624"/>
      <c r="H347" s="2306"/>
      <c r="I347" s="2306"/>
      <c r="J347" s="2306"/>
      <c r="K347" s="2306"/>
      <c r="L347" s="2306"/>
      <c r="M347" s="2306"/>
      <c r="N347" s="74"/>
      <c r="O347" s="74"/>
      <c r="P347" s="76"/>
      <c r="Q347" s="76"/>
      <c r="R347" s="76"/>
      <c r="T347" s="72" t="s">
        <v>425</v>
      </c>
      <c r="AA347" s="2306"/>
      <c r="AB347" s="2306"/>
      <c r="AC347" s="2306"/>
      <c r="AD347" s="2306"/>
      <c r="AE347" s="2306"/>
      <c r="AF347" s="2306"/>
      <c r="AG347" s="74"/>
      <c r="AH347" s="74"/>
      <c r="AI347" s="76"/>
      <c r="AJ347" s="76"/>
      <c r="AK347" s="76"/>
      <c r="AL347" s="50"/>
    </row>
    <row r="348" spans="1:53" ht="12.75">
      <c r="A348" s="50"/>
      <c r="B348" s="624" t="s">
        <v>775</v>
      </c>
      <c r="C348" s="624"/>
      <c r="D348" s="624"/>
      <c r="E348" s="624"/>
      <c r="F348" s="624"/>
      <c r="G348" s="624"/>
      <c r="H348" s="2436"/>
      <c r="I348" s="2436"/>
      <c r="J348" s="2436"/>
      <c r="K348" s="2436"/>
      <c r="L348" s="2436"/>
      <c r="M348" s="2436"/>
      <c r="N348" s="2312"/>
      <c r="O348" s="2312"/>
      <c r="P348" s="2312"/>
      <c r="Q348" s="2312"/>
      <c r="R348" s="2312"/>
      <c r="T348" s="72" t="s">
        <v>775</v>
      </c>
      <c r="AA348" s="2436" t="s">
        <v>2365</v>
      </c>
      <c r="AB348" s="2436"/>
      <c r="AC348" s="2436"/>
      <c r="AD348" s="2436"/>
      <c r="AE348" s="2436"/>
      <c r="AF348" s="2436"/>
      <c r="AG348" s="2312"/>
      <c r="AH348" s="2312"/>
      <c r="AI348" s="2312"/>
      <c r="AJ348" s="2312"/>
      <c r="AK348" s="2312"/>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2314" t="s">
        <v>551</v>
      </c>
      <c r="B350" s="2314"/>
      <c r="C350" s="2314"/>
      <c r="D350" s="2314"/>
      <c r="E350" s="2314"/>
      <c r="F350" s="2314"/>
      <c r="G350" s="2314"/>
      <c r="H350" s="2314"/>
      <c r="I350" s="2314"/>
      <c r="J350" s="2314"/>
      <c r="K350" s="2314"/>
      <c r="L350" s="2314"/>
      <c r="M350" s="2314"/>
      <c r="N350" s="2314"/>
      <c r="O350" s="2314"/>
      <c r="P350" s="2314"/>
      <c r="Q350" s="2314"/>
      <c r="R350" s="2314"/>
      <c r="S350" s="2314"/>
      <c r="T350" s="2314"/>
      <c r="U350" s="2314"/>
      <c r="V350" s="2314"/>
      <c r="W350" s="2314"/>
      <c r="X350" s="2314"/>
      <c r="Y350" s="2314"/>
      <c r="Z350" s="2314"/>
      <c r="AA350" s="2314"/>
      <c r="AB350" s="2314"/>
      <c r="AC350" s="2314"/>
      <c r="AD350" s="2314"/>
      <c r="AE350" s="2314"/>
      <c r="AF350" s="2314"/>
      <c r="AG350" s="2314"/>
      <c r="AH350" s="2314"/>
      <c r="AI350" s="2314"/>
      <c r="AJ350" s="2314"/>
      <c r="AK350" s="2314"/>
      <c r="AL350" s="2314"/>
    </row>
    <row r="351" spans="1:53" ht="13.5" thickBot="1">
      <c r="A351" s="2315"/>
      <c r="B351" s="2315"/>
      <c r="C351" s="2315"/>
      <c r="D351" s="2315"/>
      <c r="E351" s="2315"/>
      <c r="F351" s="2315"/>
      <c r="G351" s="2315"/>
      <c r="H351" s="2315"/>
      <c r="I351" s="2315"/>
      <c r="J351" s="2315"/>
      <c r="K351" s="2315"/>
      <c r="L351" s="2315"/>
      <c r="M351" s="2315"/>
      <c r="N351" s="2315"/>
      <c r="O351" s="2315"/>
      <c r="P351" s="2315"/>
      <c r="Q351" s="2315"/>
      <c r="R351" s="2315"/>
      <c r="S351" s="2315"/>
      <c r="T351" s="2315"/>
      <c r="U351" s="2315"/>
      <c r="V351" s="2315"/>
      <c r="W351" s="2315"/>
      <c r="X351" s="2315"/>
      <c r="Y351" s="2315"/>
      <c r="Z351" s="2315"/>
      <c r="AA351" s="2315"/>
      <c r="AB351" s="2315"/>
      <c r="AC351" s="2315"/>
      <c r="AD351" s="2315"/>
      <c r="AE351" s="2315"/>
      <c r="AF351" s="2315"/>
      <c r="AG351" s="2315"/>
      <c r="AH351" s="2315"/>
      <c r="AI351" s="2315"/>
      <c r="AJ351" s="2315"/>
      <c r="AK351" s="2315"/>
      <c r="AL351" s="2315"/>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2343" t="s">
        <v>118</v>
      </c>
      <c r="N354" s="2343"/>
      <c r="P354" s="16" t="s">
        <v>989</v>
      </c>
      <c r="AJ354" s="2343" t="s">
        <v>118</v>
      </c>
      <c r="AK354" s="2343"/>
    </row>
    <row r="355" spans="1:57" ht="12.75" customHeight="1">
      <c r="D355" s="1419" t="s">
        <v>2223</v>
      </c>
      <c r="M355" s="2343" t="s">
        <v>135</v>
      </c>
      <c r="N355" s="2343"/>
      <c r="R355" s="16" t="s">
        <v>990</v>
      </c>
      <c r="AJ355" s="2343" t="s">
        <v>135</v>
      </c>
      <c r="AK355" s="2343"/>
    </row>
    <row r="356" spans="1:57" ht="12.75" customHeight="1">
      <c r="D356" s="16" t="s">
        <v>353</v>
      </c>
      <c r="M356" s="2343" t="s">
        <v>135</v>
      </c>
      <c r="N356" s="2343"/>
      <c r="P356" s="624" t="s">
        <v>1184</v>
      </c>
      <c r="Q356" s="625"/>
      <c r="R356" s="625"/>
      <c r="AJ356" s="2343" t="s">
        <v>135</v>
      </c>
      <c r="AK356" s="2343"/>
    </row>
    <row r="357" spans="1:57" ht="12.75" customHeight="1">
      <c r="D357" s="16" t="s">
        <v>354</v>
      </c>
      <c r="M357" s="2343" t="s">
        <v>135</v>
      </c>
      <c r="N357" s="2343"/>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2343" t="s">
        <v>135</v>
      </c>
      <c r="O362" s="2343"/>
      <c r="P362" s="83"/>
      <c r="Q362" s="83"/>
      <c r="R362" s="83"/>
      <c r="S362" s="83"/>
      <c r="T362" s="83"/>
      <c r="U362" s="83"/>
      <c r="V362" s="83"/>
      <c r="W362" s="83"/>
      <c r="X362" s="83"/>
      <c r="Y362" s="84"/>
      <c r="Z362" s="84"/>
      <c r="AC362" s="83"/>
      <c r="AD362" s="83"/>
      <c r="AE362" s="83"/>
    </row>
    <row r="363" spans="1:57" ht="12.75">
      <c r="E363" s="16" t="s">
        <v>807</v>
      </c>
      <c r="Y363" s="2343" t="s">
        <v>135</v>
      </c>
      <c r="Z363" s="2343"/>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2343" t="s">
        <v>135</v>
      </c>
      <c r="K365" s="2343"/>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2204" t="s">
        <v>355</v>
      </c>
      <c r="F366" s="2204"/>
      <c r="G366" s="2204"/>
      <c r="H366" s="2204"/>
      <c r="I366" s="2204"/>
      <c r="J366" s="2204"/>
      <c r="K366" s="2204"/>
      <c r="L366" s="2204"/>
      <c r="M366" s="2204"/>
      <c r="N366" s="2204"/>
      <c r="O366" s="2204"/>
      <c r="P366" s="2204"/>
      <c r="Q366" s="2204"/>
      <c r="R366" s="2204"/>
      <c r="S366" s="2204"/>
      <c r="T366" s="2204"/>
      <c r="U366" s="2204"/>
      <c r="V366" s="2204"/>
      <c r="W366" s="2204"/>
      <c r="X366" s="2204"/>
      <c r="Y366" s="2204"/>
      <c r="Z366" s="2204"/>
      <c r="AA366" s="2204"/>
      <c r="AB366" s="2204"/>
      <c r="AC366" s="2204"/>
      <c r="AD366" s="2204"/>
      <c r="AE366" s="2204"/>
      <c r="AF366" s="2204"/>
      <c r="AG366" s="2204"/>
      <c r="AH366" s="2204"/>
      <c r="BE366" s="16" t="s">
        <v>536</v>
      </c>
    </row>
    <row r="367" spans="1:57" ht="12.75" customHeight="1">
      <c r="E367" s="2204"/>
      <c r="F367" s="2204"/>
      <c r="G367" s="2204"/>
      <c r="H367" s="2204"/>
      <c r="I367" s="2204"/>
      <c r="J367" s="2204"/>
      <c r="K367" s="2204"/>
      <c r="L367" s="2204"/>
      <c r="M367" s="2204"/>
      <c r="N367" s="2204"/>
      <c r="O367" s="2204"/>
      <c r="P367" s="2204"/>
      <c r="Q367" s="2204"/>
      <c r="R367" s="2204"/>
      <c r="S367" s="2204"/>
      <c r="T367" s="2204"/>
      <c r="U367" s="2204"/>
      <c r="V367" s="2204"/>
      <c r="W367" s="2204"/>
      <c r="X367" s="2204"/>
      <c r="Y367" s="2204"/>
      <c r="Z367" s="2204"/>
      <c r="AA367" s="2204"/>
      <c r="AB367" s="2204"/>
      <c r="AC367" s="2204"/>
      <c r="AD367" s="2204"/>
      <c r="AE367" s="2204"/>
      <c r="AF367" s="2204"/>
      <c r="AG367" s="2204"/>
      <c r="AH367" s="2204"/>
      <c r="BE367" s="16" t="s">
        <v>118</v>
      </c>
    </row>
    <row r="368" spans="1:57" ht="12.75">
      <c r="E368" s="8" t="s">
        <v>663</v>
      </c>
      <c r="F368" s="8"/>
      <c r="G368" s="8"/>
      <c r="H368" s="8"/>
      <c r="I368" s="8"/>
      <c r="J368" s="8"/>
      <c r="K368" s="8"/>
      <c r="L368" s="8"/>
      <c r="N368" s="2520"/>
      <c r="O368" s="2520"/>
      <c r="P368" s="2520"/>
      <c r="Q368" s="2520"/>
      <c r="R368" s="8"/>
      <c r="U368" s="8" t="s">
        <v>664</v>
      </c>
      <c r="V368" s="8"/>
      <c r="W368" s="8"/>
      <c r="X368" s="8"/>
      <c r="Y368" s="8"/>
      <c r="Z368" s="8"/>
      <c r="AA368" s="8"/>
      <c r="AB368" s="8"/>
      <c r="AC368" s="2520"/>
      <c r="AD368" s="2520"/>
      <c r="AE368" s="2520"/>
      <c r="AF368" s="2520"/>
    </row>
    <row r="369" spans="1:36" ht="12.75" customHeight="1">
      <c r="E369" s="8" t="s">
        <v>665</v>
      </c>
      <c r="F369" s="8"/>
      <c r="G369" s="8"/>
      <c r="H369" s="8"/>
      <c r="I369" s="8"/>
      <c r="J369" s="8"/>
      <c r="K369" s="8"/>
      <c r="L369" s="8"/>
      <c r="N369" s="2520"/>
      <c r="O369" s="2520"/>
      <c r="P369" s="2520"/>
      <c r="Q369" s="2520"/>
      <c r="R369" s="8"/>
      <c r="U369" s="8" t="s">
        <v>666</v>
      </c>
      <c r="V369" s="8"/>
      <c r="W369" s="8"/>
      <c r="X369" s="8"/>
      <c r="Y369" s="8"/>
      <c r="Z369" s="8"/>
      <c r="AA369" s="8"/>
      <c r="AB369" s="8"/>
      <c r="AC369" s="2520"/>
      <c r="AD369" s="2520"/>
      <c r="AE369" s="2520"/>
      <c r="AF369" s="2520"/>
    </row>
    <row r="370" spans="1:36" ht="12.75">
      <c r="E370" s="8" t="s">
        <v>68</v>
      </c>
      <c r="F370" s="8"/>
      <c r="G370" s="8"/>
      <c r="H370" s="8"/>
      <c r="I370" s="8"/>
      <c r="J370" s="8"/>
      <c r="K370" s="8"/>
      <c r="L370" s="8"/>
      <c r="N370" s="2520"/>
      <c r="O370" s="2520"/>
      <c r="P370" s="2520"/>
      <c r="Q370" s="2520"/>
      <c r="R370" s="8"/>
      <c r="V370" s="8"/>
      <c r="W370" s="8"/>
      <c r="X370" s="8"/>
      <c r="Y370" s="8"/>
      <c r="Z370" s="8"/>
      <c r="AA370" s="8"/>
      <c r="AB370" s="8"/>
    </row>
    <row r="371" spans="1:36" ht="12.75">
      <c r="E371" s="8" t="s">
        <v>69</v>
      </c>
      <c r="F371" s="8"/>
      <c r="G371" s="8"/>
      <c r="H371" s="8"/>
      <c r="I371" s="8"/>
      <c r="J371" s="8"/>
      <c r="K371" s="8"/>
      <c r="L371" s="8"/>
      <c r="N371" s="2547"/>
      <c r="O371" s="2547"/>
      <c r="P371" s="2547"/>
      <c r="Q371" s="2547"/>
      <c r="R371" s="2547"/>
      <c r="S371" s="2547"/>
      <c r="T371" s="2547"/>
      <c r="U371" s="2547"/>
      <c r="V371" s="2547"/>
      <c r="W371" s="2547"/>
      <c r="X371" s="2547"/>
      <c r="Y371" s="2547"/>
      <c r="Z371" s="2547"/>
      <c r="AA371" s="2547"/>
      <c r="AB371" s="2547"/>
      <c r="AC371" s="2547"/>
      <c r="AD371" s="2547"/>
      <c r="AE371" s="2547"/>
      <c r="AF371" s="2547"/>
    </row>
    <row r="372" spans="1:36" ht="12.75">
      <c r="E372" s="8"/>
      <c r="F372" s="8"/>
      <c r="G372" s="8"/>
      <c r="H372" s="8"/>
      <c r="I372" s="8"/>
      <c r="J372" s="8"/>
      <c r="K372" s="8"/>
      <c r="L372" s="8"/>
      <c r="N372" s="2548"/>
      <c r="O372" s="2548"/>
      <c r="P372" s="2548"/>
      <c r="Q372" s="2548"/>
      <c r="R372" s="2548"/>
      <c r="S372" s="2548"/>
      <c r="T372" s="2548"/>
      <c r="U372" s="2548"/>
      <c r="V372" s="2548"/>
      <c r="W372" s="2548"/>
      <c r="X372" s="2548"/>
      <c r="Y372" s="2548"/>
      <c r="Z372" s="2548"/>
      <c r="AA372" s="2548"/>
      <c r="AB372" s="2548"/>
      <c r="AC372" s="2548"/>
      <c r="AD372" s="2548"/>
      <c r="AE372" s="2548"/>
      <c r="AF372" s="2548"/>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257</v>
      </c>
      <c r="O375" s="625"/>
      <c r="P375" s="827"/>
      <c r="Q375" s="827" t="s">
        <v>258</v>
      </c>
      <c r="R375" s="625"/>
      <c r="S375" s="2539"/>
      <c r="T375" s="2539"/>
      <c r="U375" s="826" t="s">
        <v>259</v>
      </c>
      <c r="V375" s="2539"/>
      <c r="W375" s="2539"/>
      <c r="X375" s="625"/>
      <c r="Y375" s="827" t="s">
        <v>257</v>
      </c>
      <c r="Z375" s="625"/>
      <c r="AA375" s="827"/>
      <c r="AB375" s="827" t="s">
        <v>258</v>
      </c>
      <c r="AC375" s="625"/>
      <c r="AD375" s="2539"/>
      <c r="AE375" s="2539"/>
      <c r="AF375" s="826" t="s">
        <v>259</v>
      </c>
      <c r="AG375" s="2539"/>
      <c r="AH375" s="2539"/>
    </row>
    <row r="376" spans="1:36" ht="12.75" customHeight="1">
      <c r="D376" s="625"/>
      <c r="E376" s="624" t="s">
        <v>1394</v>
      </c>
      <c r="F376" s="624"/>
      <c r="G376" s="624"/>
      <c r="H376" s="624"/>
      <c r="I376" s="624"/>
      <c r="J376" s="624"/>
      <c r="K376" s="624"/>
      <c r="L376" s="624"/>
      <c r="M376" s="625"/>
      <c r="N376" s="2539"/>
      <c r="O376" s="2539"/>
      <c r="P376" s="2539"/>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2538" t="s">
        <v>135</v>
      </c>
      <c r="AH377" s="2538"/>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2538" t="s">
        <v>135</v>
      </c>
      <c r="AH378" s="2538"/>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2538" t="s">
        <v>135</v>
      </c>
      <c r="W379" s="2538"/>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2538" t="s">
        <v>135</v>
      </c>
      <c r="W380" s="2538"/>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2309" t="s">
        <v>2696</v>
      </c>
      <c r="K383" s="2312"/>
      <c r="L383" s="2312"/>
      <c r="M383" s="2312"/>
      <c r="N383" s="2312"/>
      <c r="O383" s="2312"/>
      <c r="P383" s="2312"/>
      <c r="Q383" s="2312"/>
      <c r="R383" s="2312"/>
      <c r="S383" s="2312"/>
      <c r="T383" s="2312"/>
      <c r="U383" s="2312"/>
      <c r="V383" s="18" t="s">
        <v>784</v>
      </c>
      <c r="W383" s="18"/>
      <c r="X383" s="18"/>
      <c r="Y383" s="18"/>
      <c r="Z383" s="18"/>
      <c r="AA383" s="18"/>
      <c r="AB383" s="18"/>
      <c r="AC383" s="2309" t="s">
        <v>2695</v>
      </c>
      <c r="AD383" s="2312"/>
      <c r="AE383" s="2312"/>
      <c r="AF383" s="2312"/>
      <c r="AG383" s="2312"/>
      <c r="AH383" s="2312"/>
      <c r="AI383" s="2312"/>
      <c r="AJ383" s="2312"/>
    </row>
    <row r="384" spans="1:36" ht="12.75" customHeight="1">
      <c r="D384" s="16" t="s">
        <v>621</v>
      </c>
      <c r="Q384" s="2703">
        <v>43944</v>
      </c>
      <c r="R384" s="2703"/>
      <c r="S384" s="2703"/>
      <c r="T384" s="2703"/>
      <c r="U384" s="2703"/>
      <c r="V384" s="16" t="s">
        <v>184</v>
      </c>
      <c r="AI384" s="2343" t="s">
        <v>536</v>
      </c>
      <c r="AJ384" s="2343"/>
    </row>
    <row r="385" spans="1:36" ht="12.75" customHeight="1">
      <c r="D385" s="16" t="s">
        <v>622</v>
      </c>
      <c r="Q385" s="2529">
        <v>44224</v>
      </c>
      <c r="R385" s="2530"/>
      <c r="S385" s="2530"/>
      <c r="T385" s="2530"/>
      <c r="U385" s="2530"/>
      <c r="W385" s="43" t="s">
        <v>20</v>
      </c>
      <c r="AG385" s="2643"/>
      <c r="AH385" s="2643"/>
      <c r="AI385" s="2643"/>
      <c r="AJ385" s="2643"/>
    </row>
    <row r="386" spans="1:36" ht="12.75" customHeight="1">
      <c r="D386" s="16" t="s">
        <v>302</v>
      </c>
      <c r="Q386" s="2534">
        <v>6360000</v>
      </c>
      <c r="R386" s="2534"/>
      <c r="S386" s="2534"/>
      <c r="T386" s="2534"/>
      <c r="U386" s="2534"/>
      <c r="V386" s="16" t="s">
        <v>186</v>
      </c>
      <c r="AG386" s="2534">
        <v>711</v>
      </c>
      <c r="AH386" s="2534"/>
      <c r="AI386" s="2534"/>
      <c r="AJ386" s="2534"/>
    </row>
    <row r="387" spans="1:36" ht="12.75" customHeight="1">
      <c r="D387" s="16" t="s">
        <v>424</v>
      </c>
      <c r="I387" s="2304" t="s">
        <v>2752</v>
      </c>
      <c r="J387" s="2308"/>
      <c r="K387" s="2308"/>
      <c r="L387" s="2308"/>
      <c r="M387" s="2308"/>
      <c r="N387" s="2308"/>
      <c r="Q387" s="71" t="s">
        <v>907</v>
      </c>
      <c r="S387" s="2549"/>
      <c r="T387" s="2549"/>
      <c r="U387" s="2549"/>
      <c r="V387" s="16" t="s">
        <v>19</v>
      </c>
      <c r="AI387" s="2343" t="s">
        <v>536</v>
      </c>
      <c r="AJ387" s="2343"/>
    </row>
    <row r="388" spans="1:36" ht="12.75" customHeight="1">
      <c r="D388" s="16" t="s">
        <v>185</v>
      </c>
      <c r="Q388" s="2379"/>
      <c r="R388" s="2379"/>
      <c r="S388" s="2379"/>
      <c r="T388" s="2379"/>
      <c r="U388" s="2379"/>
      <c r="V388" s="16" t="s">
        <v>187</v>
      </c>
      <c r="AG388" s="2643"/>
      <c r="AH388" s="2643"/>
      <c r="AI388" s="2643"/>
      <c r="AJ388" s="2643"/>
    </row>
    <row r="389" spans="1:36" ht="12.75" customHeight="1">
      <c r="D389" s="16" t="s">
        <v>29</v>
      </c>
      <c r="Q389" s="2546">
        <v>1.1245E-2</v>
      </c>
      <c r="R389" s="2546"/>
      <c r="S389" s="2546"/>
      <c r="T389" s="2546"/>
      <c r="U389" s="2546"/>
      <c r="V389" s="16" t="s">
        <v>1945</v>
      </c>
      <c r="AG389" s="2441"/>
      <c r="AH389" s="2441"/>
      <c r="AI389" s="2441"/>
      <c r="AJ389" s="2441"/>
    </row>
    <row r="390" spans="1:36" ht="12.75" customHeight="1">
      <c r="D390" s="16" t="s">
        <v>1946</v>
      </c>
      <c r="AG390" s="2441"/>
      <c r="AH390" s="2441"/>
      <c r="AI390" s="2441"/>
      <c r="AJ390" s="2441"/>
    </row>
    <row r="391" spans="1:36" ht="12.75" customHeight="1"/>
    <row r="392" spans="1:36" ht="12.75" customHeight="1">
      <c r="A392" s="63" t="s">
        <v>133</v>
      </c>
      <c r="B392" s="63"/>
      <c r="C392" s="63" t="s">
        <v>1014</v>
      </c>
    </row>
    <row r="393" spans="1:36" ht="12.75" customHeight="1">
      <c r="C393" s="35"/>
      <c r="D393" s="63" t="s">
        <v>2014</v>
      </c>
      <c r="I393" s="2309" t="s">
        <v>2366</v>
      </c>
      <c r="J393" s="2309"/>
      <c r="K393" s="2309"/>
      <c r="L393" s="2309"/>
      <c r="M393" s="2309"/>
      <c r="N393" s="2309"/>
      <c r="O393" s="2309"/>
      <c r="P393" s="2309"/>
      <c r="Q393" s="2309"/>
      <c r="R393" s="2309"/>
      <c r="S393" s="2309"/>
      <c r="T393" s="2309"/>
      <c r="U393" s="2309"/>
      <c r="V393" s="2309"/>
      <c r="W393" s="2309"/>
      <c r="X393" s="2309"/>
      <c r="Y393" s="2309"/>
      <c r="Z393" s="2309"/>
      <c r="AA393" s="2309"/>
      <c r="AB393" s="2309"/>
      <c r="AC393" s="2309"/>
      <c r="AD393" s="2309"/>
    </row>
    <row r="394" spans="1:36" ht="12.75" customHeight="1">
      <c r="C394" s="35"/>
      <c r="E394" s="16" t="s">
        <v>947</v>
      </c>
      <c r="R394" s="2343" t="s">
        <v>118</v>
      </c>
      <c r="S394" s="2343"/>
      <c r="T394" s="16" t="s">
        <v>321</v>
      </c>
      <c r="AD394" s="2520">
        <v>7</v>
      </c>
      <c r="AE394" s="2520"/>
    </row>
    <row r="395" spans="1:36" ht="12.75" customHeight="1">
      <c r="C395" s="35"/>
      <c r="E395" s="16" t="s">
        <v>948</v>
      </c>
      <c r="R395" s="2343" t="s">
        <v>135</v>
      </c>
      <c r="S395" s="2343"/>
      <c r="T395" s="16" t="s">
        <v>321</v>
      </c>
      <c r="AD395" s="2520">
        <v>0</v>
      </c>
      <c r="AE395" s="2520"/>
    </row>
    <row r="396" spans="1:36" ht="12.75" customHeight="1">
      <c r="E396" s="16" t="s">
        <v>949</v>
      </c>
      <c r="S396" s="2343" t="s">
        <v>135</v>
      </c>
      <c r="T396" s="2343"/>
    </row>
    <row r="397" spans="1:36" ht="12.75" customHeight="1">
      <c r="E397" s="16" t="s">
        <v>311</v>
      </c>
      <c r="H397" s="2709" t="s">
        <v>2697</v>
      </c>
      <c r="I397" s="2709"/>
      <c r="J397" s="2709"/>
      <c r="K397" s="2709"/>
      <c r="L397" s="2709"/>
      <c r="M397" s="2709"/>
      <c r="N397" s="2709"/>
      <c r="O397" s="2709"/>
      <c r="P397" s="2709"/>
      <c r="Q397" s="2709"/>
      <c r="R397" s="2709"/>
      <c r="S397" s="2709"/>
      <c r="T397" s="2709"/>
      <c r="U397" s="2709"/>
      <c r="V397" s="2709"/>
      <c r="W397" s="2709"/>
      <c r="X397" s="2709"/>
      <c r="Y397" s="2709"/>
      <c r="Z397" s="2709"/>
      <c r="AA397" s="2709"/>
      <c r="AB397" s="2709"/>
      <c r="AC397" s="2709"/>
      <c r="AD397" s="2709"/>
      <c r="AE397" s="2709"/>
      <c r="AF397" s="2709"/>
      <c r="AG397" s="2709"/>
      <c r="AH397" s="2709"/>
      <c r="AI397" s="2709"/>
      <c r="AJ397" s="2709"/>
    </row>
    <row r="398" spans="1:36" ht="12.75" customHeight="1">
      <c r="H398" s="2710"/>
      <c r="I398" s="2710"/>
      <c r="J398" s="2710"/>
      <c r="K398" s="2710"/>
      <c r="L398" s="2710"/>
      <c r="M398" s="2710"/>
      <c r="N398" s="2710"/>
      <c r="O398" s="2710"/>
      <c r="P398" s="2710"/>
      <c r="Q398" s="2710"/>
      <c r="R398" s="2710"/>
      <c r="S398" s="2710"/>
      <c r="T398" s="2710"/>
      <c r="U398" s="2710"/>
      <c r="V398" s="2710"/>
      <c r="W398" s="2710"/>
      <c r="X398" s="2710"/>
      <c r="Y398" s="2710"/>
      <c r="Z398" s="2710"/>
      <c r="AA398" s="2710"/>
      <c r="AB398" s="2710"/>
      <c r="AC398" s="2710"/>
      <c r="AD398" s="2710"/>
      <c r="AE398" s="2710"/>
      <c r="AF398" s="2710"/>
      <c r="AG398" s="2710"/>
      <c r="AH398" s="2710"/>
      <c r="AI398" s="2710"/>
      <c r="AJ398" s="2710"/>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2684"/>
      <c r="F405" s="2684"/>
      <c r="G405" s="2684"/>
      <c r="H405" s="33" t="s">
        <v>1018</v>
      </c>
      <c r="I405" s="2684"/>
      <c r="J405" s="2684"/>
      <c r="K405" s="2684"/>
      <c r="L405" s="16" t="s">
        <v>1019</v>
      </c>
      <c r="N405" s="252" t="s">
        <v>942</v>
      </c>
      <c r="P405" s="2682">
        <v>1.4617079889807163</v>
      </c>
      <c r="Q405" s="2682"/>
      <c r="R405" s="2682"/>
      <c r="S405" s="16" t="s">
        <v>1020</v>
      </c>
      <c r="W405" s="2545">
        <f>IF(E405&gt;0,(E405*I405),(P405*43560))</f>
        <v>63672</v>
      </c>
      <c r="X405" s="2545"/>
      <c r="Y405" s="2545"/>
      <c r="Z405" s="16" t="s">
        <v>1021</v>
      </c>
      <c r="AF405" s="2682">
        <f>AG423/P405</f>
        <v>342.06558612891064</v>
      </c>
      <c r="AG405" s="2682"/>
      <c r="AH405" s="2682"/>
    </row>
    <row r="406" spans="1:36" ht="12.75" customHeight="1">
      <c r="E406" s="16" t="s">
        <v>224</v>
      </c>
    </row>
    <row r="407" spans="1:36" ht="12.75" customHeight="1">
      <c r="E407" s="2704"/>
      <c r="F407" s="2704"/>
      <c r="G407" s="2704"/>
      <c r="H407" s="2704"/>
      <c r="I407" s="2704"/>
      <c r="J407" s="2704"/>
      <c r="K407" s="2704"/>
      <c r="L407" s="2704"/>
      <c r="M407" s="2704"/>
      <c r="N407" s="2704"/>
      <c r="O407" s="2704"/>
      <c r="P407" s="2704"/>
      <c r="Q407" s="2704"/>
      <c r="R407" s="2704"/>
      <c r="S407" s="2704"/>
      <c r="T407" s="2704"/>
      <c r="U407" s="2704"/>
      <c r="V407" s="2704"/>
      <c r="W407" s="2704"/>
      <c r="X407" s="2704"/>
      <c r="Y407" s="2704"/>
      <c r="Z407" s="2704"/>
      <c r="AA407" s="2704"/>
      <c r="AB407" s="2704"/>
      <c r="AC407" s="2704"/>
      <c r="AD407" s="2704"/>
      <c r="AE407" s="2704"/>
      <c r="AF407" s="2704"/>
      <c r="AG407" s="2704"/>
      <c r="AH407" s="2704"/>
      <c r="AI407" s="2704"/>
      <c r="AJ407" s="2704"/>
    </row>
    <row r="408" spans="1:36" ht="12.75" customHeight="1"/>
    <row r="409" spans="1:36" ht="12.75" customHeight="1">
      <c r="A409" s="63" t="s">
        <v>136</v>
      </c>
      <c r="B409" s="63"/>
      <c r="C409" s="63"/>
      <c r="D409" s="63" t="s">
        <v>1023</v>
      </c>
    </row>
    <row r="410" spans="1:36" ht="12.75" customHeight="1">
      <c r="E410" s="16" t="s">
        <v>505</v>
      </c>
      <c r="P410" s="2343">
        <v>1</v>
      </c>
      <c r="Q410" s="2343"/>
      <c r="S410" s="16" t="s">
        <v>148</v>
      </c>
      <c r="AE410" s="2343">
        <v>1</v>
      </c>
      <c r="AF410" s="2343"/>
    </row>
    <row r="411" spans="1:36" ht="12.75">
      <c r="E411" s="16" t="s">
        <v>149</v>
      </c>
      <c r="P411" s="2343">
        <v>0</v>
      </c>
      <c r="Q411" s="2343"/>
      <c r="S411" s="16" t="s">
        <v>800</v>
      </c>
      <c r="AE411" s="2343" t="s">
        <v>135</v>
      </c>
      <c r="AF411" s="2343"/>
    </row>
    <row r="412" spans="1:36" ht="12.75">
      <c r="F412" s="81" t="s">
        <v>247</v>
      </c>
    </row>
    <row r="413" spans="1:36" ht="12.75">
      <c r="F413" s="2700"/>
      <c r="G413" s="2700"/>
      <c r="H413" s="2700"/>
      <c r="I413" s="2700"/>
      <c r="J413" s="2700"/>
      <c r="K413" s="2700"/>
      <c r="L413" s="2700"/>
      <c r="M413" s="2700"/>
      <c r="N413" s="2700"/>
      <c r="O413" s="2700"/>
      <c r="P413" s="2700"/>
      <c r="Q413" s="2700"/>
      <c r="R413" s="2700"/>
      <c r="S413" s="2700"/>
      <c r="T413" s="2700"/>
      <c r="U413" s="2700"/>
      <c r="V413" s="2700"/>
      <c r="W413" s="2700"/>
      <c r="X413" s="2700"/>
      <c r="Y413" s="2700"/>
      <c r="Z413" s="2700"/>
      <c r="AA413" s="2700"/>
      <c r="AB413" s="2700"/>
      <c r="AC413" s="2700"/>
      <c r="AD413" s="2700"/>
      <c r="AE413" s="2700"/>
      <c r="AF413" s="2700"/>
      <c r="AG413" s="2700"/>
      <c r="AH413" s="2700"/>
    </row>
    <row r="414" spans="1:36" ht="12.75">
      <c r="F414" s="2698"/>
      <c r="G414" s="2698"/>
      <c r="H414" s="2698"/>
      <c r="I414" s="2698"/>
      <c r="J414" s="2698"/>
      <c r="K414" s="2698"/>
      <c r="L414" s="2698"/>
      <c r="M414" s="2698"/>
      <c r="N414" s="2698"/>
      <c r="O414" s="2698"/>
      <c r="P414" s="2698"/>
      <c r="Q414" s="2698"/>
      <c r="R414" s="2698"/>
      <c r="S414" s="2698"/>
      <c r="T414" s="2698"/>
      <c r="U414" s="2698"/>
      <c r="V414" s="2698"/>
      <c r="W414" s="2698"/>
      <c r="X414" s="2698"/>
      <c r="Y414" s="2698"/>
      <c r="Z414" s="2698"/>
      <c r="AA414" s="2698"/>
      <c r="AB414" s="2698"/>
      <c r="AC414" s="2698"/>
      <c r="AD414" s="2698"/>
      <c r="AE414" s="2698"/>
      <c r="AF414" s="2698"/>
      <c r="AG414" s="2698"/>
      <c r="AH414" s="2698"/>
    </row>
    <row r="415" spans="1:36" ht="12.75">
      <c r="E415" s="16" t="s">
        <v>951</v>
      </c>
      <c r="N415" s="50"/>
      <c r="O415" s="50"/>
      <c r="P415" s="408"/>
      <c r="Q415" s="2343" t="s">
        <v>536</v>
      </c>
      <c r="R415" s="2343"/>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2343" t="s">
        <v>135</v>
      </c>
      <c r="AF416" s="2683"/>
    </row>
    <row r="417" spans="1:36" ht="12.75" customHeight="1">
      <c r="S417" s="35"/>
      <c r="T417" s="35"/>
    </row>
    <row r="418" spans="1:36" ht="12.75" customHeight="1">
      <c r="A418" s="63"/>
      <c r="B418" s="63"/>
      <c r="C418" s="63"/>
      <c r="E418" s="8" t="s">
        <v>86</v>
      </c>
      <c r="Z418" s="2343" t="s">
        <v>536</v>
      </c>
      <c r="AA418" s="2343"/>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2343" t="s">
        <v>135</v>
      </c>
      <c r="AA420" s="2343"/>
    </row>
    <row r="421" spans="1:36" ht="12.75" customHeight="1">
      <c r="AG421" s="16">
        <v>0</v>
      </c>
    </row>
    <row r="422" spans="1:36" ht="12.75" customHeight="1">
      <c r="A422" s="63" t="s">
        <v>416</v>
      </c>
      <c r="B422" s="63"/>
      <c r="C422" s="63"/>
      <c r="D422" s="63" t="s">
        <v>189</v>
      </c>
      <c r="AF422" s="94"/>
    </row>
    <row r="423" spans="1:36" ht="12.75" customHeight="1">
      <c r="D423" s="2481" t="s">
        <v>404</v>
      </c>
      <c r="E423" s="2482"/>
      <c r="F423" s="2482"/>
      <c r="G423" s="2482"/>
      <c r="H423" s="2482"/>
      <c r="I423" s="2482"/>
      <c r="J423" s="2482"/>
      <c r="K423" s="2482"/>
      <c r="L423" s="2482"/>
      <c r="M423" s="2482"/>
      <c r="N423" s="2482"/>
      <c r="O423" s="2482"/>
      <c r="P423" s="2482"/>
      <c r="Q423" s="2482"/>
      <c r="R423" s="2482"/>
      <c r="S423" s="2482"/>
      <c r="T423" s="2482"/>
      <c r="U423" s="2482"/>
      <c r="V423" s="2482"/>
      <c r="W423" s="2482"/>
      <c r="X423" s="2482"/>
      <c r="Y423" s="2482"/>
      <c r="Z423" s="2482"/>
      <c r="AA423" s="2482"/>
      <c r="AB423" s="2482"/>
      <c r="AC423" s="2482"/>
      <c r="AD423" s="2482"/>
      <c r="AE423" s="2482"/>
      <c r="AF423" s="2533"/>
      <c r="AG423" s="2711">
        <f>'Applicant Notes'!C12</f>
        <v>500</v>
      </c>
      <c r="AH423" s="2711"/>
      <c r="AI423" s="2711"/>
      <c r="AJ423" s="2711"/>
    </row>
    <row r="424" spans="1:36" ht="12.75" customHeight="1">
      <c r="D424" s="2494" t="s">
        <v>1550</v>
      </c>
      <c r="E424" s="2543"/>
      <c r="F424" s="2543"/>
      <c r="G424" s="2543"/>
      <c r="H424" s="2543"/>
      <c r="I424" s="2543"/>
      <c r="J424" s="2543"/>
      <c r="K424" s="2543"/>
      <c r="L424" s="2543"/>
      <c r="M424" s="2543"/>
      <c r="N424" s="2543"/>
      <c r="O424" s="2543"/>
      <c r="P424" s="2543"/>
      <c r="Q424" s="2543"/>
      <c r="R424" s="2543"/>
      <c r="S424" s="2543"/>
      <c r="T424" s="2543"/>
      <c r="U424" s="2543"/>
      <c r="V424" s="2543"/>
      <c r="W424" s="2543"/>
      <c r="X424" s="2543"/>
      <c r="Y424" s="2543"/>
      <c r="Z424" s="2543"/>
      <c r="AA424" s="2543"/>
      <c r="AB424" s="2543"/>
      <c r="AC424" s="2543"/>
      <c r="AD424" s="2543"/>
      <c r="AE424" s="2543"/>
      <c r="AF424" s="2544"/>
      <c r="AG424" s="2780">
        <f>'Applicant Notes'!D41</f>
        <v>396</v>
      </c>
      <c r="AH424" s="2381"/>
      <c r="AI424" s="2381"/>
      <c r="AJ424" s="2381"/>
    </row>
    <row r="425" spans="1:36" ht="12.75" customHeight="1">
      <c r="D425" s="2494" t="s">
        <v>1551</v>
      </c>
      <c r="E425" s="2543"/>
      <c r="F425" s="2543"/>
      <c r="G425" s="2543"/>
      <c r="H425" s="2543"/>
      <c r="I425" s="2543"/>
      <c r="J425" s="2543"/>
      <c r="K425" s="2543"/>
      <c r="L425" s="2543"/>
      <c r="M425" s="2543"/>
      <c r="N425" s="2543"/>
      <c r="O425" s="2543"/>
      <c r="P425" s="2543"/>
      <c r="Q425" s="2543"/>
      <c r="R425" s="2543"/>
      <c r="S425" s="2543"/>
      <c r="T425" s="2543"/>
      <c r="U425" s="2543"/>
      <c r="V425" s="2543"/>
      <c r="W425" s="2543"/>
      <c r="X425" s="2543"/>
      <c r="Y425" s="2543"/>
      <c r="Z425" s="2543"/>
      <c r="AA425" s="2543"/>
      <c r="AB425" s="2543"/>
      <c r="AC425" s="2543"/>
      <c r="AD425" s="2543"/>
      <c r="AE425" s="2543"/>
      <c r="AF425" s="2544"/>
      <c r="AG425" s="2695">
        <f>'Applicant Notes'!D26+'Applicant Notes'!D41</f>
        <v>496</v>
      </c>
      <c r="AH425" s="2711"/>
      <c r="AI425" s="2711"/>
      <c r="AJ425" s="2711"/>
    </row>
    <row r="426" spans="1:36" ht="12.75" customHeight="1">
      <c r="D426" s="2494" t="s">
        <v>1547</v>
      </c>
      <c r="E426" s="2543"/>
      <c r="F426" s="2543"/>
      <c r="G426" s="2543"/>
      <c r="H426" s="2543"/>
      <c r="I426" s="2543"/>
      <c r="J426" s="2543"/>
      <c r="K426" s="2543"/>
      <c r="L426" s="2543"/>
      <c r="M426" s="2543"/>
      <c r="N426" s="2543"/>
      <c r="O426" s="2543"/>
      <c r="P426" s="2543"/>
      <c r="Q426" s="2543"/>
      <c r="R426" s="2543"/>
      <c r="S426" s="2543"/>
      <c r="T426" s="2543"/>
      <c r="U426" s="2543"/>
      <c r="V426" s="2543"/>
      <c r="W426" s="2543"/>
      <c r="X426" s="2543"/>
      <c r="Y426" s="2543"/>
      <c r="Z426" s="2543"/>
      <c r="AA426" s="2543"/>
      <c r="AB426" s="2543"/>
      <c r="AC426" s="2543"/>
      <c r="AD426" s="2543"/>
      <c r="AE426" s="2543"/>
      <c r="AF426" s="2544"/>
      <c r="AG426" s="2711">
        <f>'Applicant Notes'!D26</f>
        <v>100</v>
      </c>
      <c r="AH426" s="2711"/>
      <c r="AI426" s="2711"/>
      <c r="AJ426" s="2711"/>
    </row>
    <row r="427" spans="1:36" ht="12.75" customHeight="1">
      <c r="D427" s="2494" t="s">
        <v>1552</v>
      </c>
      <c r="E427" s="2543"/>
      <c r="F427" s="2543"/>
      <c r="G427" s="2543"/>
      <c r="H427" s="2543"/>
      <c r="I427" s="2543"/>
      <c r="J427" s="2543"/>
      <c r="K427" s="2543"/>
      <c r="L427" s="2543"/>
      <c r="M427" s="2543"/>
      <c r="N427" s="2543"/>
      <c r="O427" s="2543"/>
      <c r="P427" s="2543"/>
      <c r="Q427" s="2543"/>
      <c r="R427" s="2543"/>
      <c r="S427" s="2543"/>
      <c r="T427" s="2543"/>
      <c r="U427" s="2543"/>
      <c r="V427" s="2543"/>
      <c r="W427" s="2543"/>
      <c r="X427" s="2543"/>
      <c r="Y427" s="2543"/>
      <c r="Z427" s="2543"/>
      <c r="AA427" s="2543"/>
      <c r="AB427" s="2543"/>
      <c r="AC427" s="2543"/>
      <c r="AD427" s="2543"/>
      <c r="AE427" s="2543"/>
      <c r="AF427" s="2544"/>
      <c r="AG427" s="2770">
        <f>IF(ISERROR(AG426/AG425),"",AG426/AG425)</f>
        <v>0.20161290322580644</v>
      </c>
      <c r="AH427" s="2770"/>
      <c r="AI427" s="2770"/>
      <c r="AJ427" s="2770"/>
    </row>
    <row r="428" spans="1:36" ht="12.75" customHeight="1">
      <c r="D428" s="2494" t="s">
        <v>1549</v>
      </c>
      <c r="E428" s="2543"/>
      <c r="F428" s="2543"/>
      <c r="G428" s="2543"/>
      <c r="H428" s="2543"/>
      <c r="I428" s="2543"/>
      <c r="J428" s="2543"/>
      <c r="K428" s="2543"/>
      <c r="L428" s="2543"/>
      <c r="M428" s="2543"/>
      <c r="N428" s="2543"/>
      <c r="O428" s="2543"/>
      <c r="P428" s="2543"/>
      <c r="Q428" s="2543"/>
      <c r="R428" s="2543"/>
      <c r="S428" s="2543"/>
      <c r="T428" s="2543"/>
      <c r="U428" s="2543"/>
      <c r="V428" s="2543"/>
      <c r="W428" s="2543"/>
      <c r="X428" s="2543"/>
      <c r="Y428" s="2543"/>
      <c r="Z428" s="2543"/>
      <c r="AA428" s="2543"/>
      <c r="AB428" s="2543"/>
      <c r="AC428" s="2543"/>
      <c r="AD428" s="2543"/>
      <c r="AE428" s="2543"/>
      <c r="AF428" s="2544"/>
      <c r="AG428" s="2695">
        <f>'Applicant Notes'!E45</f>
        <v>198400</v>
      </c>
      <c r="AH428" s="2695"/>
      <c r="AI428" s="2695"/>
      <c r="AJ428" s="2695"/>
    </row>
    <row r="429" spans="1:36" ht="12.75" customHeight="1">
      <c r="D429" s="2494" t="s">
        <v>1548</v>
      </c>
      <c r="E429" s="2543"/>
      <c r="F429" s="2543"/>
      <c r="G429" s="2543"/>
      <c r="H429" s="2543"/>
      <c r="I429" s="2543"/>
      <c r="J429" s="2543"/>
      <c r="K429" s="2543"/>
      <c r="L429" s="2543"/>
      <c r="M429" s="2543"/>
      <c r="N429" s="2543"/>
      <c r="O429" s="2543"/>
      <c r="P429" s="2543"/>
      <c r="Q429" s="2543"/>
      <c r="R429" s="2543"/>
      <c r="S429" s="2543"/>
      <c r="T429" s="2543"/>
      <c r="U429" s="2543"/>
      <c r="V429" s="2543"/>
      <c r="W429" s="2543"/>
      <c r="X429" s="2543"/>
      <c r="Y429" s="2543"/>
      <c r="Z429" s="2543"/>
      <c r="AA429" s="2543"/>
      <c r="AB429" s="2543"/>
      <c r="AC429" s="2543"/>
      <c r="AD429" s="2543"/>
      <c r="AE429" s="2543"/>
      <c r="AF429" s="2544"/>
      <c r="AG429" s="2695">
        <f>'Applicant Notes'!E46</f>
        <v>40000</v>
      </c>
      <c r="AH429" s="2695"/>
      <c r="AI429" s="2695"/>
      <c r="AJ429" s="2695"/>
    </row>
    <row r="430" spans="1:36" ht="12.75" customHeight="1">
      <c r="D430" s="2494" t="s">
        <v>1555</v>
      </c>
      <c r="E430" s="2543"/>
      <c r="F430" s="2543"/>
      <c r="G430" s="2543"/>
      <c r="H430" s="2543"/>
      <c r="I430" s="2543"/>
      <c r="J430" s="2543"/>
      <c r="K430" s="2543"/>
      <c r="L430" s="2543"/>
      <c r="M430" s="2543"/>
      <c r="N430" s="2543"/>
      <c r="O430" s="2543"/>
      <c r="P430" s="2543"/>
      <c r="Q430" s="2543"/>
      <c r="R430" s="2543"/>
      <c r="S430" s="2543"/>
      <c r="T430" s="2543"/>
      <c r="U430" s="2543"/>
      <c r="V430" s="2543"/>
      <c r="W430" s="2543"/>
      <c r="X430" s="2543"/>
      <c r="Y430" s="2543"/>
      <c r="Z430" s="2543"/>
      <c r="AA430" s="2543"/>
      <c r="AB430" s="2543"/>
      <c r="AC430" s="2543"/>
      <c r="AD430" s="2543"/>
      <c r="AE430" s="2543"/>
      <c r="AF430" s="2544"/>
      <c r="AG430" s="2770">
        <f>IF(ISERROR(AG429/AG428),"",AG429/AG428)</f>
        <v>0.20161290322580644</v>
      </c>
      <c r="AH430" s="2770"/>
      <c r="AI430" s="2770"/>
      <c r="AJ430" s="2770"/>
    </row>
    <row r="431" spans="1:36" ht="12.75">
      <c r="D431" s="2494" t="s">
        <v>1553</v>
      </c>
      <c r="E431" s="2543"/>
      <c r="F431" s="2543"/>
      <c r="G431" s="2543"/>
      <c r="H431" s="2543"/>
      <c r="I431" s="2543"/>
      <c r="J431" s="2543"/>
      <c r="K431" s="2543"/>
      <c r="L431" s="2543"/>
      <c r="M431" s="2543"/>
      <c r="N431" s="2543"/>
      <c r="O431" s="2543"/>
      <c r="P431" s="2543"/>
      <c r="Q431" s="2543"/>
      <c r="R431" s="2543"/>
      <c r="S431" s="2543"/>
      <c r="T431" s="2543"/>
      <c r="U431" s="2543"/>
      <c r="V431" s="2543"/>
      <c r="W431" s="2543"/>
      <c r="X431" s="2543"/>
      <c r="Y431" s="2543"/>
      <c r="Z431" s="2543"/>
      <c r="AA431" s="2543"/>
      <c r="AB431" s="2543"/>
      <c r="AC431" s="2543"/>
      <c r="AD431" s="2543"/>
      <c r="AE431" s="2543"/>
      <c r="AF431" s="2544"/>
      <c r="AG431" s="2770">
        <f>MIN(IF(AG427&gt;AG430,AG430,AG427),1)</f>
        <v>0.20161290322580644</v>
      </c>
      <c r="AH431" s="2770"/>
      <c r="AI431" s="2770"/>
      <c r="AJ431" s="2770"/>
    </row>
    <row r="432" spans="1:36" ht="12.75">
      <c r="D432" s="2772" t="s">
        <v>2015</v>
      </c>
      <c r="E432" s="2482"/>
      <c r="F432" s="2482"/>
      <c r="G432" s="2482"/>
      <c r="H432" s="2482"/>
      <c r="I432" s="2482"/>
      <c r="J432" s="2482"/>
      <c r="K432" s="2482"/>
      <c r="L432" s="2482"/>
      <c r="M432" s="2482"/>
      <c r="N432" s="2482"/>
      <c r="O432" s="2482"/>
      <c r="P432" s="2482"/>
      <c r="Q432" s="2482"/>
      <c r="R432" s="2482"/>
      <c r="S432" s="2482"/>
      <c r="T432" s="2482"/>
      <c r="U432" s="2482"/>
      <c r="V432" s="2482"/>
      <c r="W432" s="2482"/>
      <c r="X432" s="2482"/>
      <c r="Y432" s="2482"/>
      <c r="Z432" s="2482"/>
      <c r="AA432" s="2482"/>
      <c r="AB432" s="2482"/>
      <c r="AC432" s="2482"/>
      <c r="AD432" s="2482"/>
      <c r="AE432" s="2482"/>
      <c r="AF432" s="2533"/>
      <c r="AG432" s="2695">
        <f>'Applicant Notes'!E47</f>
        <v>7400</v>
      </c>
      <c r="AH432" s="2695"/>
      <c r="AI432" s="2695"/>
      <c r="AJ432" s="2695"/>
    </row>
    <row r="433" spans="1:36" ht="12.75" customHeight="1">
      <c r="D433" s="2494" t="s">
        <v>231</v>
      </c>
      <c r="E433" s="2543"/>
      <c r="F433" s="2543"/>
      <c r="G433" s="2543"/>
      <c r="H433" s="2543"/>
      <c r="I433" s="2543"/>
      <c r="J433" s="2543"/>
      <c r="K433" s="2543"/>
      <c r="L433" s="2543"/>
      <c r="M433" s="2543"/>
      <c r="N433" s="2543"/>
      <c r="O433" s="2543"/>
      <c r="P433" s="2543"/>
      <c r="Q433" s="2543"/>
      <c r="R433" s="2543"/>
      <c r="S433" s="2543"/>
      <c r="T433" s="2543"/>
      <c r="U433" s="2543"/>
      <c r="V433" s="2543"/>
      <c r="W433" s="2543"/>
      <c r="X433" s="2543"/>
      <c r="Y433" s="2543"/>
      <c r="Z433" s="2543"/>
      <c r="AA433" s="2543"/>
      <c r="AB433" s="2543"/>
      <c r="AC433" s="2543"/>
      <c r="AD433" s="2543"/>
      <c r="AE433" s="2543"/>
      <c r="AF433" s="2544"/>
      <c r="AG433" s="2695">
        <f>'Applicant Notes'!E49</f>
        <v>0</v>
      </c>
      <c r="AH433" s="2695"/>
      <c r="AI433" s="2695"/>
      <c r="AJ433" s="2695"/>
    </row>
    <row r="434" spans="1:36" ht="12.75">
      <c r="D434" s="2772" t="s">
        <v>2016</v>
      </c>
      <c r="E434" s="2543"/>
      <c r="F434" s="2543"/>
      <c r="G434" s="2543"/>
      <c r="H434" s="2543"/>
      <c r="I434" s="2543"/>
      <c r="J434" s="2543"/>
      <c r="K434" s="2543"/>
      <c r="L434" s="2543"/>
      <c r="M434" s="2543"/>
      <c r="N434" s="2543"/>
      <c r="O434" s="2543"/>
      <c r="P434" s="2543"/>
      <c r="Q434" s="2543"/>
      <c r="R434" s="2543"/>
      <c r="S434" s="2543"/>
      <c r="T434" s="2543"/>
      <c r="U434" s="2543"/>
      <c r="V434" s="2543"/>
      <c r="W434" s="2543"/>
      <c r="X434" s="2543"/>
      <c r="Y434" s="2543"/>
      <c r="Z434" s="2543"/>
      <c r="AA434" s="2543"/>
      <c r="AB434" s="2543"/>
      <c r="AC434" s="2543"/>
      <c r="AD434" s="2543"/>
      <c r="AE434" s="2543"/>
      <c r="AF434" s="2544"/>
      <c r="AG434" s="2695">
        <f>'Applicant Notes'!E50</f>
        <v>1900</v>
      </c>
      <c r="AH434" s="2695"/>
      <c r="AI434" s="2695"/>
      <c r="AJ434" s="2695"/>
    </row>
    <row r="435" spans="1:36" ht="12.75">
      <c r="D435" s="2494" t="s">
        <v>1554</v>
      </c>
      <c r="E435" s="2543"/>
      <c r="F435" s="2543"/>
      <c r="G435" s="2543"/>
      <c r="H435" s="2543"/>
      <c r="I435" s="2543"/>
      <c r="J435" s="2543"/>
      <c r="K435" s="2543"/>
      <c r="L435" s="2543"/>
      <c r="M435" s="2543"/>
      <c r="N435" s="2543"/>
      <c r="O435" s="2543"/>
      <c r="P435" s="2543"/>
      <c r="Q435" s="2543"/>
      <c r="R435" s="2543"/>
      <c r="S435" s="2543"/>
      <c r="T435" s="2543"/>
      <c r="U435" s="2543"/>
      <c r="V435" s="2543"/>
      <c r="W435" s="2543"/>
      <c r="X435" s="2543"/>
      <c r="Y435" s="2543"/>
      <c r="Z435" s="2543"/>
      <c r="AA435" s="2543"/>
      <c r="AB435" s="2543"/>
      <c r="AC435" s="2543"/>
      <c r="AD435" s="2543"/>
      <c r="AE435" s="2543"/>
      <c r="AF435" s="2544"/>
      <c r="AG435" s="2695">
        <f>'Applicant Notes'!E53</f>
        <v>54000</v>
      </c>
      <c r="AH435" s="2695"/>
      <c r="AI435" s="2695"/>
      <c r="AJ435" s="2695"/>
    </row>
    <row r="436" spans="1:36" ht="12.75">
      <c r="D436" s="2494" t="s">
        <v>1556</v>
      </c>
      <c r="E436" s="2543"/>
      <c r="F436" s="2543"/>
      <c r="G436" s="2543"/>
      <c r="H436" s="2543"/>
      <c r="I436" s="2543"/>
      <c r="J436" s="2543"/>
      <c r="K436" s="2543"/>
      <c r="L436" s="2543"/>
      <c r="M436" s="2543"/>
      <c r="N436" s="2543"/>
      <c r="O436" s="2543"/>
      <c r="P436" s="2543"/>
      <c r="Q436" s="2543"/>
      <c r="R436" s="2543"/>
      <c r="S436" s="2543"/>
      <c r="T436" s="2543"/>
      <c r="U436" s="2543"/>
      <c r="V436" s="2543"/>
      <c r="W436" s="2543"/>
      <c r="X436" s="2543"/>
      <c r="Y436" s="2543"/>
      <c r="Z436" s="2543"/>
      <c r="AA436" s="2543"/>
      <c r="AB436" s="2543"/>
      <c r="AC436" s="2543"/>
      <c r="AD436" s="2543"/>
      <c r="AE436" s="2543"/>
      <c r="AF436" s="2544"/>
      <c r="AG436" s="2771">
        <f>AG428+AG432+AG434+AG435</f>
        <v>261700</v>
      </c>
      <c r="AH436" s="2771"/>
      <c r="AI436" s="2771"/>
      <c r="AJ436" s="2771"/>
    </row>
    <row r="437" spans="1:36" ht="13.7" customHeight="1">
      <c r="D437" s="2531" t="s">
        <v>2017</v>
      </c>
      <c r="E437" s="2531"/>
      <c r="F437" s="2531"/>
      <c r="G437" s="2531"/>
      <c r="H437" s="2531"/>
      <c r="I437" s="2531"/>
      <c r="J437" s="2531"/>
      <c r="K437" s="2531"/>
      <c r="L437" s="2531"/>
      <c r="M437" s="2531"/>
      <c r="N437" s="2531"/>
      <c r="O437" s="2531"/>
      <c r="P437" s="2531"/>
      <c r="Q437" s="2531"/>
      <c r="R437" s="2531"/>
      <c r="S437" s="2531"/>
      <c r="T437" s="2531"/>
      <c r="U437" s="2531"/>
      <c r="V437" s="2531"/>
      <c r="W437" s="2531"/>
      <c r="X437" s="2531"/>
      <c r="Y437" s="2531"/>
      <c r="Z437" s="2531"/>
      <c r="AA437" s="2531"/>
      <c r="AB437" s="2531"/>
      <c r="AC437" s="2531"/>
      <c r="AD437" s="2531"/>
      <c r="AE437" s="2531"/>
      <c r="AF437" s="2531"/>
      <c r="AG437" s="2531"/>
      <c r="AH437" s="2531"/>
      <c r="AI437" s="2531"/>
      <c r="AJ437" s="2531"/>
    </row>
    <row r="438" spans="1:36" ht="12.75">
      <c r="D438" s="2532"/>
      <c r="E438" s="2532"/>
      <c r="F438" s="2532"/>
      <c r="G438" s="2532"/>
      <c r="H438" s="2532"/>
      <c r="I438" s="2532"/>
      <c r="J438" s="2532"/>
      <c r="K438" s="2532"/>
      <c r="L438" s="2532"/>
      <c r="M438" s="2532"/>
      <c r="N438" s="2532"/>
      <c r="O438" s="2532"/>
      <c r="P438" s="2532"/>
      <c r="Q438" s="2532"/>
      <c r="R438" s="2532"/>
      <c r="S438" s="2532"/>
      <c r="T438" s="2532"/>
      <c r="U438" s="2532"/>
      <c r="V438" s="2532"/>
      <c r="W438" s="2532"/>
      <c r="X438" s="2532"/>
      <c r="Y438" s="2532"/>
      <c r="Z438" s="2532"/>
      <c r="AA438" s="2532"/>
      <c r="AB438" s="2532"/>
      <c r="AC438" s="2532"/>
      <c r="AD438" s="2532"/>
      <c r="AE438" s="2532"/>
      <c r="AF438" s="2532"/>
      <c r="AG438" s="2532"/>
      <c r="AH438" s="2532"/>
      <c r="AI438" s="2532"/>
      <c r="AJ438" s="2532"/>
    </row>
    <row r="439" spans="1:36" ht="12.75">
      <c r="D439" s="2303"/>
      <c r="E439" s="2303"/>
      <c r="F439" s="2303"/>
      <c r="G439" s="2303"/>
      <c r="H439" s="2303"/>
      <c r="I439" s="2303"/>
      <c r="J439" s="2303"/>
      <c r="K439" s="2303"/>
      <c r="L439" s="2303"/>
      <c r="M439" s="2303"/>
      <c r="N439" s="2303"/>
      <c r="O439" s="2303"/>
      <c r="P439" s="2303"/>
      <c r="Q439" s="2303"/>
      <c r="R439" s="2303"/>
      <c r="S439" s="2303"/>
      <c r="T439" s="2303"/>
      <c r="U439" s="2303"/>
      <c r="V439" s="2303"/>
      <c r="W439" s="2303"/>
      <c r="X439" s="2303"/>
      <c r="Y439" s="2303"/>
      <c r="Z439" s="2303"/>
      <c r="AA439" s="2303"/>
      <c r="AB439" s="2303"/>
      <c r="AC439" s="2303"/>
      <c r="AD439" s="2303"/>
      <c r="AE439" s="2303"/>
      <c r="AF439" s="2303"/>
      <c r="AG439" s="2303"/>
      <c r="AH439" s="2303"/>
      <c r="AI439" s="2303"/>
      <c r="AJ439" s="2303"/>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2340">
        <f>'Sources and Uses Budget'!B104/Application!AG423</f>
        <v>229344.94</v>
      </c>
      <c r="AD440" s="2340"/>
      <c r="AE440" s="2340"/>
      <c r="AF440" s="2340"/>
      <c r="AG440" s="2707"/>
      <c r="AH440" s="2707"/>
      <c r="AI440" s="2707"/>
      <c r="AJ440" s="2707"/>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2340">
        <f>'Sources and Uses Budget'!C104/Application!AG423</f>
        <v>229344.94</v>
      </c>
      <c r="AD441" s="2340"/>
      <c r="AE441" s="2340"/>
      <c r="AF441" s="2340"/>
      <c r="AG441" s="2707"/>
      <c r="AH441" s="2707"/>
      <c r="AI441" s="2707"/>
      <c r="AJ441" s="2707"/>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2340">
        <f>('Sources and Uses Budget'!S106+'Sources and Uses Budget'!T106)/Application!AG423</f>
        <v>212039.19200000001</v>
      </c>
      <c r="AD442" s="2340"/>
      <c r="AE442" s="2340"/>
      <c r="AF442" s="234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2553" t="s">
        <v>236</v>
      </c>
      <c r="E451" s="2554"/>
      <c r="F451" s="2554"/>
      <c r="G451" s="2554"/>
      <c r="H451" s="2554"/>
      <c r="I451" s="2554"/>
      <c r="J451" s="2554"/>
      <c r="K451" s="2554"/>
      <c r="L451" s="2554"/>
      <c r="M451" s="2554"/>
      <c r="N451" s="2554"/>
      <c r="O451" s="2554"/>
      <c r="P451" s="2554"/>
      <c r="Q451" s="2554"/>
      <c r="R451" s="2554"/>
      <c r="S451" s="2554"/>
      <c r="T451" s="2554"/>
      <c r="U451" s="2554"/>
      <c r="V451" s="2555"/>
      <c r="W451" s="2685" t="s">
        <v>135</v>
      </c>
      <c r="X451" s="2686"/>
      <c r="Y451" s="2687"/>
      <c r="Z451" s="516"/>
      <c r="AA451" s="516"/>
      <c r="AB451" s="516"/>
      <c r="AC451" s="516"/>
      <c r="AD451" s="516"/>
      <c r="AE451" s="516"/>
      <c r="AF451" s="516"/>
      <c r="AG451" s="516"/>
      <c r="AH451" s="516"/>
      <c r="AI451" s="516"/>
      <c r="AJ451" s="341"/>
      <c r="AK451" s="341"/>
      <c r="AL451" s="341"/>
    </row>
    <row r="452" spans="1:96" ht="12.75" customHeight="1">
      <c r="A452" s="341"/>
      <c r="B452" s="341"/>
      <c r="C452" s="341"/>
      <c r="D452" s="2553" t="s">
        <v>237</v>
      </c>
      <c r="E452" s="2554"/>
      <c r="F452" s="2554"/>
      <c r="G452" s="2554"/>
      <c r="H452" s="2554"/>
      <c r="I452" s="2554"/>
      <c r="J452" s="2554"/>
      <c r="K452" s="2554"/>
      <c r="L452" s="2554"/>
      <c r="M452" s="2554"/>
      <c r="N452" s="2554"/>
      <c r="O452" s="2554"/>
      <c r="P452" s="2554"/>
      <c r="Q452" s="2554"/>
      <c r="R452" s="2554"/>
      <c r="S452" s="2554"/>
      <c r="T452" s="2554"/>
      <c r="U452" s="2554"/>
      <c r="V452" s="2555"/>
      <c r="W452" s="2685" t="s">
        <v>135</v>
      </c>
      <c r="X452" s="2686"/>
      <c r="Y452" s="2687"/>
      <c r="Z452" s="516"/>
      <c r="AA452" s="516"/>
      <c r="AB452" s="516"/>
      <c r="AC452" s="516"/>
      <c r="AD452" s="516"/>
      <c r="AE452" s="516"/>
      <c r="AF452" s="516"/>
      <c r="AG452" s="516"/>
      <c r="AH452" s="516"/>
      <c r="AI452" s="516"/>
      <c r="AJ452" s="341"/>
      <c r="AK452" s="341"/>
      <c r="AL452" s="341"/>
    </row>
    <row r="453" spans="1:96" ht="12.75" customHeight="1">
      <c r="A453" s="341"/>
      <c r="B453" s="341"/>
      <c r="C453" s="341"/>
      <c r="D453" s="2553" t="s">
        <v>238</v>
      </c>
      <c r="E453" s="2554"/>
      <c r="F453" s="2554"/>
      <c r="G453" s="2554"/>
      <c r="H453" s="2554"/>
      <c r="I453" s="2554"/>
      <c r="J453" s="2554"/>
      <c r="K453" s="2554"/>
      <c r="L453" s="2554"/>
      <c r="M453" s="2554"/>
      <c r="N453" s="2554"/>
      <c r="O453" s="2554"/>
      <c r="P453" s="2554"/>
      <c r="Q453" s="2554"/>
      <c r="R453" s="2554"/>
      <c r="S453" s="2554"/>
      <c r="T453" s="2554"/>
      <c r="U453" s="2554"/>
      <c r="V453" s="2555"/>
      <c r="W453" s="2685" t="s">
        <v>135</v>
      </c>
      <c r="X453" s="2686"/>
      <c r="Y453" s="2687"/>
      <c r="Z453" s="516"/>
      <c r="AA453" s="516"/>
      <c r="AB453" s="516"/>
      <c r="AC453" s="516"/>
      <c r="AD453" s="516"/>
      <c r="AE453" s="516"/>
      <c r="AF453" s="516"/>
      <c r="AG453" s="516"/>
      <c r="AH453" s="516"/>
      <c r="AI453" s="516"/>
      <c r="AJ453" s="341"/>
      <c r="AK453" s="341"/>
      <c r="AL453" s="341"/>
    </row>
    <row r="454" spans="1:96" ht="12.75" customHeight="1">
      <c r="A454" s="341"/>
      <c r="B454" s="341"/>
      <c r="C454" s="341"/>
      <c r="D454" s="2553" t="s">
        <v>242</v>
      </c>
      <c r="E454" s="2554"/>
      <c r="F454" s="2554"/>
      <c r="G454" s="2554"/>
      <c r="H454" s="2554"/>
      <c r="I454" s="2554"/>
      <c r="J454" s="2554"/>
      <c r="K454" s="2554"/>
      <c r="L454" s="2554"/>
      <c r="M454" s="2554"/>
      <c r="N454" s="2554"/>
      <c r="O454" s="2554"/>
      <c r="P454" s="2554"/>
      <c r="Q454" s="2554"/>
      <c r="R454" s="2554"/>
      <c r="S454" s="2554"/>
      <c r="T454" s="2554"/>
      <c r="U454" s="2554"/>
      <c r="V454" s="2555"/>
      <c r="W454" s="2685" t="s">
        <v>135</v>
      </c>
      <c r="X454" s="2686"/>
      <c r="Y454" s="2687"/>
      <c r="Z454" s="516"/>
      <c r="AA454" s="516"/>
      <c r="AB454" s="516"/>
      <c r="AC454" s="516"/>
      <c r="AD454" s="516"/>
      <c r="AE454" s="516"/>
      <c r="AF454" s="516"/>
      <c r="AG454" s="516"/>
      <c r="AH454" s="516"/>
      <c r="AI454" s="516"/>
      <c r="AJ454" s="341"/>
      <c r="AK454" s="341"/>
      <c r="AL454" s="341"/>
    </row>
    <row r="455" spans="1:96" ht="12.75" customHeight="1">
      <c r="A455" s="341"/>
      <c r="B455" s="341"/>
      <c r="C455" s="341"/>
      <c r="D455" s="2708" t="s">
        <v>1252</v>
      </c>
      <c r="E455" s="2554"/>
      <c r="F455" s="2554"/>
      <c r="G455" s="2554"/>
      <c r="H455" s="2554"/>
      <c r="I455" s="2554"/>
      <c r="J455" s="2554"/>
      <c r="K455" s="2554"/>
      <c r="L455" s="2554"/>
      <c r="M455" s="2554"/>
      <c r="N455" s="2554"/>
      <c r="O455" s="2554"/>
      <c r="P455" s="2554"/>
      <c r="Q455" s="2554"/>
      <c r="R455" s="2554"/>
      <c r="S455" s="2554"/>
      <c r="T455" s="2554"/>
      <c r="U455" s="2554"/>
      <c r="V455" s="2555"/>
      <c r="W455" s="2685" t="s">
        <v>135</v>
      </c>
      <c r="X455" s="2686"/>
      <c r="Y455" s="2687"/>
      <c r="Z455" s="516"/>
      <c r="AA455" s="516"/>
      <c r="AB455" s="516"/>
      <c r="AC455" s="516"/>
      <c r="AD455" s="516"/>
      <c r="AE455" s="516"/>
      <c r="AF455" s="516"/>
      <c r="AG455" s="516"/>
      <c r="AH455" s="516"/>
      <c r="AI455" s="516"/>
      <c r="AJ455" s="341"/>
      <c r="AK455" s="341"/>
      <c r="AL455" s="341"/>
    </row>
    <row r="456" spans="1:96" ht="12.75" customHeight="1">
      <c r="A456" s="341"/>
      <c r="B456" s="341"/>
      <c r="C456" s="341"/>
      <c r="D456" s="2553" t="s">
        <v>246</v>
      </c>
      <c r="E456" s="2554"/>
      <c r="F456" s="2554"/>
      <c r="G456" s="2554"/>
      <c r="H456" s="2554"/>
      <c r="I456" s="2554"/>
      <c r="J456" s="2554"/>
      <c r="K456" s="2554"/>
      <c r="L456" s="2554"/>
      <c r="M456" s="2554"/>
      <c r="N456" s="2554"/>
      <c r="O456" s="2554"/>
      <c r="P456" s="2554"/>
      <c r="Q456" s="2554"/>
      <c r="R456" s="2554"/>
      <c r="S456" s="2554"/>
      <c r="T456" s="2554"/>
      <c r="U456" s="2554"/>
      <c r="V456" s="2555"/>
      <c r="W456" s="2685" t="s">
        <v>135</v>
      </c>
      <c r="X456" s="2686"/>
      <c r="Y456" s="2687"/>
      <c r="Z456" s="516"/>
      <c r="AA456" s="516"/>
      <c r="AB456" s="516"/>
      <c r="AC456" s="516"/>
      <c r="AD456" s="516"/>
      <c r="AE456" s="516"/>
      <c r="AF456" s="516"/>
      <c r="AG456" s="516"/>
      <c r="AH456" s="516"/>
      <c r="AI456" s="516"/>
      <c r="AJ456" s="341"/>
      <c r="AK456" s="341"/>
      <c r="AL456" s="341"/>
    </row>
    <row r="457" spans="1:96" ht="12.75" customHeight="1">
      <c r="A457" s="937"/>
      <c r="B457" s="937"/>
      <c r="C457" s="937"/>
      <c r="D457" s="2708" t="s">
        <v>1474</v>
      </c>
      <c r="E457" s="2778"/>
      <c r="F457" s="2778"/>
      <c r="G457" s="2778"/>
      <c r="H457" s="2778"/>
      <c r="I457" s="2778"/>
      <c r="J457" s="2778"/>
      <c r="K457" s="2778"/>
      <c r="L457" s="2778"/>
      <c r="M457" s="2778"/>
      <c r="N457" s="2778"/>
      <c r="O457" s="2778"/>
      <c r="P457" s="2778"/>
      <c r="Q457" s="2778"/>
      <c r="R457" s="2778"/>
      <c r="S457" s="2778"/>
      <c r="T457" s="2778"/>
      <c r="U457" s="2778"/>
      <c r="V457" s="2779"/>
      <c r="W457" s="2781" t="s">
        <v>135</v>
      </c>
      <c r="X457" s="2782"/>
      <c r="Y457" s="278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796"/>
      <c r="H458" s="2797"/>
      <c r="I458" s="2797"/>
      <c r="J458" s="2797"/>
      <c r="K458" s="2797"/>
      <c r="L458" s="2797"/>
      <c r="M458" s="2797"/>
      <c r="N458" s="2797"/>
      <c r="O458" s="2797"/>
      <c r="P458" s="2797"/>
      <c r="Q458" s="2797"/>
      <c r="R458" s="2797"/>
      <c r="S458" s="2797"/>
      <c r="T458" s="2797"/>
      <c r="U458" s="2797"/>
      <c r="V458" s="2798"/>
      <c r="W458" s="2685" t="s">
        <v>135</v>
      </c>
      <c r="X458" s="2686"/>
      <c r="Y458" s="268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2692" t="s">
        <v>239</v>
      </c>
      <c r="E462" s="2693"/>
      <c r="F462" s="2693"/>
      <c r="G462" s="2693"/>
      <c r="H462" s="2693"/>
      <c r="I462" s="2693"/>
      <c r="J462" s="2693"/>
      <c r="K462" s="2693"/>
      <c r="L462" s="2693"/>
      <c r="M462" s="2693"/>
      <c r="N462" s="2693"/>
      <c r="O462" s="2693"/>
      <c r="P462" s="2693"/>
      <c r="Q462" s="2693"/>
      <c r="R462" s="2693"/>
      <c r="S462" s="2693"/>
      <c r="T462" s="2693"/>
      <c r="U462" s="2693"/>
      <c r="V462" s="2693"/>
      <c r="W462" s="2768"/>
      <c r="X462" s="2768"/>
      <c r="Y462" s="276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2553" t="s">
        <v>240</v>
      </c>
      <c r="E463" s="2554"/>
      <c r="F463" s="2554"/>
      <c r="G463" s="2554"/>
      <c r="H463" s="2554"/>
      <c r="I463" s="2554"/>
      <c r="J463" s="2554"/>
      <c r="K463" s="2554"/>
      <c r="L463" s="2554"/>
      <c r="M463" s="2554"/>
      <c r="N463" s="2554"/>
      <c r="O463" s="2554"/>
      <c r="P463" s="2554"/>
      <c r="Q463" s="2554"/>
      <c r="R463" s="2554"/>
      <c r="S463" s="2554"/>
      <c r="T463" s="2554"/>
      <c r="U463" s="2554"/>
      <c r="V463" s="2555"/>
      <c r="W463" s="2685" t="s">
        <v>135</v>
      </c>
      <c r="X463" s="2686"/>
      <c r="Y463" s="268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2314" t="s">
        <v>1161</v>
      </c>
      <c r="B466" s="2314"/>
      <c r="C466" s="2314"/>
      <c r="D466" s="2314"/>
      <c r="E466" s="2314"/>
      <c r="F466" s="2314"/>
      <c r="G466" s="2314"/>
      <c r="H466" s="2314"/>
      <c r="I466" s="2314"/>
      <c r="J466" s="2314"/>
      <c r="K466" s="2314"/>
      <c r="L466" s="2314"/>
      <c r="M466" s="2314"/>
      <c r="N466" s="2314"/>
      <c r="O466" s="2314"/>
      <c r="P466" s="2314"/>
      <c r="Q466" s="2314"/>
      <c r="R466" s="2314"/>
      <c r="S466" s="2314"/>
      <c r="T466" s="2314"/>
      <c r="U466" s="2314"/>
      <c r="V466" s="2314"/>
      <c r="W466" s="2314"/>
      <c r="X466" s="2314"/>
      <c r="Y466" s="2314"/>
      <c r="Z466" s="2314"/>
      <c r="AA466" s="2314"/>
      <c r="AB466" s="2314"/>
      <c r="AC466" s="2314"/>
      <c r="AD466" s="2314"/>
      <c r="AE466" s="2314"/>
      <c r="AF466" s="2314"/>
      <c r="AG466" s="2314"/>
      <c r="AH466" s="2314"/>
      <c r="AI466" s="2314"/>
      <c r="AJ466" s="2314"/>
      <c r="AK466" s="2314"/>
      <c r="AL466" s="231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2315"/>
      <c r="B467" s="2315"/>
      <c r="C467" s="2315"/>
      <c r="D467" s="2315"/>
      <c r="E467" s="2315"/>
      <c r="F467" s="2315"/>
      <c r="G467" s="2315"/>
      <c r="H467" s="2315"/>
      <c r="I467" s="2315"/>
      <c r="J467" s="2315"/>
      <c r="K467" s="2315"/>
      <c r="L467" s="2315"/>
      <c r="M467" s="2315"/>
      <c r="N467" s="2315"/>
      <c r="O467" s="2315"/>
      <c r="P467" s="2315"/>
      <c r="Q467" s="2315"/>
      <c r="R467" s="2315"/>
      <c r="S467" s="2315"/>
      <c r="T467" s="2315"/>
      <c r="U467" s="2315"/>
      <c r="V467" s="2315"/>
      <c r="W467" s="2315"/>
      <c r="X467" s="2315"/>
      <c r="Y467" s="2315"/>
      <c r="Z467" s="2315"/>
      <c r="AA467" s="2315"/>
      <c r="AB467" s="2315"/>
      <c r="AC467" s="2315"/>
      <c r="AD467" s="2315"/>
      <c r="AE467" s="2315"/>
      <c r="AF467" s="2315"/>
      <c r="AG467" s="2315"/>
      <c r="AH467" s="2315"/>
      <c r="AI467" s="2315"/>
      <c r="AJ467" s="2315"/>
      <c r="AK467" s="2315"/>
      <c r="AL467" s="231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2689" t="s">
        <v>1162</v>
      </c>
      <c r="U471" s="2690"/>
      <c r="V471" s="2690"/>
      <c r="W471" s="2690"/>
      <c r="X471" s="2690"/>
      <c r="Y471" s="2690"/>
      <c r="Z471" s="2690"/>
      <c r="AA471" s="2690"/>
      <c r="AB471" s="2690"/>
      <c r="AC471" s="2690"/>
      <c r="AD471" s="2690"/>
      <c r="AE471" s="2690"/>
      <c r="AF471" s="2690"/>
      <c r="AG471" s="2690"/>
      <c r="AH471" s="269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2673" t="s">
        <v>880</v>
      </c>
      <c r="U472" s="2673"/>
      <c r="V472" s="2673"/>
      <c r="W472" s="2673"/>
      <c r="X472" s="2673"/>
      <c r="Y472" s="2673" t="s">
        <v>881</v>
      </c>
      <c r="Z472" s="2673"/>
      <c r="AA472" s="2673"/>
      <c r="AB472" s="2673"/>
      <c r="AC472" s="2673"/>
      <c r="AD472" s="2673" t="s">
        <v>943</v>
      </c>
      <c r="AE472" s="2673"/>
      <c r="AF472" s="2673"/>
      <c r="AG472" s="2673"/>
      <c r="AH472" s="267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2673"/>
      <c r="U473" s="2673"/>
      <c r="V473" s="2673"/>
      <c r="W473" s="2673"/>
      <c r="X473" s="2673"/>
      <c r="Y473" s="2673"/>
      <c r="Z473" s="2673"/>
      <c r="AA473" s="2673"/>
      <c r="AB473" s="2673"/>
      <c r="AC473" s="2673"/>
      <c r="AD473" s="2673"/>
      <c r="AE473" s="2673"/>
      <c r="AF473" s="2673"/>
      <c r="AG473" s="2673"/>
      <c r="AH473" s="267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2675">
        <v>0</v>
      </c>
      <c r="U474" s="2675"/>
      <c r="V474" s="2675"/>
      <c r="W474" s="2675"/>
      <c r="X474" s="2675"/>
      <c r="Y474" s="2675">
        <v>44135</v>
      </c>
      <c r="Z474" s="2675"/>
      <c r="AA474" s="2675"/>
      <c r="AB474" s="2675"/>
      <c r="AC474" s="2675"/>
      <c r="AD474" s="2675">
        <v>0</v>
      </c>
      <c r="AE474" s="2675"/>
      <c r="AF474" s="2675"/>
      <c r="AG474" s="2675"/>
      <c r="AH474" s="267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2675">
        <v>0</v>
      </c>
      <c r="U475" s="2675"/>
      <c r="V475" s="2675"/>
      <c r="W475" s="2675"/>
      <c r="X475" s="2675"/>
      <c r="Y475" s="2675">
        <v>44165</v>
      </c>
      <c r="Z475" s="2675"/>
      <c r="AA475" s="2675"/>
      <c r="AB475" s="2675"/>
      <c r="AC475" s="2675"/>
      <c r="AD475" s="2675">
        <v>0</v>
      </c>
      <c r="AE475" s="2675"/>
      <c r="AF475" s="2675"/>
      <c r="AG475" s="2675"/>
      <c r="AH475" s="267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2675">
        <v>0</v>
      </c>
      <c r="U476" s="2675"/>
      <c r="V476" s="2675"/>
      <c r="W476" s="2675"/>
      <c r="X476" s="2675"/>
      <c r="Y476" s="2675">
        <v>44165</v>
      </c>
      <c r="Z476" s="2675"/>
      <c r="AA476" s="2675"/>
      <c r="AB476" s="2675"/>
      <c r="AC476" s="2675"/>
      <c r="AD476" s="2675">
        <v>0</v>
      </c>
      <c r="AE476" s="2675"/>
      <c r="AF476" s="2675"/>
      <c r="AG476" s="2675"/>
      <c r="AH476" s="267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2675">
        <v>0</v>
      </c>
      <c r="U477" s="2675"/>
      <c r="V477" s="2675"/>
      <c r="W477" s="2675"/>
      <c r="X477" s="2675"/>
      <c r="Y477" s="2675">
        <v>44165</v>
      </c>
      <c r="Z477" s="2675"/>
      <c r="AA477" s="2675"/>
      <c r="AB477" s="2675"/>
      <c r="AC477" s="2675"/>
      <c r="AD477" s="2675">
        <v>0</v>
      </c>
      <c r="AE477" s="2675"/>
      <c r="AF477" s="2675"/>
      <c r="AG477" s="2675"/>
      <c r="AH477" s="267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2675">
        <v>0</v>
      </c>
      <c r="U478" s="2675"/>
      <c r="V478" s="2675"/>
      <c r="W478" s="2675"/>
      <c r="X478" s="2675"/>
      <c r="Y478" s="2675">
        <v>44165</v>
      </c>
      <c r="Z478" s="2675"/>
      <c r="AA478" s="2675"/>
      <c r="AB478" s="2675"/>
      <c r="AC478" s="2675"/>
      <c r="AD478" s="2675">
        <v>0</v>
      </c>
      <c r="AE478" s="2675"/>
      <c r="AF478" s="2675"/>
      <c r="AG478" s="2675"/>
      <c r="AH478" s="267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2675">
        <v>0</v>
      </c>
      <c r="U479" s="2675"/>
      <c r="V479" s="2675"/>
      <c r="W479" s="2675"/>
      <c r="X479" s="2675"/>
      <c r="Y479" s="2675" t="s">
        <v>135</v>
      </c>
      <c r="Z479" s="2675"/>
      <c r="AA479" s="2675"/>
      <c r="AB479" s="2675"/>
      <c r="AC479" s="2675"/>
      <c r="AD479" s="2675">
        <v>0</v>
      </c>
      <c r="AE479" s="2675"/>
      <c r="AF479" s="2675"/>
      <c r="AG479" s="2675"/>
      <c r="AH479" s="267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2675">
        <v>0</v>
      </c>
      <c r="U480" s="2675"/>
      <c r="V480" s="2675"/>
      <c r="W480" s="2675"/>
      <c r="X480" s="2675"/>
      <c r="Y480" s="2675">
        <v>44135</v>
      </c>
      <c r="Z480" s="2675"/>
      <c r="AA480" s="2675"/>
      <c r="AB480" s="2675"/>
      <c r="AC480" s="2675"/>
      <c r="AD480" s="2675">
        <v>0</v>
      </c>
      <c r="AE480" s="2675"/>
      <c r="AF480" s="2675"/>
      <c r="AG480" s="2675"/>
      <c r="AH480" s="267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2675">
        <v>0</v>
      </c>
      <c r="U481" s="2675"/>
      <c r="V481" s="2675"/>
      <c r="W481" s="2675"/>
      <c r="X481" s="2675"/>
      <c r="Y481" s="2675">
        <v>44165</v>
      </c>
      <c r="Z481" s="2675"/>
      <c r="AA481" s="2675"/>
      <c r="AB481" s="2675"/>
      <c r="AC481" s="2675"/>
      <c r="AD481" s="2675">
        <v>0</v>
      </c>
      <c r="AE481" s="2675"/>
      <c r="AF481" s="2675"/>
      <c r="AG481" s="2675"/>
      <c r="AH481" s="267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2675">
        <v>0</v>
      </c>
      <c r="U482" s="2675"/>
      <c r="V482" s="2675"/>
      <c r="W482" s="2675"/>
      <c r="X482" s="2675"/>
      <c r="Y482" s="2675">
        <v>44165</v>
      </c>
      <c r="Z482" s="2675"/>
      <c r="AA482" s="2675"/>
      <c r="AB482" s="2675"/>
      <c r="AC482" s="2675"/>
      <c r="AD482" s="2675">
        <v>0</v>
      </c>
      <c r="AE482" s="2675"/>
      <c r="AF482" s="2675"/>
      <c r="AG482" s="2675"/>
      <c r="AH482" s="267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2675">
        <v>0</v>
      </c>
      <c r="U483" s="2675"/>
      <c r="V483" s="2675"/>
      <c r="W483" s="2675"/>
      <c r="X483" s="2675"/>
      <c r="Y483" s="2675" t="s">
        <v>135</v>
      </c>
      <c r="Z483" s="2675"/>
      <c r="AA483" s="2675"/>
      <c r="AB483" s="2675"/>
      <c r="AC483" s="2675"/>
      <c r="AD483" s="2675">
        <v>0</v>
      </c>
      <c r="AE483" s="2675"/>
      <c r="AF483" s="2675"/>
      <c r="AG483" s="2675"/>
      <c r="AH483" s="267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2689" t="s">
        <v>266</v>
      </c>
      <c r="R485" s="2690"/>
      <c r="S485" s="2690"/>
      <c r="T485" s="2690"/>
      <c r="U485" s="2690"/>
      <c r="V485" s="2690"/>
      <c r="W485" s="2690"/>
      <c r="X485" s="2690"/>
      <c r="Y485" s="2690"/>
      <c r="Z485" s="2690"/>
      <c r="AA485" s="2690"/>
      <c r="AB485" s="2690"/>
      <c r="AC485" s="2690"/>
      <c r="AD485" s="2690"/>
      <c r="AE485" s="2690"/>
      <c r="AF485" s="2690"/>
      <c r="AG485" s="2690"/>
      <c r="AH485" s="2690"/>
      <c r="AI485" s="2690"/>
      <c r="AJ485" s="2690"/>
      <c r="AK485" s="269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2688" t="s">
        <v>2672</v>
      </c>
      <c r="R486" s="2436"/>
      <c r="S486" s="2436"/>
      <c r="T486" s="2436"/>
      <c r="U486" s="2436"/>
      <c r="V486" s="2436"/>
      <c r="W486" s="2436"/>
      <c r="X486" s="2436"/>
      <c r="Y486" s="2436"/>
      <c r="Z486" s="2436"/>
      <c r="AA486" s="2436"/>
      <c r="AB486" s="2436"/>
      <c r="AC486" s="2436"/>
      <c r="AD486" s="2436"/>
      <c r="AE486" s="2436"/>
      <c r="AF486" s="2436"/>
      <c r="AG486" s="2436"/>
      <c r="AH486" s="2436"/>
      <c r="AI486" s="2436"/>
      <c r="AJ486" s="2436"/>
      <c r="AK486" s="237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2688" t="s">
        <v>2704</v>
      </c>
      <c r="R487" s="2436"/>
      <c r="S487" s="2436"/>
      <c r="T487" s="2436"/>
      <c r="U487" s="2436"/>
      <c r="V487" s="2436"/>
      <c r="W487" s="2436"/>
      <c r="X487" s="2436"/>
      <c r="Y487" s="2436"/>
      <c r="Z487" s="2436"/>
      <c r="AA487" s="2436"/>
      <c r="AB487" s="2436"/>
      <c r="AC487" s="2436"/>
      <c r="AD487" s="2436"/>
      <c r="AE487" s="2436"/>
      <c r="AF487" s="2436"/>
      <c r="AG487" s="2436"/>
      <c r="AH487" s="2436"/>
      <c r="AI487" s="2436"/>
      <c r="AJ487" s="2436"/>
      <c r="AK487" s="237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2688" t="str">
        <f>CONCATENATE(Q487," ,",ROUND(AF405,0)," DUs/Acre")</f>
        <v>SP2: Harbor Mixed Use Transit Corridor Plan ,342 DUs/Acre</v>
      </c>
      <c r="R488" s="2436"/>
      <c r="S488" s="2436"/>
      <c r="T488" s="2436"/>
      <c r="U488" s="2436"/>
      <c r="V488" s="2436"/>
      <c r="W488" s="2436"/>
      <c r="X488" s="2436"/>
      <c r="Y488" s="2436"/>
      <c r="Z488" s="2436"/>
      <c r="AA488" s="2436"/>
      <c r="AB488" s="2436"/>
      <c r="AC488" s="2436"/>
      <c r="AD488" s="2436"/>
      <c r="AE488" s="2436"/>
      <c r="AF488" s="2436"/>
      <c r="AG488" s="2436"/>
      <c r="AH488" s="2436"/>
      <c r="AI488" s="2436"/>
      <c r="AJ488" s="2436"/>
      <c r="AK488" s="237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442" t="s">
        <v>270</v>
      </c>
      <c r="C489" s="2443"/>
      <c r="D489" s="2443"/>
      <c r="E489" s="2443"/>
      <c r="F489" s="2443"/>
      <c r="G489" s="2443"/>
      <c r="H489" s="2443"/>
      <c r="I489" s="2443"/>
      <c r="J489" s="2443"/>
      <c r="K489" s="2443"/>
      <c r="L489" s="2443"/>
      <c r="M489" s="2443"/>
      <c r="N489" s="2443"/>
      <c r="O489" s="2443"/>
      <c r="P489" s="244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445"/>
      <c r="C490" s="2446"/>
      <c r="D490" s="2446"/>
      <c r="E490" s="2446"/>
      <c r="F490" s="2446"/>
      <c r="G490" s="2446"/>
      <c r="H490" s="2446"/>
      <c r="I490" s="2446"/>
      <c r="J490" s="2446"/>
      <c r="K490" s="2446"/>
      <c r="L490" s="2446"/>
      <c r="M490" s="2446"/>
      <c r="N490" s="2446"/>
      <c r="O490" s="2446"/>
      <c r="P490" s="2447"/>
      <c r="Q490" s="2451" t="s">
        <v>118</v>
      </c>
      <c r="R490" s="2452"/>
      <c r="S490" s="2455" t="s">
        <v>2649</v>
      </c>
      <c r="T490" s="2456"/>
      <c r="U490" s="2456"/>
      <c r="V490" s="2456"/>
      <c r="W490" s="2456"/>
      <c r="X490" s="2456"/>
      <c r="Y490" s="2456"/>
      <c r="Z490" s="2456"/>
      <c r="AA490" s="2456"/>
      <c r="AB490" s="2456"/>
      <c r="AC490" s="2456"/>
      <c r="AD490" s="2456"/>
      <c r="AE490" s="2456"/>
      <c r="AF490" s="2456"/>
      <c r="AG490" s="2456"/>
      <c r="AH490" s="2456"/>
      <c r="AI490" s="2456"/>
      <c r="AJ490" s="2456"/>
      <c r="AK490" s="245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448"/>
      <c r="C491" s="2449"/>
      <c r="D491" s="2449"/>
      <c r="E491" s="2449"/>
      <c r="F491" s="2449"/>
      <c r="G491" s="2449"/>
      <c r="H491" s="2449"/>
      <c r="I491" s="2449"/>
      <c r="J491" s="2449"/>
      <c r="K491" s="2449"/>
      <c r="L491" s="2449"/>
      <c r="M491" s="2449"/>
      <c r="N491" s="2449"/>
      <c r="O491" s="2449"/>
      <c r="P491" s="2450"/>
      <c r="Q491" s="2453"/>
      <c r="R491" s="2454"/>
      <c r="S491" s="2458"/>
      <c r="T491" s="2459"/>
      <c r="U491" s="2459"/>
      <c r="V491" s="2459"/>
      <c r="W491" s="2459"/>
      <c r="X491" s="2459"/>
      <c r="Y491" s="2459"/>
      <c r="Z491" s="2459"/>
      <c r="AA491" s="2459"/>
      <c r="AB491" s="2459"/>
      <c r="AC491" s="2459"/>
      <c r="AD491" s="2459"/>
      <c r="AE491" s="2459"/>
      <c r="AF491" s="2459"/>
      <c r="AG491" s="2459"/>
      <c r="AH491" s="2459"/>
      <c r="AI491" s="2459"/>
      <c r="AJ491" s="2459"/>
      <c r="AK491" s="2460"/>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2688" t="s">
        <v>2705</v>
      </c>
      <c r="R492" s="2436"/>
      <c r="S492" s="2436"/>
      <c r="T492" s="2436"/>
      <c r="U492" s="2436"/>
      <c r="V492" s="2436"/>
      <c r="W492" s="2436"/>
      <c r="X492" s="2436"/>
      <c r="Y492" s="2436"/>
      <c r="Z492" s="2436"/>
      <c r="AA492" s="2436"/>
      <c r="AB492" s="2436"/>
      <c r="AC492" s="2436"/>
      <c r="AD492" s="2436"/>
      <c r="AE492" s="2436"/>
      <c r="AF492" s="2436"/>
      <c r="AG492" s="2436"/>
      <c r="AH492" s="2436"/>
      <c r="AI492" s="2436"/>
      <c r="AJ492" s="2436"/>
      <c r="AK492" s="237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2688" t="s">
        <v>2706</v>
      </c>
      <c r="R493" s="2436"/>
      <c r="S493" s="2436"/>
      <c r="T493" s="2436"/>
      <c r="U493" s="2436"/>
      <c r="V493" s="2436"/>
      <c r="W493" s="2436"/>
      <c r="X493" s="2436"/>
      <c r="Y493" s="2436"/>
      <c r="Z493" s="2436"/>
      <c r="AA493" s="2436"/>
      <c r="AB493" s="2436"/>
      <c r="AC493" s="2436"/>
      <c r="AD493" s="2436"/>
      <c r="AE493" s="2436"/>
      <c r="AF493" s="2436"/>
      <c r="AG493" s="2436"/>
      <c r="AH493" s="2436"/>
      <c r="AI493" s="2436"/>
      <c r="AJ493" s="2436"/>
      <c r="AK493" s="237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2689" t="s">
        <v>274</v>
      </c>
      <c r="AD498" s="2690"/>
      <c r="AE498" s="2690"/>
      <c r="AF498" s="2690"/>
      <c r="AG498" s="2690"/>
      <c r="AH498" s="2690"/>
      <c r="AI498" s="2690"/>
      <c r="AJ498" s="2690"/>
      <c r="AK498" s="269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717" t="s">
        <v>275</v>
      </c>
      <c r="AD499" s="2718"/>
      <c r="AE499" s="2718"/>
      <c r="AF499" s="2718"/>
      <c r="AG499" s="96" t="s">
        <v>276</v>
      </c>
      <c r="AH499" s="2718" t="s">
        <v>277</v>
      </c>
      <c r="AI499" s="2718"/>
      <c r="AJ499" s="2718"/>
      <c r="AK499" s="27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2676" t="s">
        <v>278</v>
      </c>
      <c r="C500" s="2677"/>
      <c r="D500" s="2677"/>
      <c r="E500" s="2677"/>
      <c r="F500" s="2677"/>
      <c r="G500" s="2677"/>
      <c r="H500" s="2678"/>
      <c r="I500" s="86" t="s">
        <v>744</v>
      </c>
      <c r="J500" s="86"/>
      <c r="K500" s="86"/>
      <c r="L500" s="86"/>
      <c r="M500" s="86"/>
      <c r="N500" s="86"/>
      <c r="O500" s="86"/>
      <c r="P500" s="86"/>
      <c r="Q500" s="86"/>
      <c r="R500" s="86"/>
      <c r="S500" s="86"/>
      <c r="T500" s="86"/>
      <c r="U500" s="86"/>
      <c r="V500" s="86"/>
      <c r="W500" s="86"/>
      <c r="X500" s="35"/>
      <c r="Y500" s="35"/>
      <c r="AC500" s="2674">
        <v>10</v>
      </c>
      <c r="AD500" s="2520"/>
      <c r="AE500" s="2520"/>
      <c r="AF500" s="2520"/>
      <c r="AG500" s="89" t="s">
        <v>276</v>
      </c>
      <c r="AH500" s="2325">
        <v>2020</v>
      </c>
      <c r="AI500" s="2325"/>
      <c r="AJ500" s="2325"/>
      <c r="AK500" s="232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2679"/>
      <c r="C501" s="2680"/>
      <c r="D501" s="2680"/>
      <c r="E501" s="2680"/>
      <c r="F501" s="2680"/>
      <c r="G501" s="2680"/>
      <c r="H501" s="2681"/>
      <c r="I501" s="94" t="s">
        <v>745</v>
      </c>
      <c r="J501" s="94"/>
      <c r="K501" s="94"/>
      <c r="L501" s="94"/>
      <c r="M501" s="94"/>
      <c r="N501" s="94"/>
      <c r="O501" s="94"/>
      <c r="P501" s="94"/>
      <c r="Q501" s="94"/>
      <c r="R501" s="94"/>
      <c r="S501" s="94"/>
      <c r="T501" s="94"/>
      <c r="U501" s="94"/>
      <c r="V501" s="94"/>
      <c r="W501" s="94"/>
      <c r="X501" s="94"/>
      <c r="Y501" s="94"/>
      <c r="Z501" s="94"/>
      <c r="AA501" s="94"/>
      <c r="AB501" s="94"/>
      <c r="AC501" s="2674">
        <v>1</v>
      </c>
      <c r="AD501" s="2520"/>
      <c r="AE501" s="2520"/>
      <c r="AF501" s="2520"/>
      <c r="AG501" s="79" t="s">
        <v>276</v>
      </c>
      <c r="AH501" s="2325">
        <v>2021</v>
      </c>
      <c r="AI501" s="2325"/>
      <c r="AJ501" s="2325"/>
      <c r="AK501" s="232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2676" t="s">
        <v>746</v>
      </c>
      <c r="C502" s="2677"/>
      <c r="D502" s="2677"/>
      <c r="E502" s="2677"/>
      <c r="F502" s="2677"/>
      <c r="G502" s="2677"/>
      <c r="H502" s="2678"/>
      <c r="I502" s="86" t="s">
        <v>747</v>
      </c>
      <c r="J502" s="86"/>
      <c r="K502" s="86"/>
      <c r="L502" s="86"/>
      <c r="M502" s="86"/>
      <c r="N502" s="86"/>
      <c r="O502" s="86"/>
      <c r="P502" s="86"/>
      <c r="Q502" s="86"/>
      <c r="R502" s="86"/>
      <c r="S502" s="86"/>
      <c r="T502" s="86"/>
      <c r="U502" s="86"/>
      <c r="V502" s="86"/>
      <c r="W502" s="86"/>
      <c r="X502" s="35"/>
      <c r="Y502" s="35"/>
      <c r="AC502" s="2674">
        <v>11</v>
      </c>
      <c r="AD502" s="2520"/>
      <c r="AE502" s="2520"/>
      <c r="AF502" s="2520"/>
      <c r="AG502" s="89" t="s">
        <v>276</v>
      </c>
      <c r="AH502" s="2325">
        <v>2020</v>
      </c>
      <c r="AI502" s="2325"/>
      <c r="AJ502" s="2325"/>
      <c r="AK502" s="232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2679"/>
      <c r="C503" s="2680"/>
      <c r="D503" s="2680"/>
      <c r="E503" s="2680"/>
      <c r="F503" s="2680"/>
      <c r="G503" s="2680"/>
      <c r="H503" s="2681"/>
      <c r="I503" s="35" t="s">
        <v>748</v>
      </c>
      <c r="J503" s="35"/>
      <c r="K503" s="35"/>
      <c r="L503" s="35"/>
      <c r="M503" s="35"/>
      <c r="N503" s="35"/>
      <c r="O503" s="35"/>
      <c r="P503" s="35"/>
      <c r="Q503" s="35"/>
      <c r="R503" s="35"/>
      <c r="S503" s="35"/>
      <c r="T503" s="35"/>
      <c r="U503" s="35"/>
      <c r="V503" s="35"/>
      <c r="W503" s="35"/>
      <c r="X503" s="35"/>
      <c r="Y503" s="35"/>
      <c r="AC503" s="2674">
        <v>11</v>
      </c>
      <c r="AD503" s="2520"/>
      <c r="AE503" s="2520"/>
      <c r="AF503" s="2520"/>
      <c r="AG503" s="89" t="s">
        <v>276</v>
      </c>
      <c r="AH503" s="2325">
        <v>2020</v>
      </c>
      <c r="AI503" s="2325"/>
      <c r="AJ503" s="2325"/>
      <c r="AK503" s="232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2679"/>
      <c r="C504" s="2680"/>
      <c r="D504" s="2680"/>
      <c r="E504" s="2680"/>
      <c r="F504" s="2680"/>
      <c r="G504" s="2680"/>
      <c r="H504" s="2681"/>
      <c r="I504" s="35" t="s">
        <v>749</v>
      </c>
      <c r="J504" s="35"/>
      <c r="K504" s="35"/>
      <c r="L504" s="35"/>
      <c r="M504" s="35"/>
      <c r="N504" s="35"/>
      <c r="O504" s="35"/>
      <c r="P504" s="35"/>
      <c r="Q504" s="35"/>
      <c r="R504" s="35"/>
      <c r="S504" s="35"/>
      <c r="T504" s="35"/>
      <c r="U504" s="35"/>
      <c r="V504" s="35"/>
      <c r="W504" s="35"/>
      <c r="X504" s="35"/>
      <c r="Y504" s="35"/>
      <c r="AC504" s="2674">
        <v>10</v>
      </c>
      <c r="AD504" s="2520"/>
      <c r="AE504" s="2520"/>
      <c r="AF504" s="2520"/>
      <c r="AG504" s="89" t="s">
        <v>276</v>
      </c>
      <c r="AH504" s="2325">
        <v>2020</v>
      </c>
      <c r="AI504" s="2325"/>
      <c r="AJ504" s="2325"/>
      <c r="AK504" s="232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2679"/>
      <c r="C505" s="2680"/>
      <c r="D505" s="2680"/>
      <c r="E505" s="2680"/>
      <c r="F505" s="2680"/>
      <c r="G505" s="2680"/>
      <c r="H505" s="2681"/>
      <c r="I505" s="35" t="s">
        <v>750</v>
      </c>
      <c r="J505" s="35"/>
      <c r="K505" s="35"/>
      <c r="L505" s="35"/>
      <c r="M505" s="35"/>
      <c r="N505" s="35"/>
      <c r="O505" s="35"/>
      <c r="P505" s="35"/>
      <c r="Q505" s="35"/>
      <c r="R505" s="35"/>
      <c r="S505" s="35"/>
      <c r="T505" s="35"/>
      <c r="U505" s="35"/>
      <c r="V505" s="35"/>
      <c r="W505" s="35"/>
      <c r="X505" s="35"/>
      <c r="Y505" s="35"/>
      <c r="AC505" s="2674">
        <v>1</v>
      </c>
      <c r="AD505" s="2520"/>
      <c r="AE505" s="2520"/>
      <c r="AF505" s="2520"/>
      <c r="AG505" s="89" t="s">
        <v>276</v>
      </c>
      <c r="AH505" s="2325">
        <v>2021</v>
      </c>
      <c r="AI505" s="2325"/>
      <c r="AJ505" s="2325"/>
      <c r="AK505" s="232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2679"/>
      <c r="C506" s="2680"/>
      <c r="D506" s="2680"/>
      <c r="E506" s="2680"/>
      <c r="F506" s="2680"/>
      <c r="G506" s="2680"/>
      <c r="H506" s="2681"/>
      <c r="I506" s="94" t="s">
        <v>751</v>
      </c>
      <c r="J506" s="94"/>
      <c r="K506" s="94"/>
      <c r="L506" s="94"/>
      <c r="M506" s="94"/>
      <c r="N506" s="94"/>
      <c r="O506" s="94"/>
      <c r="P506" s="94"/>
      <c r="Q506" s="94"/>
      <c r="R506" s="94"/>
      <c r="S506" s="94"/>
      <c r="T506" s="94"/>
      <c r="U506" s="94"/>
      <c r="V506" s="94"/>
      <c r="W506" s="94"/>
      <c r="X506" s="94"/>
      <c r="Y506" s="94"/>
      <c r="Z506" s="94"/>
      <c r="AA506" s="94"/>
      <c r="AB506" s="94"/>
      <c r="AC506" s="2674">
        <v>1</v>
      </c>
      <c r="AD506" s="2520"/>
      <c r="AE506" s="2520"/>
      <c r="AF506" s="2520"/>
      <c r="AG506" s="79" t="s">
        <v>276</v>
      </c>
      <c r="AH506" s="2325">
        <v>2021</v>
      </c>
      <c r="AI506" s="2325"/>
      <c r="AJ506" s="2325"/>
      <c r="AK506" s="232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2676" t="s">
        <v>752</v>
      </c>
      <c r="C507" s="2677"/>
      <c r="D507" s="2677"/>
      <c r="E507" s="2677"/>
      <c r="F507" s="2677"/>
      <c r="G507" s="2677"/>
      <c r="H507" s="2678"/>
      <c r="I507" s="86" t="s">
        <v>753</v>
      </c>
      <c r="J507" s="86"/>
      <c r="K507" s="86"/>
      <c r="L507" s="86"/>
      <c r="M507" s="86"/>
      <c r="N507" s="86"/>
      <c r="O507" s="86"/>
      <c r="P507" s="86"/>
      <c r="Q507" s="86"/>
      <c r="R507" s="86"/>
      <c r="S507" s="86"/>
      <c r="T507" s="86"/>
      <c r="U507" s="86"/>
      <c r="V507" s="86"/>
      <c r="W507" s="86"/>
      <c r="X507" s="35"/>
      <c r="Y507" s="35"/>
      <c r="AC507" s="2674">
        <v>9</v>
      </c>
      <c r="AD507" s="2520"/>
      <c r="AE507" s="2520"/>
      <c r="AF507" s="2520"/>
      <c r="AG507" s="89" t="s">
        <v>276</v>
      </c>
      <c r="AH507" s="2325">
        <v>2020</v>
      </c>
      <c r="AI507" s="2325"/>
      <c r="AJ507" s="2325"/>
      <c r="AK507" s="232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2679"/>
      <c r="C508" s="2680"/>
      <c r="D508" s="2680"/>
      <c r="E508" s="2680"/>
      <c r="F508" s="2680"/>
      <c r="G508" s="2680"/>
      <c r="H508" s="2681"/>
      <c r="I508" s="35" t="s">
        <v>754</v>
      </c>
      <c r="J508" s="35"/>
      <c r="K508" s="35"/>
      <c r="L508" s="35"/>
      <c r="M508" s="35"/>
      <c r="N508" s="35"/>
      <c r="O508" s="35"/>
      <c r="P508" s="35"/>
      <c r="Q508" s="35"/>
      <c r="R508" s="35"/>
      <c r="S508" s="35"/>
      <c r="T508" s="35"/>
      <c r="U508" s="35"/>
      <c r="V508" s="35"/>
      <c r="W508" s="35"/>
      <c r="X508" s="35"/>
      <c r="Y508" s="35"/>
      <c r="AC508" s="2674">
        <v>6</v>
      </c>
      <c r="AD508" s="2520"/>
      <c r="AE508" s="2520"/>
      <c r="AF508" s="2520"/>
      <c r="AG508" s="89" t="s">
        <v>276</v>
      </c>
      <c r="AH508" s="2325">
        <v>2020</v>
      </c>
      <c r="AI508" s="2325"/>
      <c r="AJ508" s="2325"/>
      <c r="AK508" s="232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2679"/>
      <c r="C509" s="2680"/>
      <c r="D509" s="2680"/>
      <c r="E509" s="2680"/>
      <c r="F509" s="2680"/>
      <c r="G509" s="2680"/>
      <c r="H509" s="2681"/>
      <c r="I509" s="94" t="s">
        <v>755</v>
      </c>
      <c r="J509" s="94"/>
      <c r="K509" s="94"/>
      <c r="L509" s="94"/>
      <c r="M509" s="94"/>
      <c r="N509" s="94"/>
      <c r="O509" s="94"/>
      <c r="P509" s="94"/>
      <c r="Q509" s="94"/>
      <c r="R509" s="94"/>
      <c r="S509" s="94"/>
      <c r="T509" s="94"/>
      <c r="U509" s="94"/>
      <c r="V509" s="94"/>
      <c r="W509" s="94"/>
      <c r="X509" s="94"/>
      <c r="Y509" s="94"/>
      <c r="Z509" s="94"/>
      <c r="AA509" s="94"/>
      <c r="AB509" s="94"/>
      <c r="AC509" s="2674">
        <v>2</v>
      </c>
      <c r="AD509" s="2520"/>
      <c r="AE509" s="2520"/>
      <c r="AF509" s="2520"/>
      <c r="AG509" s="79" t="s">
        <v>276</v>
      </c>
      <c r="AH509" s="2325">
        <v>2021</v>
      </c>
      <c r="AI509" s="2325"/>
      <c r="AJ509" s="2325"/>
      <c r="AK509" s="232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2676" t="s">
        <v>756</v>
      </c>
      <c r="C510" s="2677"/>
      <c r="D510" s="2677"/>
      <c r="E510" s="2677"/>
      <c r="F510" s="2677"/>
      <c r="G510" s="2677"/>
      <c r="H510" s="2678"/>
      <c r="I510" s="86" t="s">
        <v>753</v>
      </c>
      <c r="J510" s="86"/>
      <c r="K510" s="86"/>
      <c r="L510" s="86"/>
      <c r="M510" s="86"/>
      <c r="N510" s="86"/>
      <c r="O510" s="86"/>
      <c r="P510" s="86"/>
      <c r="Q510" s="86"/>
      <c r="R510" s="86"/>
      <c r="S510" s="86"/>
      <c r="T510" s="86"/>
      <c r="U510" s="86"/>
      <c r="V510" s="86"/>
      <c r="W510" s="86"/>
      <c r="X510" s="86"/>
      <c r="Y510" s="86"/>
      <c r="Z510" s="86"/>
      <c r="AA510" s="86"/>
      <c r="AB510" s="86"/>
      <c r="AC510" s="2383">
        <v>9</v>
      </c>
      <c r="AD510" s="2384"/>
      <c r="AE510" s="2384"/>
      <c r="AF510" s="2384"/>
      <c r="AG510" s="378" t="s">
        <v>276</v>
      </c>
      <c r="AH510" s="2325">
        <v>2020</v>
      </c>
      <c r="AI510" s="2325"/>
      <c r="AJ510" s="2325"/>
      <c r="AK510" s="232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2679"/>
      <c r="C511" s="2680"/>
      <c r="D511" s="2680"/>
      <c r="E511" s="2680"/>
      <c r="F511" s="2680"/>
      <c r="G511" s="2680"/>
      <c r="H511" s="2681"/>
      <c r="I511" s="35" t="s">
        <v>754</v>
      </c>
      <c r="J511" s="35"/>
      <c r="K511" s="35"/>
      <c r="L511" s="35"/>
      <c r="M511" s="35"/>
      <c r="N511" s="35"/>
      <c r="O511" s="35"/>
      <c r="P511" s="35"/>
      <c r="Q511" s="35"/>
      <c r="R511" s="35"/>
      <c r="S511" s="35"/>
      <c r="T511" s="35"/>
      <c r="U511" s="35"/>
      <c r="V511" s="35"/>
      <c r="W511" s="35"/>
      <c r="X511" s="35"/>
      <c r="Y511" s="35"/>
      <c r="Z511" s="35"/>
      <c r="AA511" s="35"/>
      <c r="AB511" s="35"/>
      <c r="AC511" s="2674">
        <v>6</v>
      </c>
      <c r="AD511" s="2520"/>
      <c r="AE511" s="2520"/>
      <c r="AF511" s="2520"/>
      <c r="AG511" s="89" t="s">
        <v>276</v>
      </c>
      <c r="AH511" s="2325">
        <v>2020</v>
      </c>
      <c r="AI511" s="2325"/>
      <c r="AJ511" s="2325"/>
      <c r="AK511" s="232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714"/>
      <c r="C512" s="2715"/>
      <c r="D512" s="2715"/>
      <c r="E512" s="2715"/>
      <c r="F512" s="2715"/>
      <c r="G512" s="2715"/>
      <c r="H512" s="2716"/>
      <c r="I512" s="94" t="s">
        <v>755</v>
      </c>
      <c r="J512" s="94"/>
      <c r="K512" s="94"/>
      <c r="L512" s="94"/>
      <c r="M512" s="94"/>
      <c r="N512" s="94"/>
      <c r="O512" s="94"/>
      <c r="P512" s="94"/>
      <c r="Q512" s="94"/>
      <c r="R512" s="94"/>
      <c r="S512" s="94"/>
      <c r="T512" s="94"/>
      <c r="U512" s="94"/>
      <c r="V512" s="94"/>
      <c r="W512" s="94"/>
      <c r="X512" s="94"/>
      <c r="Y512" s="94"/>
      <c r="Z512" s="94"/>
      <c r="AA512" s="94"/>
      <c r="AB512" s="94"/>
      <c r="AC512" s="2674">
        <v>12</v>
      </c>
      <c r="AD512" s="2520"/>
      <c r="AE512" s="2520"/>
      <c r="AF512" s="2520"/>
      <c r="AG512" s="79" t="s">
        <v>276</v>
      </c>
      <c r="AH512" s="2325">
        <v>2022</v>
      </c>
      <c r="AI512" s="2325"/>
      <c r="AJ512" s="2325"/>
      <c r="AK512" s="232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2676" t="s">
        <v>757</v>
      </c>
      <c r="C513" s="2677"/>
      <c r="D513" s="2677"/>
      <c r="E513" s="2677"/>
      <c r="F513" s="2677"/>
      <c r="G513" s="2677"/>
      <c r="H513" s="2678"/>
      <c r="I513" s="85" t="s">
        <v>758</v>
      </c>
      <c r="J513" s="86"/>
      <c r="K513" s="86"/>
      <c r="L513" s="86"/>
      <c r="M513" s="86"/>
      <c r="N513" s="86"/>
      <c r="O513" s="2436" t="s">
        <v>629</v>
      </c>
      <c r="P513" s="2436"/>
      <c r="Q513" s="2436"/>
      <c r="R513" s="2436"/>
      <c r="S513" s="2436"/>
      <c r="T513" s="2436"/>
      <c r="U513" s="2436"/>
      <c r="V513" s="2436"/>
      <c r="W513" s="2436"/>
      <c r="X513" s="2436"/>
      <c r="Y513" s="2436"/>
      <c r="Z513" s="2436"/>
      <c r="AA513" s="2436"/>
      <c r="AB513" s="108"/>
      <c r="AC513" s="2383" t="s">
        <v>135</v>
      </c>
      <c r="AD513" s="2384"/>
      <c r="AE513" s="2384"/>
      <c r="AF513" s="2384"/>
      <c r="AG513" s="378" t="s">
        <v>276</v>
      </c>
      <c r="AH513" s="2325"/>
      <c r="AI513" s="2325"/>
      <c r="AJ513" s="2325"/>
      <c r="AK513" s="232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2679"/>
      <c r="C514" s="2680"/>
      <c r="D514" s="2680"/>
      <c r="E514" s="2680"/>
      <c r="F514" s="2680"/>
      <c r="G514" s="2680"/>
      <c r="H514" s="2681"/>
      <c r="I514" s="331" t="s">
        <v>759</v>
      </c>
      <c r="J514" s="35"/>
      <c r="K514" s="35"/>
      <c r="L514" s="35"/>
      <c r="M514" s="35"/>
      <c r="N514" s="35"/>
      <c r="O514" s="35"/>
      <c r="P514" s="35"/>
      <c r="Q514" s="35"/>
      <c r="R514" s="35"/>
      <c r="S514" s="35"/>
      <c r="T514" s="35"/>
      <c r="U514" s="35"/>
      <c r="V514" s="35"/>
      <c r="W514" s="35"/>
      <c r="X514" s="35"/>
      <c r="Y514" s="35"/>
      <c r="Z514" s="35"/>
      <c r="AA514" s="35"/>
      <c r="AB514" s="115"/>
      <c r="AC514" s="2674" t="s">
        <v>135</v>
      </c>
      <c r="AD514" s="2520"/>
      <c r="AE514" s="2520"/>
      <c r="AF514" s="2520"/>
      <c r="AG514" s="89" t="s">
        <v>276</v>
      </c>
      <c r="AH514" s="2325"/>
      <c r="AI514" s="2325"/>
      <c r="AJ514" s="2325"/>
      <c r="AK514" s="232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2679"/>
      <c r="C515" s="2680"/>
      <c r="D515" s="2680"/>
      <c r="E515" s="2680"/>
      <c r="F515" s="2680"/>
      <c r="G515" s="2680"/>
      <c r="H515" s="2681"/>
      <c r="I515" s="93" t="s">
        <v>760</v>
      </c>
      <c r="J515" s="94"/>
      <c r="K515" s="94"/>
      <c r="L515" s="94"/>
      <c r="M515" s="94"/>
      <c r="N515" s="94"/>
      <c r="O515" s="94"/>
      <c r="P515" s="94"/>
      <c r="Q515" s="94"/>
      <c r="R515" s="94"/>
      <c r="S515" s="94"/>
      <c r="T515" s="94"/>
      <c r="U515" s="94"/>
      <c r="V515" s="94"/>
      <c r="W515" s="94"/>
      <c r="X515" s="94"/>
      <c r="Y515" s="94"/>
      <c r="Z515" s="94"/>
      <c r="AA515" s="94"/>
      <c r="AB515" s="95"/>
      <c r="AC515" s="2674" t="s">
        <v>135</v>
      </c>
      <c r="AD515" s="2520"/>
      <c r="AE515" s="2520"/>
      <c r="AF515" s="2520"/>
      <c r="AG515" s="79" t="s">
        <v>276</v>
      </c>
      <c r="AH515" s="2325"/>
      <c r="AI515" s="2325"/>
      <c r="AJ515" s="2325"/>
      <c r="AK515" s="232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2679"/>
      <c r="C516" s="2680"/>
      <c r="D516" s="2680"/>
      <c r="E516" s="2680"/>
      <c r="F516" s="2680"/>
      <c r="G516" s="2680"/>
      <c r="H516" s="2681"/>
      <c r="I516" s="86" t="s">
        <v>761</v>
      </c>
      <c r="J516" s="86"/>
      <c r="K516" s="86"/>
      <c r="L516" s="86"/>
      <c r="M516" s="86"/>
      <c r="N516" s="86"/>
      <c r="O516" s="2312" t="s">
        <v>629</v>
      </c>
      <c r="P516" s="2312"/>
      <c r="Q516" s="2312"/>
      <c r="R516" s="2312"/>
      <c r="S516" s="2312"/>
      <c r="T516" s="2312"/>
      <c r="U516" s="2312"/>
      <c r="V516" s="2312"/>
      <c r="W516" s="2312"/>
      <c r="X516" s="2312"/>
      <c r="Y516" s="2312"/>
      <c r="Z516" s="2312"/>
      <c r="AA516" s="2312"/>
      <c r="AC516" s="2674" t="s">
        <v>135</v>
      </c>
      <c r="AD516" s="2520"/>
      <c r="AE516" s="2520"/>
      <c r="AF516" s="2520"/>
      <c r="AG516" s="89" t="s">
        <v>276</v>
      </c>
      <c r="AH516" s="2325"/>
      <c r="AI516" s="2325"/>
      <c r="AJ516" s="2325"/>
      <c r="AK516" s="232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2679"/>
      <c r="C517" s="2680"/>
      <c r="D517" s="2680"/>
      <c r="E517" s="2680"/>
      <c r="F517" s="2680"/>
      <c r="G517" s="2680"/>
      <c r="H517" s="2681"/>
      <c r="I517" s="35" t="s">
        <v>759</v>
      </c>
      <c r="J517" s="35"/>
      <c r="K517" s="35"/>
      <c r="L517" s="35"/>
      <c r="M517" s="35"/>
      <c r="N517" s="35"/>
      <c r="O517" s="35"/>
      <c r="P517" s="35"/>
      <c r="Q517" s="35"/>
      <c r="R517" s="35"/>
      <c r="S517" s="35"/>
      <c r="T517" s="35"/>
      <c r="U517" s="35"/>
      <c r="V517" s="35"/>
      <c r="W517" s="35"/>
      <c r="X517" s="35"/>
      <c r="Y517" s="35"/>
      <c r="AC517" s="2674" t="s">
        <v>135</v>
      </c>
      <c r="AD517" s="2520"/>
      <c r="AE517" s="2520"/>
      <c r="AF517" s="2520"/>
      <c r="AG517" s="89" t="s">
        <v>276</v>
      </c>
      <c r="AH517" s="2325"/>
      <c r="AI517" s="2325"/>
      <c r="AJ517" s="2325"/>
      <c r="AK517" s="232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2679"/>
      <c r="C518" s="2680"/>
      <c r="D518" s="2680"/>
      <c r="E518" s="2680"/>
      <c r="F518" s="2680"/>
      <c r="G518" s="2680"/>
      <c r="H518" s="2681"/>
      <c r="I518" s="94" t="s">
        <v>760</v>
      </c>
      <c r="J518" s="94"/>
      <c r="K518" s="94"/>
      <c r="L518" s="94"/>
      <c r="M518" s="94"/>
      <c r="N518" s="94"/>
      <c r="O518" s="94"/>
      <c r="P518" s="94"/>
      <c r="Q518" s="94"/>
      <c r="R518" s="94"/>
      <c r="S518" s="94"/>
      <c r="T518" s="94"/>
      <c r="U518" s="94"/>
      <c r="V518" s="94"/>
      <c r="W518" s="94"/>
      <c r="X518" s="94"/>
      <c r="Y518" s="94"/>
      <c r="Z518" s="94"/>
      <c r="AA518" s="94"/>
      <c r="AB518" s="94"/>
      <c r="AC518" s="2674" t="s">
        <v>135</v>
      </c>
      <c r="AD518" s="2520"/>
      <c r="AE518" s="2520"/>
      <c r="AF518" s="2520"/>
      <c r="AG518" s="79" t="s">
        <v>276</v>
      </c>
      <c r="AH518" s="2325"/>
      <c r="AI518" s="2325"/>
      <c r="AJ518" s="2325"/>
      <c r="AK518" s="232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2679"/>
      <c r="C519" s="2680"/>
      <c r="D519" s="2680"/>
      <c r="E519" s="2680"/>
      <c r="F519" s="2680"/>
      <c r="G519" s="2680"/>
      <c r="H519" s="2681"/>
      <c r="I519" s="86" t="s">
        <v>761</v>
      </c>
      <c r="J519" s="86"/>
      <c r="K519" s="86"/>
      <c r="L519" s="86"/>
      <c r="M519" s="86"/>
      <c r="N519" s="86"/>
      <c r="O519" s="2312" t="s">
        <v>629</v>
      </c>
      <c r="P519" s="2312"/>
      <c r="Q519" s="2312"/>
      <c r="R519" s="2312"/>
      <c r="S519" s="2312"/>
      <c r="T519" s="2312"/>
      <c r="U519" s="2312"/>
      <c r="V519" s="2312"/>
      <c r="W519" s="2312"/>
      <c r="X519" s="2312"/>
      <c r="Y519" s="2312"/>
      <c r="Z519" s="2312"/>
      <c r="AA519" s="2312"/>
      <c r="AC519" s="2674" t="s">
        <v>135</v>
      </c>
      <c r="AD519" s="2520"/>
      <c r="AE519" s="2520"/>
      <c r="AF519" s="2520"/>
      <c r="AG519" s="89" t="s">
        <v>276</v>
      </c>
      <c r="AH519" s="2325"/>
      <c r="AI519" s="2325"/>
      <c r="AJ519" s="2325"/>
      <c r="AK519" s="232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2679"/>
      <c r="C520" s="2680"/>
      <c r="D520" s="2680"/>
      <c r="E520" s="2680"/>
      <c r="F520" s="2680"/>
      <c r="G520" s="2680"/>
      <c r="H520" s="2681"/>
      <c r="I520" s="35" t="s">
        <v>759</v>
      </c>
      <c r="J520" s="35"/>
      <c r="K520" s="35"/>
      <c r="L520" s="35"/>
      <c r="M520" s="35"/>
      <c r="N520" s="35"/>
      <c r="O520" s="35"/>
      <c r="P520" s="35"/>
      <c r="Q520" s="35"/>
      <c r="R520" s="35"/>
      <c r="S520" s="35"/>
      <c r="T520" s="35"/>
      <c r="U520" s="35"/>
      <c r="V520" s="35"/>
      <c r="W520" s="35"/>
      <c r="X520" s="35"/>
      <c r="Y520" s="35"/>
      <c r="AC520" s="2674" t="s">
        <v>135</v>
      </c>
      <c r="AD520" s="2520"/>
      <c r="AE520" s="2520"/>
      <c r="AF520" s="2520"/>
      <c r="AG520" s="89" t="s">
        <v>276</v>
      </c>
      <c r="AH520" s="2325"/>
      <c r="AI520" s="2325"/>
      <c r="AJ520" s="2325"/>
      <c r="AK520" s="232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2679"/>
      <c r="C521" s="2680"/>
      <c r="D521" s="2680"/>
      <c r="E521" s="2680"/>
      <c r="F521" s="2680"/>
      <c r="G521" s="2680"/>
      <c r="H521" s="2681"/>
      <c r="I521" s="94" t="s">
        <v>760</v>
      </c>
      <c r="J521" s="94"/>
      <c r="K521" s="94"/>
      <c r="L521" s="94"/>
      <c r="M521" s="94"/>
      <c r="N521" s="94"/>
      <c r="O521" s="94"/>
      <c r="P521" s="94"/>
      <c r="Q521" s="94"/>
      <c r="R521" s="94"/>
      <c r="S521" s="94"/>
      <c r="T521" s="94"/>
      <c r="U521" s="94"/>
      <c r="V521" s="94"/>
      <c r="W521" s="94"/>
      <c r="X521" s="94"/>
      <c r="Y521" s="94"/>
      <c r="Z521" s="94"/>
      <c r="AA521" s="94"/>
      <c r="AB521" s="94"/>
      <c r="AC521" s="2674" t="s">
        <v>135</v>
      </c>
      <c r="AD521" s="2520"/>
      <c r="AE521" s="2520"/>
      <c r="AF521" s="2520"/>
      <c r="AG521" s="79" t="s">
        <v>276</v>
      </c>
      <c r="AH521" s="2325"/>
      <c r="AI521" s="2325"/>
      <c r="AJ521" s="2325"/>
      <c r="AK521" s="232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2679"/>
      <c r="C522" s="2680"/>
      <c r="D522" s="2680"/>
      <c r="E522" s="2680"/>
      <c r="F522" s="2680"/>
      <c r="G522" s="2680"/>
      <c r="H522" s="2681"/>
      <c r="I522" s="86" t="s">
        <v>761</v>
      </c>
      <c r="J522" s="86"/>
      <c r="K522" s="86"/>
      <c r="L522" s="86"/>
      <c r="M522" s="86"/>
      <c r="N522" s="86"/>
      <c r="O522" s="2312" t="s">
        <v>629</v>
      </c>
      <c r="P522" s="2312"/>
      <c r="Q522" s="2312"/>
      <c r="R522" s="2312"/>
      <c r="S522" s="2312"/>
      <c r="T522" s="2312"/>
      <c r="U522" s="2312"/>
      <c r="V522" s="2312"/>
      <c r="W522" s="2312"/>
      <c r="X522" s="2312"/>
      <c r="Y522" s="2312"/>
      <c r="Z522" s="2312"/>
      <c r="AA522" s="2312"/>
      <c r="AC522" s="2674" t="s">
        <v>135</v>
      </c>
      <c r="AD522" s="2520"/>
      <c r="AE522" s="2520"/>
      <c r="AF522" s="2520"/>
      <c r="AG522" s="89" t="s">
        <v>276</v>
      </c>
      <c r="AH522" s="2325"/>
      <c r="AI522" s="2325"/>
      <c r="AJ522" s="2325"/>
      <c r="AK522" s="232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2679"/>
      <c r="C523" s="2680"/>
      <c r="D523" s="2680"/>
      <c r="E523" s="2680"/>
      <c r="F523" s="2680"/>
      <c r="G523" s="2680"/>
      <c r="H523" s="2681"/>
      <c r="I523" s="35" t="s">
        <v>759</v>
      </c>
      <c r="J523" s="35"/>
      <c r="K523" s="35"/>
      <c r="L523" s="35"/>
      <c r="M523" s="35"/>
      <c r="N523" s="35"/>
      <c r="O523" s="35"/>
      <c r="P523" s="35"/>
      <c r="Q523" s="35"/>
      <c r="R523" s="35"/>
      <c r="S523" s="35"/>
      <c r="T523" s="35"/>
      <c r="U523" s="35"/>
      <c r="V523" s="35"/>
      <c r="W523" s="35"/>
      <c r="X523" s="35"/>
      <c r="Y523" s="35"/>
      <c r="AC523" s="2674" t="s">
        <v>135</v>
      </c>
      <c r="AD523" s="2520"/>
      <c r="AE523" s="2520"/>
      <c r="AF523" s="2520"/>
      <c r="AG523" s="89" t="s">
        <v>276</v>
      </c>
      <c r="AH523" s="2325"/>
      <c r="AI523" s="2325"/>
      <c r="AJ523" s="2325"/>
      <c r="AK523" s="232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2679"/>
      <c r="C524" s="2680"/>
      <c r="D524" s="2680"/>
      <c r="E524" s="2680"/>
      <c r="F524" s="2680"/>
      <c r="G524" s="2680"/>
      <c r="H524" s="2681"/>
      <c r="I524" s="94" t="s">
        <v>760</v>
      </c>
      <c r="J524" s="94"/>
      <c r="K524" s="94"/>
      <c r="L524" s="94"/>
      <c r="M524" s="94"/>
      <c r="N524" s="94"/>
      <c r="O524" s="94"/>
      <c r="P524" s="94"/>
      <c r="Q524" s="94"/>
      <c r="R524" s="94"/>
      <c r="S524" s="94"/>
      <c r="T524" s="94"/>
      <c r="U524" s="94"/>
      <c r="V524" s="94"/>
      <c r="W524" s="94"/>
      <c r="X524" s="94"/>
      <c r="Y524" s="94"/>
      <c r="Z524" s="94"/>
      <c r="AA524" s="94"/>
      <c r="AB524" s="94"/>
      <c r="AC524" s="2674" t="s">
        <v>135</v>
      </c>
      <c r="AD524" s="2520"/>
      <c r="AE524" s="2520"/>
      <c r="AF524" s="2520"/>
      <c r="AG524" s="79" t="s">
        <v>276</v>
      </c>
      <c r="AH524" s="2325"/>
      <c r="AI524" s="2325"/>
      <c r="AJ524" s="2325"/>
      <c r="AK524" s="232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2679"/>
      <c r="C525" s="2680"/>
      <c r="D525" s="2680"/>
      <c r="E525" s="2680"/>
      <c r="F525" s="2680"/>
      <c r="G525" s="2680"/>
      <c r="H525" s="2681"/>
      <c r="I525" s="86" t="s">
        <v>761</v>
      </c>
      <c r="J525" s="86"/>
      <c r="K525" s="86"/>
      <c r="L525" s="86"/>
      <c r="M525" s="86"/>
      <c r="N525" s="86"/>
      <c r="O525" s="2312" t="s">
        <v>629</v>
      </c>
      <c r="P525" s="2312"/>
      <c r="Q525" s="2312"/>
      <c r="R525" s="2312"/>
      <c r="S525" s="2312"/>
      <c r="T525" s="2312"/>
      <c r="U525" s="2312"/>
      <c r="V525" s="2312"/>
      <c r="W525" s="2312"/>
      <c r="X525" s="2312"/>
      <c r="Y525" s="2312"/>
      <c r="Z525" s="2312"/>
      <c r="AA525" s="2312"/>
      <c r="AC525" s="2674" t="s">
        <v>135</v>
      </c>
      <c r="AD525" s="2520"/>
      <c r="AE525" s="2520"/>
      <c r="AF525" s="2520"/>
      <c r="AG525" s="89" t="s">
        <v>276</v>
      </c>
      <c r="AH525" s="2325"/>
      <c r="AI525" s="2325"/>
      <c r="AJ525" s="2325"/>
      <c r="AK525" s="232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2679"/>
      <c r="C526" s="2680"/>
      <c r="D526" s="2680"/>
      <c r="E526" s="2680"/>
      <c r="F526" s="2680"/>
      <c r="G526" s="2680"/>
      <c r="H526" s="2681"/>
      <c r="I526" s="35" t="s">
        <v>759</v>
      </c>
      <c r="J526" s="35"/>
      <c r="K526" s="35"/>
      <c r="L526" s="35"/>
      <c r="M526" s="35"/>
      <c r="N526" s="35"/>
      <c r="O526" s="35"/>
      <c r="P526" s="35"/>
      <c r="Q526" s="35"/>
      <c r="R526" s="35"/>
      <c r="S526" s="35"/>
      <c r="T526" s="35"/>
      <c r="U526" s="35"/>
      <c r="V526" s="35"/>
      <c r="W526" s="35"/>
      <c r="X526" s="35"/>
      <c r="Y526" s="35"/>
      <c r="AC526" s="2674" t="s">
        <v>135</v>
      </c>
      <c r="AD526" s="2520"/>
      <c r="AE526" s="2520"/>
      <c r="AF526" s="2520"/>
      <c r="AG526" s="79" t="s">
        <v>276</v>
      </c>
      <c r="AH526" s="2325"/>
      <c r="AI526" s="2325"/>
      <c r="AJ526" s="2325"/>
      <c r="AK526" s="232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2679"/>
      <c r="C527" s="2680"/>
      <c r="D527" s="2680"/>
      <c r="E527" s="2680"/>
      <c r="F527" s="2680"/>
      <c r="G527" s="2680"/>
      <c r="H527" s="2681"/>
      <c r="I527" s="94" t="s">
        <v>760</v>
      </c>
      <c r="J527" s="94"/>
      <c r="K527" s="94"/>
      <c r="L527" s="94"/>
      <c r="M527" s="94"/>
      <c r="N527" s="94"/>
      <c r="O527" s="94"/>
      <c r="P527" s="94"/>
      <c r="Q527" s="94"/>
      <c r="R527" s="94"/>
      <c r="S527" s="94"/>
      <c r="T527" s="94"/>
      <c r="U527" s="94"/>
      <c r="V527" s="94"/>
      <c r="W527" s="94"/>
      <c r="X527" s="94"/>
      <c r="Y527" s="94"/>
      <c r="Z527" s="94"/>
      <c r="AA527" s="94"/>
      <c r="AB527" s="94"/>
      <c r="AC527" s="2674" t="s">
        <v>135</v>
      </c>
      <c r="AD527" s="2520"/>
      <c r="AE527" s="2520"/>
      <c r="AF527" s="2520"/>
      <c r="AG527" s="89" t="s">
        <v>276</v>
      </c>
      <c r="AH527" s="2325"/>
      <c r="AI527" s="2325"/>
      <c r="AJ527" s="2325"/>
      <c r="AK527" s="232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2679"/>
      <c r="C528" s="2680"/>
      <c r="D528" s="2680"/>
      <c r="E528" s="2680"/>
      <c r="F528" s="2680"/>
      <c r="G528" s="2680"/>
      <c r="H528" s="2681"/>
      <c r="I528" s="86" t="s">
        <v>761</v>
      </c>
      <c r="J528" s="86"/>
      <c r="K528" s="86"/>
      <c r="L528" s="86"/>
      <c r="M528" s="86"/>
      <c r="N528" s="86"/>
      <c r="O528" s="2312" t="s">
        <v>629</v>
      </c>
      <c r="P528" s="2312"/>
      <c r="Q528" s="2312"/>
      <c r="R528" s="2312"/>
      <c r="S528" s="2312"/>
      <c r="T528" s="2312"/>
      <c r="U528" s="2312"/>
      <c r="V528" s="2312"/>
      <c r="W528" s="2312"/>
      <c r="X528" s="2312"/>
      <c r="Y528" s="2312"/>
      <c r="Z528" s="2312"/>
      <c r="AA528" s="2312"/>
      <c r="AC528" s="2674" t="s">
        <v>135</v>
      </c>
      <c r="AD528" s="2520"/>
      <c r="AE528" s="2520"/>
      <c r="AF528" s="2520"/>
      <c r="AG528" s="79" t="s">
        <v>276</v>
      </c>
      <c r="AH528" s="2325"/>
      <c r="AI528" s="2325"/>
      <c r="AJ528" s="2325"/>
      <c r="AK528" s="232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2679"/>
      <c r="C529" s="2680"/>
      <c r="D529" s="2680"/>
      <c r="E529" s="2680"/>
      <c r="F529" s="2680"/>
      <c r="G529" s="2680"/>
      <c r="H529" s="2681"/>
      <c r="I529" s="35" t="s">
        <v>759</v>
      </c>
      <c r="J529" s="35"/>
      <c r="K529" s="35"/>
      <c r="L529" s="35"/>
      <c r="M529" s="35"/>
      <c r="N529" s="35"/>
      <c r="O529" s="35"/>
      <c r="P529" s="35"/>
      <c r="Q529" s="35"/>
      <c r="R529" s="35"/>
      <c r="S529" s="35"/>
      <c r="T529" s="35"/>
      <c r="U529" s="35"/>
      <c r="V529" s="35"/>
      <c r="W529" s="35"/>
      <c r="X529" s="35"/>
      <c r="Y529" s="35"/>
      <c r="AC529" s="2674" t="s">
        <v>135</v>
      </c>
      <c r="AD529" s="2520"/>
      <c r="AE529" s="2520"/>
      <c r="AF529" s="2520"/>
      <c r="AG529" s="89" t="s">
        <v>276</v>
      </c>
      <c r="AH529" s="2325"/>
      <c r="AI529" s="2325"/>
      <c r="AJ529" s="2325"/>
      <c r="AK529" s="232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2679"/>
      <c r="C530" s="2680"/>
      <c r="D530" s="2680"/>
      <c r="E530" s="2680"/>
      <c r="F530" s="2680"/>
      <c r="G530" s="2680"/>
      <c r="H530" s="2681"/>
      <c r="I530" s="94" t="s">
        <v>760</v>
      </c>
      <c r="J530" s="94"/>
      <c r="K530" s="94"/>
      <c r="L530" s="94"/>
      <c r="M530" s="94"/>
      <c r="N530" s="94"/>
      <c r="O530" s="94"/>
      <c r="P530" s="94"/>
      <c r="Q530" s="94"/>
      <c r="R530" s="94"/>
      <c r="S530" s="94"/>
      <c r="T530" s="94"/>
      <c r="U530" s="94"/>
      <c r="V530" s="94"/>
      <c r="W530" s="94"/>
      <c r="X530" s="94"/>
      <c r="Y530" s="94"/>
      <c r="Z530" s="94"/>
      <c r="AA530" s="94"/>
      <c r="AB530" s="94"/>
      <c r="AC530" s="2674" t="s">
        <v>135</v>
      </c>
      <c r="AD530" s="2520"/>
      <c r="AE530" s="2520"/>
      <c r="AF530" s="2520"/>
      <c r="AG530" s="79" t="s">
        <v>276</v>
      </c>
      <c r="AH530" s="2325"/>
      <c r="AI530" s="2325"/>
      <c r="AJ530" s="2325"/>
      <c r="AK530" s="232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2679"/>
      <c r="C531" s="2680"/>
      <c r="D531" s="2680"/>
      <c r="E531" s="2680"/>
      <c r="F531" s="2680"/>
      <c r="G531" s="2680"/>
      <c r="H531" s="2681"/>
      <c r="I531" s="86" t="s">
        <v>809</v>
      </c>
      <c r="J531" s="86"/>
      <c r="K531" s="86"/>
      <c r="L531" s="86"/>
      <c r="M531" s="86"/>
      <c r="N531" s="86"/>
      <c r="O531" s="86"/>
      <c r="P531" s="86"/>
      <c r="Q531" s="86"/>
      <c r="R531" s="86"/>
      <c r="S531" s="86"/>
      <c r="T531" s="86"/>
      <c r="U531" s="86"/>
      <c r="V531" s="86"/>
      <c r="W531" s="86"/>
      <c r="X531" s="35"/>
      <c r="Y531" s="35"/>
      <c r="AC531" s="2674">
        <v>2</v>
      </c>
      <c r="AD531" s="2520"/>
      <c r="AE531" s="2520"/>
      <c r="AF531" s="2520"/>
      <c r="AG531" s="79" t="s">
        <v>276</v>
      </c>
      <c r="AH531" s="2325">
        <v>2021</v>
      </c>
      <c r="AI531" s="2325"/>
      <c r="AJ531" s="2325"/>
      <c r="AK531" s="232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2679"/>
      <c r="C532" s="2680"/>
      <c r="D532" s="2680"/>
      <c r="E532" s="2680"/>
      <c r="F532" s="2680"/>
      <c r="G532" s="2680"/>
      <c r="H532" s="2681"/>
      <c r="I532" s="35" t="s">
        <v>810</v>
      </c>
      <c r="J532" s="35"/>
      <c r="K532" s="35"/>
      <c r="L532" s="35"/>
      <c r="M532" s="35"/>
      <c r="N532" s="35"/>
      <c r="O532" s="35"/>
      <c r="P532" s="35"/>
      <c r="Q532" s="35"/>
      <c r="R532" s="35"/>
      <c r="S532" s="35"/>
      <c r="T532" s="35"/>
      <c r="U532" s="35"/>
      <c r="V532" s="35"/>
      <c r="W532" s="35"/>
      <c r="X532" s="35"/>
      <c r="Y532" s="35"/>
      <c r="AC532" s="2674">
        <v>3</v>
      </c>
      <c r="AD532" s="2520"/>
      <c r="AE532" s="2520"/>
      <c r="AF532" s="2520"/>
      <c r="AG532" s="89" t="s">
        <v>276</v>
      </c>
      <c r="AH532" s="2325">
        <v>2021</v>
      </c>
      <c r="AI532" s="2325"/>
      <c r="AJ532" s="2325"/>
      <c r="AK532" s="232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2679"/>
      <c r="C533" s="2680"/>
      <c r="D533" s="2680"/>
      <c r="E533" s="2680"/>
      <c r="F533" s="2680"/>
      <c r="G533" s="2680"/>
      <c r="H533" s="2681"/>
      <c r="I533" s="35" t="s">
        <v>811</v>
      </c>
      <c r="J533" s="35"/>
      <c r="K533" s="35"/>
      <c r="L533" s="35"/>
      <c r="M533" s="35"/>
      <c r="N533" s="35"/>
      <c r="O533" s="35"/>
      <c r="P533" s="35"/>
      <c r="Q533" s="35"/>
      <c r="R533" s="35"/>
      <c r="S533" s="35"/>
      <c r="T533" s="35"/>
      <c r="U533" s="35"/>
      <c r="V533" s="35"/>
      <c r="W533" s="35"/>
      <c r="X533" s="35"/>
      <c r="Y533" s="35"/>
      <c r="AC533" s="2674">
        <v>11</v>
      </c>
      <c r="AD533" s="2520"/>
      <c r="AE533" s="2520"/>
      <c r="AF533" s="2520"/>
      <c r="AG533" s="79" t="s">
        <v>276</v>
      </c>
      <c r="AH533" s="2325">
        <v>2022</v>
      </c>
      <c r="AI533" s="2325"/>
      <c r="AJ533" s="2325"/>
      <c r="AK533" s="232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2679"/>
      <c r="C534" s="2680"/>
      <c r="D534" s="2680"/>
      <c r="E534" s="2680"/>
      <c r="F534" s="2680"/>
      <c r="G534" s="2680"/>
      <c r="H534" s="2681"/>
      <c r="I534" s="35" t="s">
        <v>812</v>
      </c>
      <c r="J534" s="35"/>
      <c r="K534" s="35"/>
      <c r="L534" s="35"/>
      <c r="M534" s="35"/>
      <c r="N534" s="35"/>
      <c r="O534" s="35"/>
      <c r="P534" s="35"/>
      <c r="Q534" s="35"/>
      <c r="R534" s="35"/>
      <c r="S534" s="35"/>
      <c r="T534" s="35"/>
      <c r="U534" s="35"/>
      <c r="V534" s="35"/>
      <c r="W534" s="35"/>
      <c r="X534" s="35"/>
      <c r="Y534" s="35"/>
      <c r="AC534" s="2674">
        <v>12</v>
      </c>
      <c r="AD534" s="2520"/>
      <c r="AE534" s="2520"/>
      <c r="AF534" s="2520"/>
      <c r="AG534" s="79" t="s">
        <v>276</v>
      </c>
      <c r="AH534" s="2325">
        <v>2022</v>
      </c>
      <c r="AI534" s="2325"/>
      <c r="AJ534" s="2325"/>
      <c r="AK534" s="232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714"/>
      <c r="C535" s="2715"/>
      <c r="D535" s="2715"/>
      <c r="E535" s="2715"/>
      <c r="F535" s="2715"/>
      <c r="G535" s="2715"/>
      <c r="H535" s="2716"/>
      <c r="I535" s="94" t="s">
        <v>1546</v>
      </c>
      <c r="J535" s="94"/>
      <c r="K535" s="94"/>
      <c r="L535" s="94"/>
      <c r="M535" s="94"/>
      <c r="N535" s="94"/>
      <c r="O535" s="94"/>
      <c r="P535" s="94"/>
      <c r="Q535" s="94"/>
      <c r="R535" s="94"/>
      <c r="S535" s="94"/>
      <c r="T535" s="94"/>
      <c r="U535" s="94"/>
      <c r="V535" s="94"/>
      <c r="W535" s="94"/>
      <c r="X535" s="94"/>
      <c r="Y535" s="94"/>
      <c r="Z535" s="94"/>
      <c r="AA535" s="94"/>
      <c r="AB535" s="94"/>
      <c r="AC535" s="2674">
        <v>3</v>
      </c>
      <c r="AD535" s="2520"/>
      <c r="AE535" s="2520"/>
      <c r="AF535" s="2520"/>
      <c r="AG535" s="79" t="s">
        <v>276</v>
      </c>
      <c r="AH535" s="2325">
        <v>2023</v>
      </c>
      <c r="AI535" s="2325"/>
      <c r="AJ535" s="2325"/>
      <c r="AK535" s="2326"/>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2167" t="s">
        <v>552</v>
      </c>
      <c r="B537" s="2712"/>
      <c r="C537" s="2712"/>
      <c r="D537" s="2712"/>
      <c r="E537" s="2712"/>
      <c r="F537" s="2712"/>
      <c r="G537" s="2712"/>
      <c r="H537" s="2712"/>
      <c r="I537" s="2712"/>
      <c r="J537" s="2712"/>
      <c r="K537" s="2712"/>
      <c r="L537" s="2712"/>
      <c r="M537" s="2712"/>
      <c r="N537" s="2712"/>
      <c r="O537" s="2712"/>
      <c r="P537" s="2712"/>
      <c r="Q537" s="2712"/>
      <c r="R537" s="2712"/>
      <c r="S537" s="2712"/>
      <c r="T537" s="2712"/>
      <c r="U537" s="2712"/>
      <c r="V537" s="2712"/>
      <c r="W537" s="2712"/>
      <c r="X537" s="2712"/>
      <c r="Y537" s="2712"/>
      <c r="Z537" s="2712"/>
      <c r="AA537" s="2712"/>
      <c r="AB537" s="2712"/>
      <c r="AC537" s="2712"/>
      <c r="AD537" s="2712"/>
      <c r="AE537" s="2712"/>
      <c r="AF537" s="2712"/>
      <c r="AG537" s="2712"/>
      <c r="AH537" s="2712"/>
      <c r="AI537" s="2712"/>
      <c r="AJ537" s="2712"/>
      <c r="AK537" s="2712"/>
      <c r="AL537" s="271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713"/>
      <c r="B538" s="2713"/>
      <c r="C538" s="2713"/>
      <c r="D538" s="2713"/>
      <c r="E538" s="2713"/>
      <c r="F538" s="2713"/>
      <c r="G538" s="2713"/>
      <c r="H538" s="2713"/>
      <c r="I538" s="2713"/>
      <c r="J538" s="2713"/>
      <c r="K538" s="2713"/>
      <c r="L538" s="2713"/>
      <c r="M538" s="2713"/>
      <c r="N538" s="2713"/>
      <c r="O538" s="2713"/>
      <c r="P538" s="2713"/>
      <c r="Q538" s="2713"/>
      <c r="R538" s="2713"/>
      <c r="S538" s="2713"/>
      <c r="T538" s="2713"/>
      <c r="U538" s="2713"/>
      <c r="V538" s="2713"/>
      <c r="W538" s="2713"/>
      <c r="X538" s="2713"/>
      <c r="Y538" s="2713"/>
      <c r="Z538" s="2713"/>
      <c r="AA538" s="2713"/>
      <c r="AB538" s="2713"/>
      <c r="AC538" s="2713"/>
      <c r="AD538" s="2713"/>
      <c r="AE538" s="2713"/>
      <c r="AF538" s="2713"/>
      <c r="AG538" s="2713"/>
      <c r="AH538" s="2713"/>
      <c r="AI538" s="2713"/>
      <c r="AJ538" s="2713"/>
      <c r="AK538" s="2713"/>
      <c r="AL538" s="2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2689" t="s">
        <v>814</v>
      </c>
      <c r="C544" s="2690"/>
      <c r="D544" s="2690"/>
      <c r="E544" s="2690"/>
      <c r="F544" s="2690"/>
      <c r="G544" s="2690"/>
      <c r="H544" s="2690"/>
      <c r="I544" s="2690"/>
      <c r="J544" s="2690"/>
      <c r="K544" s="2690"/>
      <c r="L544" s="2690"/>
      <c r="M544" s="2690"/>
      <c r="N544" s="2690"/>
      <c r="O544" s="2691"/>
      <c r="P544" s="2689" t="s">
        <v>494</v>
      </c>
      <c r="Q544" s="2690"/>
      <c r="R544" s="2690"/>
      <c r="S544" s="2690"/>
      <c r="T544" s="2690"/>
      <c r="U544" s="2690"/>
      <c r="V544" s="2690"/>
      <c r="W544" s="2691"/>
      <c r="X544" s="2689" t="s">
        <v>815</v>
      </c>
      <c r="Y544" s="2690"/>
      <c r="Z544" s="2690"/>
      <c r="AA544" s="2690"/>
      <c r="AB544" s="2690"/>
      <c r="AC544" s="2690"/>
      <c r="AD544" s="2690"/>
      <c r="AE544" s="2689" t="s">
        <v>816</v>
      </c>
      <c r="AF544" s="2690"/>
      <c r="AG544" s="2690"/>
      <c r="AH544" s="2690"/>
      <c r="AI544" s="2690"/>
      <c r="AJ544" s="2690"/>
      <c r="AK544" s="269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2502" t="s">
        <v>2751</v>
      </c>
      <c r="D545" s="2313"/>
      <c r="E545" s="2313"/>
      <c r="F545" s="2313"/>
      <c r="G545" s="2313"/>
      <c r="H545" s="2313"/>
      <c r="I545" s="2313"/>
      <c r="J545" s="2313"/>
      <c r="K545" s="2313"/>
      <c r="L545" s="2313"/>
      <c r="M545" s="2313"/>
      <c r="N545" s="2313"/>
      <c r="O545" s="2323"/>
      <c r="P545" s="2324">
        <f>COUNTIF('Applicant Notes'!BK12:BK34,"&lt;&gt;0")</f>
        <v>23</v>
      </c>
      <c r="Q545" s="2325"/>
      <c r="R545" s="2325"/>
      <c r="S545" s="2325"/>
      <c r="T545" s="2325"/>
      <c r="U545" s="2325"/>
      <c r="V545" s="2325"/>
      <c r="W545" s="2326"/>
      <c r="X545" s="2320">
        <f>S617</f>
        <v>3.15E-2</v>
      </c>
      <c r="Y545" s="2321"/>
      <c r="Z545" s="2321"/>
      <c r="AA545" s="2321"/>
      <c r="AB545" s="2321"/>
      <c r="AC545" s="2321"/>
      <c r="AD545" s="2322"/>
      <c r="AE545" s="2351">
        <f>-'Applicant Notes'!BK33</f>
        <v>89621953</v>
      </c>
      <c r="AF545" s="2352"/>
      <c r="AG545" s="2352"/>
      <c r="AH545" s="2352"/>
      <c r="AI545" s="2352"/>
      <c r="AJ545" s="2352"/>
      <c r="AK545" s="235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2502" t="s">
        <v>2668</v>
      </c>
      <c r="D546" s="2313"/>
      <c r="E546" s="2313"/>
      <c r="F546" s="2313"/>
      <c r="G546" s="2313"/>
      <c r="H546" s="2313"/>
      <c r="I546" s="2313"/>
      <c r="J546" s="2313"/>
      <c r="K546" s="2313"/>
      <c r="L546" s="2313"/>
      <c r="M546" s="2313"/>
      <c r="N546" s="2313"/>
      <c r="O546" s="2323"/>
      <c r="P546" s="2324"/>
      <c r="Q546" s="2325"/>
      <c r="R546" s="2325"/>
      <c r="S546" s="2325"/>
      <c r="T546" s="2325"/>
      <c r="U546" s="2325"/>
      <c r="V546" s="2325"/>
      <c r="W546" s="2326"/>
      <c r="X546" s="2320"/>
      <c r="Y546" s="2321"/>
      <c r="Z546" s="2321"/>
      <c r="AA546" s="2321"/>
      <c r="AB546" s="2321"/>
      <c r="AC546" s="2321"/>
      <c r="AD546" s="2322"/>
      <c r="AE546" s="2351">
        <f>SUM('Applicant Notes'!BF12:BF33)</f>
        <v>21249967</v>
      </c>
      <c r="AF546" s="2352"/>
      <c r="AG546" s="2352"/>
      <c r="AH546" s="2352"/>
      <c r="AI546" s="2352"/>
      <c r="AJ546" s="2352"/>
      <c r="AK546" s="235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2720" t="s">
        <v>2662</v>
      </c>
      <c r="D547" s="2313"/>
      <c r="E547" s="2313"/>
      <c r="F547" s="2313"/>
      <c r="G547" s="2313"/>
      <c r="H547" s="2313"/>
      <c r="I547" s="2313"/>
      <c r="J547" s="2313"/>
      <c r="K547" s="2313"/>
      <c r="L547" s="2313"/>
      <c r="M547" s="2313"/>
      <c r="N547" s="2313"/>
      <c r="O547" s="2323"/>
      <c r="P547" s="2324"/>
      <c r="Q547" s="2325"/>
      <c r="R547" s="2325"/>
      <c r="S547" s="2325"/>
      <c r="T547" s="2325"/>
      <c r="U547" s="2325"/>
      <c r="V547" s="2325"/>
      <c r="W547" s="2326"/>
      <c r="X547" s="2320"/>
      <c r="Y547" s="2321"/>
      <c r="Z547" s="2321"/>
      <c r="AA547" s="2321"/>
      <c r="AB547" s="2321"/>
      <c r="AC547" s="2321"/>
      <c r="AD547" s="2322"/>
      <c r="AE547" s="2351"/>
      <c r="AF547" s="2352"/>
      <c r="AG547" s="2352"/>
      <c r="AH547" s="2352"/>
      <c r="AI547" s="2352"/>
      <c r="AJ547" s="2352"/>
      <c r="AK547" s="235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2720" t="s">
        <v>2662</v>
      </c>
      <c r="D548" s="2313"/>
      <c r="E548" s="2313"/>
      <c r="F548" s="2313"/>
      <c r="G548" s="2313"/>
      <c r="H548" s="2313"/>
      <c r="I548" s="2313"/>
      <c r="J548" s="2313"/>
      <c r="K548" s="2313"/>
      <c r="L548" s="2313"/>
      <c r="M548" s="2313"/>
      <c r="N548" s="2313"/>
      <c r="O548" s="2323"/>
      <c r="P548" s="2324"/>
      <c r="Q548" s="2325"/>
      <c r="R548" s="2325"/>
      <c r="S548" s="2325"/>
      <c r="T548" s="2325"/>
      <c r="U548" s="2325"/>
      <c r="V548" s="2325"/>
      <c r="W548" s="2326"/>
      <c r="X548" s="2320"/>
      <c r="Y548" s="2321"/>
      <c r="Z548" s="2321"/>
      <c r="AA548" s="2321"/>
      <c r="AB548" s="2321"/>
      <c r="AC548" s="2321"/>
      <c r="AD548" s="2322"/>
      <c r="AE548" s="2351"/>
      <c r="AF548" s="2352"/>
      <c r="AG548" s="2352"/>
      <c r="AH548" s="2352"/>
      <c r="AI548" s="2352"/>
      <c r="AJ548" s="2352"/>
      <c r="AK548" s="235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2313"/>
      <c r="D549" s="2313"/>
      <c r="E549" s="2313"/>
      <c r="F549" s="2313"/>
      <c r="G549" s="2313"/>
      <c r="H549" s="2313"/>
      <c r="I549" s="2313"/>
      <c r="J549" s="2313"/>
      <c r="K549" s="2313"/>
      <c r="L549" s="2313"/>
      <c r="M549" s="2313"/>
      <c r="N549" s="2313"/>
      <c r="O549" s="2323"/>
      <c r="P549" s="2324"/>
      <c r="Q549" s="2325"/>
      <c r="R549" s="2325"/>
      <c r="S549" s="2325"/>
      <c r="T549" s="2325"/>
      <c r="U549" s="2325"/>
      <c r="V549" s="2325"/>
      <c r="W549" s="2326"/>
      <c r="X549" s="2320"/>
      <c r="Y549" s="2321"/>
      <c r="Z549" s="2321"/>
      <c r="AA549" s="2321"/>
      <c r="AB549" s="2321"/>
      <c r="AC549" s="2321"/>
      <c r="AD549" s="2322"/>
      <c r="AE549" s="2351"/>
      <c r="AF549" s="2352"/>
      <c r="AG549" s="2352"/>
      <c r="AH549" s="2352"/>
      <c r="AI549" s="2352"/>
      <c r="AJ549" s="2352"/>
      <c r="AK549" s="2353"/>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2313"/>
      <c r="D550" s="2313"/>
      <c r="E550" s="2313"/>
      <c r="F550" s="2313"/>
      <c r="G550" s="2313"/>
      <c r="H550" s="2313"/>
      <c r="I550" s="2313"/>
      <c r="J550" s="2313"/>
      <c r="K550" s="2313"/>
      <c r="L550" s="2313"/>
      <c r="M550" s="2313"/>
      <c r="N550" s="2313"/>
      <c r="O550" s="2323"/>
      <c r="P550" s="2324"/>
      <c r="Q550" s="2325"/>
      <c r="R550" s="2325"/>
      <c r="S550" s="2325"/>
      <c r="T550" s="2325"/>
      <c r="U550" s="2325"/>
      <c r="V550" s="2325"/>
      <c r="W550" s="2326"/>
      <c r="X550" s="2320"/>
      <c r="Y550" s="2321"/>
      <c r="Z550" s="2321"/>
      <c r="AA550" s="2321"/>
      <c r="AB550" s="2321"/>
      <c r="AC550" s="2321"/>
      <c r="AD550" s="2322"/>
      <c r="AE550" s="2351"/>
      <c r="AF550" s="2352"/>
      <c r="AG550" s="2352"/>
      <c r="AH550" s="2352"/>
      <c r="AI550" s="2352"/>
      <c r="AJ550" s="2352"/>
      <c r="AK550" s="2353"/>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2313"/>
      <c r="D551" s="2313"/>
      <c r="E551" s="2313"/>
      <c r="F551" s="2313"/>
      <c r="G551" s="2313"/>
      <c r="H551" s="2313"/>
      <c r="I551" s="2313"/>
      <c r="J551" s="2313"/>
      <c r="K551" s="2313"/>
      <c r="L551" s="2313"/>
      <c r="M551" s="2313"/>
      <c r="N551" s="2313"/>
      <c r="O551" s="2323"/>
      <c r="P551" s="2324"/>
      <c r="Q551" s="2325"/>
      <c r="R551" s="2325"/>
      <c r="S551" s="2325"/>
      <c r="T551" s="2325"/>
      <c r="U551" s="2325"/>
      <c r="V551" s="2325"/>
      <c r="W551" s="2326"/>
      <c r="X551" s="2320"/>
      <c r="Y551" s="2321"/>
      <c r="Z551" s="2321"/>
      <c r="AA551" s="2321"/>
      <c r="AB551" s="2321"/>
      <c r="AC551" s="2321"/>
      <c r="AD551" s="2322"/>
      <c r="AE551" s="2351"/>
      <c r="AF551" s="2352"/>
      <c r="AG551" s="2352"/>
      <c r="AH551" s="2352"/>
      <c r="AI551" s="2352"/>
      <c r="AJ551" s="2352"/>
      <c r="AK551" s="2353"/>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2313"/>
      <c r="D552" s="2313"/>
      <c r="E552" s="2313"/>
      <c r="F552" s="2313"/>
      <c r="G552" s="2313"/>
      <c r="H552" s="2313"/>
      <c r="I552" s="2313"/>
      <c r="J552" s="2313"/>
      <c r="K552" s="2313"/>
      <c r="L552" s="2313"/>
      <c r="M552" s="2313"/>
      <c r="N552" s="2313"/>
      <c r="O552" s="2323"/>
      <c r="P552" s="2324"/>
      <c r="Q552" s="2325"/>
      <c r="R552" s="2325"/>
      <c r="S552" s="2325"/>
      <c r="T552" s="2325"/>
      <c r="U552" s="2325"/>
      <c r="V552" s="2325"/>
      <c r="W552" s="2326"/>
      <c r="X552" s="2320"/>
      <c r="Y552" s="2321"/>
      <c r="Z552" s="2321"/>
      <c r="AA552" s="2321"/>
      <c r="AB552" s="2321"/>
      <c r="AC552" s="2321"/>
      <c r="AD552" s="2322"/>
      <c r="AE552" s="2351"/>
      <c r="AF552" s="2352"/>
      <c r="AG552" s="2352"/>
      <c r="AH552" s="2352"/>
      <c r="AI552" s="2352"/>
      <c r="AJ552" s="2352"/>
      <c r="AK552" s="2353"/>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2313"/>
      <c r="D553" s="2313"/>
      <c r="E553" s="2313"/>
      <c r="F553" s="2313"/>
      <c r="G553" s="2313"/>
      <c r="H553" s="2313"/>
      <c r="I553" s="2313"/>
      <c r="J553" s="2313"/>
      <c r="K553" s="2313"/>
      <c r="L553" s="2313"/>
      <c r="M553" s="2313"/>
      <c r="N553" s="2313"/>
      <c r="O553" s="2323"/>
      <c r="P553" s="2324"/>
      <c r="Q553" s="2325"/>
      <c r="R553" s="2325"/>
      <c r="S553" s="2325"/>
      <c r="T553" s="2325"/>
      <c r="U553" s="2325"/>
      <c r="V553" s="2325"/>
      <c r="W553" s="2326"/>
      <c r="X553" s="2320"/>
      <c r="Y553" s="2321"/>
      <c r="Z553" s="2321"/>
      <c r="AA553" s="2321"/>
      <c r="AB553" s="2321"/>
      <c r="AC553" s="2321"/>
      <c r="AD553" s="2322"/>
      <c r="AE553" s="2351"/>
      <c r="AF553" s="2352"/>
      <c r="AG553" s="2352"/>
      <c r="AH553" s="2352"/>
      <c r="AI553" s="2352"/>
      <c r="AJ553" s="2352"/>
      <c r="AK553" s="235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2313"/>
      <c r="D554" s="2313"/>
      <c r="E554" s="2313"/>
      <c r="F554" s="2313"/>
      <c r="G554" s="2313"/>
      <c r="H554" s="2313"/>
      <c r="I554" s="2313"/>
      <c r="J554" s="2313"/>
      <c r="K554" s="2313"/>
      <c r="L554" s="2313"/>
      <c r="M554" s="2313"/>
      <c r="N554" s="2313"/>
      <c r="O554" s="2323"/>
      <c r="P554" s="2324"/>
      <c r="Q554" s="2325"/>
      <c r="R554" s="2325"/>
      <c r="S554" s="2325"/>
      <c r="T554" s="2325"/>
      <c r="U554" s="2325"/>
      <c r="V554" s="2325"/>
      <c r="W554" s="2326"/>
      <c r="X554" s="2320"/>
      <c r="Y554" s="2321"/>
      <c r="Z554" s="2321"/>
      <c r="AA554" s="2321"/>
      <c r="AB554" s="2321"/>
      <c r="AC554" s="2321"/>
      <c r="AD554" s="2322"/>
      <c r="AE554" s="2351"/>
      <c r="AF554" s="2352"/>
      <c r="AG554" s="2352"/>
      <c r="AH554" s="2352"/>
      <c r="AI554" s="2352"/>
      <c r="AJ554" s="2352"/>
      <c r="AK554" s="2353"/>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2313"/>
      <c r="D555" s="2313"/>
      <c r="E555" s="2313"/>
      <c r="F555" s="2313"/>
      <c r="G555" s="2313"/>
      <c r="H555" s="2313"/>
      <c r="I555" s="2313"/>
      <c r="J555" s="2313"/>
      <c r="K555" s="2313"/>
      <c r="L555" s="2313"/>
      <c r="M555" s="2313"/>
      <c r="N555" s="2313"/>
      <c r="O555" s="2323"/>
      <c r="P555" s="2324"/>
      <c r="Q555" s="2325"/>
      <c r="R555" s="2325"/>
      <c r="S555" s="2325"/>
      <c r="T555" s="2325"/>
      <c r="U555" s="2325"/>
      <c r="V555" s="2325"/>
      <c r="W555" s="2326"/>
      <c r="X555" s="2320"/>
      <c r="Y555" s="2321"/>
      <c r="Z555" s="2321"/>
      <c r="AA555" s="2321"/>
      <c r="AB555" s="2321"/>
      <c r="AC555" s="2321"/>
      <c r="AD555" s="2322"/>
      <c r="AE555" s="2351"/>
      <c r="AF555" s="2352"/>
      <c r="AG555" s="2352"/>
      <c r="AH555" s="2352"/>
      <c r="AI555" s="2352"/>
      <c r="AJ555" s="2352"/>
      <c r="AK555" s="2353"/>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2313"/>
      <c r="D556" s="2313"/>
      <c r="E556" s="2313"/>
      <c r="F556" s="2313"/>
      <c r="G556" s="2313"/>
      <c r="H556" s="2313"/>
      <c r="I556" s="2313"/>
      <c r="J556" s="2313"/>
      <c r="K556" s="2313"/>
      <c r="L556" s="2313"/>
      <c r="M556" s="2313"/>
      <c r="N556" s="2313"/>
      <c r="O556" s="2323"/>
      <c r="P556" s="2324"/>
      <c r="Q556" s="2325"/>
      <c r="R556" s="2325"/>
      <c r="S556" s="2325"/>
      <c r="T556" s="2325"/>
      <c r="U556" s="2325"/>
      <c r="V556" s="2325"/>
      <c r="W556" s="2326"/>
      <c r="X556" s="2320"/>
      <c r="Y556" s="2321"/>
      <c r="Z556" s="2321"/>
      <c r="AA556" s="2321"/>
      <c r="AB556" s="2321"/>
      <c r="AC556" s="2321"/>
      <c r="AD556" s="2322"/>
      <c r="AE556" s="2351"/>
      <c r="AF556" s="2352"/>
      <c r="AG556" s="2352"/>
      <c r="AH556" s="2352"/>
      <c r="AI556" s="2352"/>
      <c r="AJ556" s="2352"/>
      <c r="AK556" s="2353"/>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2344" t="s">
        <v>405</v>
      </c>
      <c r="C557" s="2345"/>
      <c r="D557" s="2345"/>
      <c r="E557" s="2345"/>
      <c r="F557" s="2345"/>
      <c r="G557" s="2345"/>
      <c r="H557" s="2345"/>
      <c r="I557" s="2345"/>
      <c r="J557" s="2345"/>
      <c r="K557" s="2345"/>
      <c r="L557" s="2345"/>
      <c r="M557" s="2345"/>
      <c r="N557" s="2345"/>
      <c r="O557" s="2345"/>
      <c r="P557" s="2345"/>
      <c r="Q557" s="2345"/>
      <c r="R557" s="2345"/>
      <c r="S557" s="2345"/>
      <c r="T557" s="2345"/>
      <c r="U557" s="2345"/>
      <c r="V557" s="2345"/>
      <c r="W557" s="2345"/>
      <c r="X557" s="2345"/>
      <c r="Y557" s="2345"/>
      <c r="Z557" s="2345"/>
      <c r="AA557" s="2345"/>
      <c r="AB557" s="2345"/>
      <c r="AC557" s="2345"/>
      <c r="AD557" s="2346"/>
      <c r="AE557" s="2360">
        <f>SUM(AE545:AK556)</f>
        <v>110871920</v>
      </c>
      <c r="AF557" s="2361"/>
      <c r="AG557" s="2361"/>
      <c r="AH557" s="2361"/>
      <c r="AI557" s="2361"/>
      <c r="AJ557" s="2361"/>
      <c r="AK557" s="236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2514" t="str">
        <f>C545</f>
        <v>Housing &amp; Healthcare Finance, LLC</v>
      </c>
      <c r="H559" s="2514"/>
      <c r="I559" s="2514"/>
      <c r="J559" s="2514"/>
      <c r="K559" s="2514"/>
      <c r="L559" s="2514"/>
      <c r="M559" s="2514"/>
      <c r="N559" s="2514"/>
      <c r="O559" s="2514"/>
      <c r="P559" s="2514"/>
      <c r="Q559" s="2514"/>
      <c r="R559" s="2514"/>
      <c r="S559" s="18"/>
      <c r="T559" s="101" t="s">
        <v>1016</v>
      </c>
      <c r="U559" s="16" t="s">
        <v>92</v>
      </c>
      <c r="Z559" s="2514" t="str">
        <f>C546</f>
        <v>Hunt Capital Partners, LLC / Equity Pay-Ins</v>
      </c>
      <c r="AA559" s="2514"/>
      <c r="AB559" s="2514"/>
      <c r="AC559" s="2514"/>
      <c r="AD559" s="2514"/>
      <c r="AE559" s="2514"/>
      <c r="AF559" s="2514"/>
      <c r="AG559" s="2514"/>
      <c r="AH559" s="2514"/>
      <c r="AI559" s="2514"/>
      <c r="AJ559" s="2514"/>
      <c r="AK559" s="251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2312" t="s">
        <v>2747</v>
      </c>
      <c r="H560" s="2312"/>
      <c r="I560" s="2312"/>
      <c r="J560" s="2312"/>
      <c r="K560" s="2312"/>
      <c r="L560" s="2312"/>
      <c r="M560" s="2312"/>
      <c r="N560" s="2312"/>
      <c r="O560" s="2312"/>
      <c r="P560" s="2312"/>
      <c r="Q560" s="2312"/>
      <c r="R560" s="2312"/>
      <c r="S560" s="18"/>
      <c r="T560" s="46"/>
      <c r="U560" s="16" t="s">
        <v>421</v>
      </c>
      <c r="Z560" s="2312" t="s">
        <v>2650</v>
      </c>
      <c r="AA560" s="2312"/>
      <c r="AB560" s="2312"/>
      <c r="AC560" s="2312"/>
      <c r="AD560" s="2312"/>
      <c r="AE560" s="2312"/>
      <c r="AF560" s="2312"/>
      <c r="AG560" s="2312"/>
      <c r="AH560" s="2312"/>
      <c r="AI560" s="2312"/>
      <c r="AJ560" s="2312"/>
      <c r="AK560" s="231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2312" t="s">
        <v>2748</v>
      </c>
      <c r="H561" s="2312"/>
      <c r="I561" s="2312"/>
      <c r="J561" s="2312"/>
      <c r="K561" s="2312"/>
      <c r="L561" s="2312"/>
      <c r="M561" s="2312"/>
      <c r="N561" s="2312"/>
      <c r="O561" s="2312"/>
      <c r="P561" s="2312"/>
      <c r="Q561" s="2312"/>
      <c r="R561" s="2312"/>
      <c r="S561" s="102"/>
      <c r="T561" s="46"/>
      <c r="U561" s="16" t="s">
        <v>484</v>
      </c>
      <c r="Z561" s="2436" t="s">
        <v>2343</v>
      </c>
      <c r="AA561" s="2436"/>
      <c r="AB561" s="2436"/>
      <c r="AC561" s="2436"/>
      <c r="AD561" s="2436"/>
      <c r="AE561" s="2436"/>
      <c r="AF561" s="2436"/>
      <c r="AG561" s="2436"/>
      <c r="AH561" s="2436"/>
      <c r="AI561" s="2436"/>
      <c r="AJ561" s="2436"/>
      <c r="AK561" s="243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2312" t="s">
        <v>2749</v>
      </c>
      <c r="H562" s="2312"/>
      <c r="I562" s="2312"/>
      <c r="J562" s="2312"/>
      <c r="K562" s="2312"/>
      <c r="L562" s="2312"/>
      <c r="M562" s="2312"/>
      <c r="N562" s="2312"/>
      <c r="O562" s="2312"/>
      <c r="P562" s="2312"/>
      <c r="Q562" s="2312"/>
      <c r="R562" s="2312"/>
      <c r="S562" s="18"/>
      <c r="T562" s="46"/>
      <c r="U562" s="16" t="s">
        <v>924</v>
      </c>
      <c r="Z562" s="2436" t="s">
        <v>2344</v>
      </c>
      <c r="AA562" s="2436"/>
      <c r="AB562" s="2436"/>
      <c r="AC562" s="2436"/>
      <c r="AD562" s="2436"/>
      <c r="AE562" s="2436"/>
      <c r="AF562" s="2436"/>
      <c r="AG562" s="2436"/>
      <c r="AH562" s="2436"/>
      <c r="AI562" s="2436"/>
      <c r="AJ562" s="2436"/>
      <c r="AK562" s="243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2316" t="s">
        <v>2750</v>
      </c>
      <c r="H563" s="2306"/>
      <c r="I563" s="2306"/>
      <c r="J563" s="2306"/>
      <c r="K563" s="2306"/>
      <c r="L563" s="2306"/>
      <c r="O563" s="161" t="s">
        <v>907</v>
      </c>
      <c r="P563" s="2313"/>
      <c r="Q563" s="2313"/>
      <c r="R563" s="2313"/>
      <c r="S563" s="20"/>
      <c r="T563" s="46"/>
      <c r="U563" s="16" t="s">
        <v>723</v>
      </c>
      <c r="Z563" s="2306" t="s">
        <v>2346</v>
      </c>
      <c r="AA563" s="2306"/>
      <c r="AB563" s="2306"/>
      <c r="AC563" s="2306"/>
      <c r="AD563" s="2306"/>
      <c r="AE563" s="2306"/>
      <c r="AH563" s="161" t="s">
        <v>907</v>
      </c>
      <c r="AI563" s="2313"/>
      <c r="AJ563" s="2313"/>
      <c r="AK563" s="2313"/>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2312" t="s">
        <v>2651</v>
      </c>
      <c r="I564" s="2312"/>
      <c r="J564" s="2312"/>
      <c r="K564" s="2312"/>
      <c r="L564" s="2312"/>
      <c r="M564" s="2312"/>
      <c r="N564" s="2312"/>
      <c r="O564" s="2312"/>
      <c r="P564" s="2312"/>
      <c r="Q564" s="2312"/>
      <c r="R564" s="2312"/>
      <c r="S564" s="18"/>
      <c r="T564" s="46"/>
      <c r="U564" s="16" t="s">
        <v>925</v>
      </c>
      <c r="AA564" s="2312" t="s">
        <v>2652</v>
      </c>
      <c r="AB564" s="2312"/>
      <c r="AC564" s="2312"/>
      <c r="AD564" s="2312"/>
      <c r="AE564" s="2312"/>
      <c r="AF564" s="2312"/>
      <c r="AG564" s="2312"/>
      <c r="AH564" s="2312"/>
      <c r="AI564" s="2312"/>
      <c r="AJ564" s="2312"/>
      <c r="AK564" s="231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2343" t="s">
        <v>118</v>
      </c>
      <c r="O565" s="2343"/>
      <c r="T565" s="46"/>
      <c r="U565" s="16" t="s">
        <v>927</v>
      </c>
      <c r="AG565" s="2343" t="s">
        <v>118</v>
      </c>
      <c r="AH565" s="234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2514" t="str">
        <f>C547</f>
        <v/>
      </c>
      <c r="H567" s="2514"/>
      <c r="I567" s="2514"/>
      <c r="J567" s="2514"/>
      <c r="K567" s="2514"/>
      <c r="L567" s="2514"/>
      <c r="M567" s="2514"/>
      <c r="N567" s="2514"/>
      <c r="O567" s="2514"/>
      <c r="P567" s="2514"/>
      <c r="Q567" s="2514"/>
      <c r="R567" s="2514"/>
      <c r="T567" s="101" t="s">
        <v>485</v>
      </c>
      <c r="U567" s="16" t="s">
        <v>92</v>
      </c>
      <c r="Z567" s="2514" t="str">
        <f>C548</f>
        <v/>
      </c>
      <c r="AA567" s="2514"/>
      <c r="AB567" s="2514"/>
      <c r="AC567" s="2514"/>
      <c r="AD567" s="2514"/>
      <c r="AE567" s="2514"/>
      <c r="AF567" s="2514"/>
      <c r="AG567" s="2514"/>
      <c r="AH567" s="2514"/>
      <c r="AI567" s="2514"/>
      <c r="AJ567" s="2514"/>
      <c r="AK567" s="251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2309"/>
      <c r="H568" s="2312"/>
      <c r="I568" s="2312"/>
      <c r="J568" s="2312"/>
      <c r="K568" s="2312"/>
      <c r="L568" s="2312"/>
      <c r="M568" s="2312"/>
      <c r="N568" s="2312"/>
      <c r="O568" s="2312"/>
      <c r="P568" s="2312"/>
      <c r="Q568" s="2312"/>
      <c r="R568" s="2312"/>
      <c r="T568" s="46"/>
      <c r="U568" s="16" t="s">
        <v>421</v>
      </c>
      <c r="Z568" s="2312"/>
      <c r="AA568" s="2312"/>
      <c r="AB568" s="2312"/>
      <c r="AC568" s="2312"/>
      <c r="AD568" s="2312"/>
      <c r="AE568" s="2312"/>
      <c r="AF568" s="2312"/>
      <c r="AG568" s="2312"/>
      <c r="AH568" s="2312"/>
      <c r="AI568" s="2312"/>
      <c r="AJ568" s="2312"/>
      <c r="AK568" s="231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2502"/>
      <c r="H569" s="2436"/>
      <c r="I569" s="2436"/>
      <c r="J569" s="2436"/>
      <c r="K569" s="2436"/>
      <c r="L569" s="2436"/>
      <c r="M569" s="2436"/>
      <c r="N569" s="2436"/>
      <c r="O569" s="2436"/>
      <c r="P569" s="2436"/>
      <c r="Q569" s="2436"/>
      <c r="R569" s="2436"/>
      <c r="T569" s="46"/>
      <c r="U569" s="16" t="s">
        <v>484</v>
      </c>
      <c r="Z569" s="2436"/>
      <c r="AA569" s="2436"/>
      <c r="AB569" s="2436"/>
      <c r="AC569" s="2436"/>
      <c r="AD569" s="2436"/>
      <c r="AE569" s="2436"/>
      <c r="AF569" s="2436"/>
      <c r="AG569" s="2436"/>
      <c r="AH569" s="2436"/>
      <c r="AI569" s="2436"/>
      <c r="AJ569" s="2436"/>
      <c r="AK569" s="243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2502"/>
      <c r="H570" s="2436"/>
      <c r="I570" s="2436"/>
      <c r="J570" s="2436"/>
      <c r="K570" s="2436"/>
      <c r="L570" s="2436"/>
      <c r="M570" s="2436"/>
      <c r="N570" s="2436"/>
      <c r="O570" s="2436"/>
      <c r="P570" s="2436"/>
      <c r="Q570" s="2436"/>
      <c r="R570" s="2436"/>
      <c r="T570" s="46"/>
      <c r="U570" s="16" t="s">
        <v>924</v>
      </c>
      <c r="Z570" s="2436"/>
      <c r="AA570" s="2436"/>
      <c r="AB570" s="2436"/>
      <c r="AC570" s="2436"/>
      <c r="AD570" s="2436"/>
      <c r="AE570" s="2436"/>
      <c r="AF570" s="2436"/>
      <c r="AG570" s="2436"/>
      <c r="AH570" s="2436"/>
      <c r="AI570" s="2436"/>
      <c r="AJ570" s="2436"/>
      <c r="AK570" s="243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2316"/>
      <c r="H571" s="2306"/>
      <c r="I571" s="2306"/>
      <c r="J571" s="2306"/>
      <c r="K571" s="2306"/>
      <c r="L571" s="2306"/>
      <c r="O571" s="161" t="s">
        <v>907</v>
      </c>
      <c r="P571" s="2313"/>
      <c r="Q571" s="2313"/>
      <c r="R571" s="2313"/>
      <c r="T571" s="46"/>
      <c r="U571" s="16" t="s">
        <v>723</v>
      </c>
      <c r="Z571" s="2306"/>
      <c r="AA571" s="2306"/>
      <c r="AB571" s="2306"/>
      <c r="AC571" s="2306"/>
      <c r="AD571" s="2306"/>
      <c r="AE571" s="2306"/>
      <c r="AH571" s="161" t="s">
        <v>907</v>
      </c>
      <c r="AI571" s="2313"/>
      <c r="AJ571" s="2313"/>
      <c r="AK571" s="2313"/>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2309"/>
      <c r="I572" s="2312"/>
      <c r="J572" s="2312"/>
      <c r="K572" s="2312"/>
      <c r="L572" s="2312"/>
      <c r="M572" s="2312"/>
      <c r="N572" s="2312"/>
      <c r="O572" s="2312"/>
      <c r="P572" s="2312"/>
      <c r="Q572" s="2312"/>
      <c r="R572" s="2312"/>
      <c r="T572" s="46"/>
      <c r="U572" s="16" t="s">
        <v>925</v>
      </c>
      <c r="AA572" s="2312"/>
      <c r="AB572" s="2312"/>
      <c r="AC572" s="2312"/>
      <c r="AD572" s="2312"/>
      <c r="AE572" s="2312"/>
      <c r="AF572" s="2312"/>
      <c r="AG572" s="2312"/>
      <c r="AH572" s="2312"/>
      <c r="AI572" s="2312"/>
      <c r="AJ572" s="2312"/>
      <c r="AK572" s="231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2325" t="s">
        <v>536</v>
      </c>
      <c r="O573" s="2325"/>
      <c r="T573" s="46"/>
      <c r="U573" s="16" t="s">
        <v>927</v>
      </c>
      <c r="AG573" s="2325" t="s">
        <v>536</v>
      </c>
      <c r="AH573" s="232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2514">
        <f>C549</f>
        <v>0</v>
      </c>
      <c r="H575" s="2514"/>
      <c r="I575" s="2514"/>
      <c r="J575" s="2514"/>
      <c r="K575" s="2514"/>
      <c r="L575" s="2514"/>
      <c r="M575" s="2514"/>
      <c r="N575" s="2514"/>
      <c r="O575" s="2514"/>
      <c r="P575" s="2514"/>
      <c r="Q575" s="2514"/>
      <c r="R575" s="2514"/>
      <c r="T575" s="101" t="s">
        <v>488</v>
      </c>
      <c r="U575" s="16" t="s">
        <v>92</v>
      </c>
      <c r="Z575" s="2514">
        <f>C550</f>
        <v>0</v>
      </c>
      <c r="AA575" s="2514"/>
      <c r="AB575" s="2514"/>
      <c r="AC575" s="2514"/>
      <c r="AD575" s="2514"/>
      <c r="AE575" s="2514"/>
      <c r="AF575" s="2514"/>
      <c r="AG575" s="2514"/>
      <c r="AH575" s="2514"/>
      <c r="AI575" s="2514"/>
      <c r="AJ575" s="2514"/>
      <c r="AK575" s="251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2312"/>
      <c r="H576" s="2312"/>
      <c r="I576" s="2312"/>
      <c r="J576" s="2312"/>
      <c r="K576" s="2312"/>
      <c r="L576" s="2312"/>
      <c r="M576" s="2312"/>
      <c r="N576" s="2312"/>
      <c r="O576" s="2312"/>
      <c r="P576" s="2312"/>
      <c r="Q576" s="2312"/>
      <c r="R576" s="2312"/>
      <c r="T576" s="46"/>
      <c r="U576" s="16" t="s">
        <v>421</v>
      </c>
      <c r="Z576" s="2312"/>
      <c r="AA576" s="2312"/>
      <c r="AB576" s="2312"/>
      <c r="AC576" s="2312"/>
      <c r="AD576" s="2312"/>
      <c r="AE576" s="2312"/>
      <c r="AF576" s="2312"/>
      <c r="AG576" s="2312"/>
      <c r="AH576" s="2312"/>
      <c r="AI576" s="2312"/>
      <c r="AJ576" s="2312"/>
      <c r="AK576" s="231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2312"/>
      <c r="H577" s="2312"/>
      <c r="I577" s="2312"/>
      <c r="J577" s="2312"/>
      <c r="K577" s="2312"/>
      <c r="L577" s="2312"/>
      <c r="M577" s="2312"/>
      <c r="N577" s="2312"/>
      <c r="O577" s="2312"/>
      <c r="P577" s="2312"/>
      <c r="Q577" s="2312"/>
      <c r="R577" s="2312"/>
      <c r="T577" s="46"/>
      <c r="U577" s="16" t="s">
        <v>484</v>
      </c>
      <c r="Z577" s="2436"/>
      <c r="AA577" s="2436"/>
      <c r="AB577" s="2436"/>
      <c r="AC577" s="2436"/>
      <c r="AD577" s="2436"/>
      <c r="AE577" s="2436"/>
      <c r="AF577" s="2436"/>
      <c r="AG577" s="2436"/>
      <c r="AH577" s="2436"/>
      <c r="AI577" s="2436"/>
      <c r="AJ577" s="2436"/>
      <c r="AK577" s="243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2312"/>
      <c r="H578" s="2312"/>
      <c r="I578" s="2312"/>
      <c r="J578" s="2312"/>
      <c r="K578" s="2312"/>
      <c r="L578" s="2312"/>
      <c r="M578" s="2312"/>
      <c r="N578" s="2312"/>
      <c r="O578" s="2312"/>
      <c r="P578" s="2312"/>
      <c r="Q578" s="2312"/>
      <c r="R578" s="2312"/>
      <c r="T578" s="46"/>
      <c r="U578" s="16" t="s">
        <v>924</v>
      </c>
      <c r="Z578" s="2436"/>
      <c r="AA578" s="2436"/>
      <c r="AB578" s="2436"/>
      <c r="AC578" s="2436"/>
      <c r="AD578" s="2436"/>
      <c r="AE578" s="2436"/>
      <c r="AF578" s="2436"/>
      <c r="AG578" s="2436"/>
      <c r="AH578" s="2436"/>
      <c r="AI578" s="2436"/>
      <c r="AJ578" s="2436"/>
      <c r="AK578" s="243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2306"/>
      <c r="H579" s="2306"/>
      <c r="I579" s="2306"/>
      <c r="J579" s="2306"/>
      <c r="K579" s="2306"/>
      <c r="L579" s="2306"/>
      <c r="O579" s="161" t="s">
        <v>907</v>
      </c>
      <c r="P579" s="2313"/>
      <c r="Q579" s="2313"/>
      <c r="R579" s="2313"/>
      <c r="T579" s="46"/>
      <c r="U579" s="16" t="s">
        <v>723</v>
      </c>
      <c r="Z579" s="2306"/>
      <c r="AA579" s="2306"/>
      <c r="AB579" s="2306"/>
      <c r="AC579" s="2306"/>
      <c r="AD579" s="2306"/>
      <c r="AE579" s="2306"/>
      <c r="AH579" s="161" t="s">
        <v>907</v>
      </c>
      <c r="AI579" s="2313"/>
      <c r="AJ579" s="2313"/>
      <c r="AK579" s="231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2312"/>
      <c r="I580" s="2312"/>
      <c r="J580" s="2312"/>
      <c r="K580" s="2312"/>
      <c r="L580" s="2312"/>
      <c r="M580" s="2312"/>
      <c r="N580" s="2312"/>
      <c r="O580" s="2312"/>
      <c r="P580" s="2312"/>
      <c r="Q580" s="2312"/>
      <c r="R580" s="2312"/>
      <c r="T580" s="46"/>
      <c r="U580" s="16" t="s">
        <v>925</v>
      </c>
      <c r="AA580" s="2312"/>
      <c r="AB580" s="2312"/>
      <c r="AC580" s="2312"/>
      <c r="AD580" s="2312"/>
      <c r="AE580" s="2312"/>
      <c r="AF580" s="2312"/>
      <c r="AG580" s="2312"/>
      <c r="AH580" s="2312"/>
      <c r="AI580" s="2312"/>
      <c r="AJ580" s="2312"/>
      <c r="AK580" s="231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2325" t="s">
        <v>536</v>
      </c>
      <c r="O581" s="2325"/>
      <c r="T581" s="46"/>
      <c r="U581" s="16" t="s">
        <v>927</v>
      </c>
      <c r="AG581" s="2325" t="s">
        <v>536</v>
      </c>
      <c r="AH581" s="232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2514">
        <f>C551</f>
        <v>0</v>
      </c>
      <c r="H583" s="2514"/>
      <c r="I583" s="2514"/>
      <c r="J583" s="2514"/>
      <c r="K583" s="2514"/>
      <c r="L583" s="2514"/>
      <c r="M583" s="2514"/>
      <c r="N583" s="2514"/>
      <c r="O583" s="2514"/>
      <c r="P583" s="2514"/>
      <c r="Q583" s="2514"/>
      <c r="R583" s="2514"/>
      <c r="T583" s="101" t="s">
        <v>818</v>
      </c>
      <c r="U583" s="16" t="s">
        <v>92</v>
      </c>
      <c r="Z583" s="2514">
        <f>C552</f>
        <v>0</v>
      </c>
      <c r="AA583" s="2514"/>
      <c r="AB583" s="2514"/>
      <c r="AC583" s="2514"/>
      <c r="AD583" s="2514"/>
      <c r="AE583" s="2514"/>
      <c r="AF583" s="2514"/>
      <c r="AG583" s="2514"/>
      <c r="AH583" s="2514"/>
      <c r="AI583" s="2514"/>
      <c r="AJ583" s="2514"/>
      <c r="AK583" s="251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2312"/>
      <c r="H584" s="2312"/>
      <c r="I584" s="2312"/>
      <c r="J584" s="2312"/>
      <c r="K584" s="2312"/>
      <c r="L584" s="2312"/>
      <c r="M584" s="2312"/>
      <c r="N584" s="2312"/>
      <c r="O584" s="2312"/>
      <c r="P584" s="2312"/>
      <c r="Q584" s="2312"/>
      <c r="R584" s="2312"/>
      <c r="S584" s="16"/>
      <c r="T584" s="46"/>
      <c r="U584" s="16" t="s">
        <v>421</v>
      </c>
      <c r="V584" s="16"/>
      <c r="W584" s="16"/>
      <c r="X584" s="16"/>
      <c r="Y584" s="16"/>
      <c r="Z584" s="2312"/>
      <c r="AA584" s="2312"/>
      <c r="AB584" s="2312"/>
      <c r="AC584" s="2312"/>
      <c r="AD584" s="2312"/>
      <c r="AE584" s="2312"/>
      <c r="AF584" s="2312"/>
      <c r="AG584" s="2312"/>
      <c r="AH584" s="2312"/>
      <c r="AI584" s="2312"/>
      <c r="AJ584" s="2312"/>
      <c r="AK584" s="2312"/>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2312"/>
      <c r="H585" s="2312"/>
      <c r="I585" s="2312"/>
      <c r="J585" s="2312"/>
      <c r="K585" s="2312"/>
      <c r="L585" s="2312"/>
      <c r="M585" s="2312"/>
      <c r="N585" s="2312"/>
      <c r="O585" s="2312"/>
      <c r="P585" s="2312"/>
      <c r="Q585" s="2312"/>
      <c r="R585" s="2312"/>
      <c r="S585" s="16"/>
      <c r="T585" s="46"/>
      <c r="U585" s="16" t="s">
        <v>484</v>
      </c>
      <c r="V585" s="16"/>
      <c r="W585" s="16"/>
      <c r="X585" s="16"/>
      <c r="Y585" s="16"/>
      <c r="Z585" s="2436"/>
      <c r="AA585" s="2436"/>
      <c r="AB585" s="2436"/>
      <c r="AC585" s="2436"/>
      <c r="AD585" s="2436"/>
      <c r="AE585" s="2436"/>
      <c r="AF585" s="2436"/>
      <c r="AG585" s="2436"/>
      <c r="AH585" s="2436"/>
      <c r="AI585" s="2436"/>
      <c r="AJ585" s="2436"/>
      <c r="AK585" s="2436"/>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2312"/>
      <c r="H586" s="2312"/>
      <c r="I586" s="2312"/>
      <c r="J586" s="2312"/>
      <c r="K586" s="2312"/>
      <c r="L586" s="2312"/>
      <c r="M586" s="2312"/>
      <c r="N586" s="2312"/>
      <c r="O586" s="2312"/>
      <c r="P586" s="2312"/>
      <c r="Q586" s="2312"/>
      <c r="R586" s="2312"/>
      <c r="S586" s="16"/>
      <c r="T586" s="46"/>
      <c r="U586" s="16" t="s">
        <v>924</v>
      </c>
      <c r="V586" s="16"/>
      <c r="W586" s="16"/>
      <c r="X586" s="16"/>
      <c r="Y586" s="16"/>
      <c r="Z586" s="2436"/>
      <c r="AA586" s="2436"/>
      <c r="AB586" s="2436"/>
      <c r="AC586" s="2436"/>
      <c r="AD586" s="2436"/>
      <c r="AE586" s="2436"/>
      <c r="AF586" s="2436"/>
      <c r="AG586" s="2436"/>
      <c r="AH586" s="2436"/>
      <c r="AI586" s="2436"/>
      <c r="AJ586" s="2436"/>
      <c r="AK586" s="2436"/>
      <c r="AL586" s="16"/>
      <c r="AM586" s="8" t="s">
        <v>495</v>
      </c>
      <c r="AN586" s="72"/>
      <c r="AO586" s="72"/>
      <c r="AP586" s="72"/>
      <c r="AQ586" s="72"/>
      <c r="AR586" s="351" t="s">
        <v>396</v>
      </c>
      <c r="AS586" s="352"/>
      <c r="AT586" s="2439"/>
      <c r="AU586" s="2440"/>
      <c r="AV586" s="351" t="s">
        <v>397</v>
      </c>
      <c r="AW586" s="352"/>
      <c r="AX586" s="2439"/>
      <c r="AY586" s="2440"/>
      <c r="AZ586" s="72"/>
      <c r="BA586" s="2461" t="s">
        <v>473</v>
      </c>
      <c r="BB586" s="2461"/>
      <c r="BC586" s="2461"/>
      <c r="BD586" s="2461"/>
      <c r="BE586" s="2461"/>
      <c r="BF586" s="2461" t="s">
        <v>496</v>
      </c>
      <c r="BG586" s="2461"/>
      <c r="BH586" s="2461"/>
      <c r="BI586" s="2461"/>
      <c r="BJ586" s="2461"/>
      <c r="BK586" s="2461" t="s">
        <v>860</v>
      </c>
      <c r="BL586" s="2461"/>
      <c r="BM586" s="2461"/>
      <c r="BN586" s="2461"/>
      <c r="BO586" s="2461"/>
      <c r="BP586" s="2461" t="s">
        <v>861</v>
      </c>
      <c r="BQ586" s="2461"/>
      <c r="BR586" s="2461"/>
      <c r="BS586" s="2461"/>
      <c r="BT586" s="2461"/>
      <c r="BU586" s="2461" t="s">
        <v>874</v>
      </c>
      <c r="BV586" s="2461"/>
      <c r="BW586" s="2461"/>
      <c r="BX586" s="2461"/>
      <c r="BY586" s="2461"/>
      <c r="BZ586" s="2461" t="s">
        <v>387</v>
      </c>
      <c r="CA586" s="2461"/>
      <c r="CB586" s="2461"/>
      <c r="CC586" s="2461"/>
      <c r="CD586" s="2461"/>
      <c r="CE586" s="2461" t="s">
        <v>473</v>
      </c>
      <c r="CF586" s="2461"/>
      <c r="CG586" s="2461"/>
      <c r="CH586" s="2461"/>
      <c r="CI586" s="2461"/>
      <c r="CJ586" s="2461" t="s">
        <v>496</v>
      </c>
      <c r="CK586" s="2461"/>
      <c r="CL586" s="2461"/>
      <c r="CM586" s="2461"/>
      <c r="CN586" s="2461"/>
      <c r="CO586" s="2461" t="s">
        <v>860</v>
      </c>
      <c r="CP586" s="2461"/>
      <c r="CQ586" s="2461"/>
      <c r="CR586" s="2461"/>
      <c r="CS586" s="2461"/>
      <c r="CT586" s="2461" t="s">
        <v>861</v>
      </c>
      <c r="CU586" s="2461"/>
      <c r="CV586" s="2461"/>
      <c r="CW586" s="2461"/>
      <c r="CX586" s="2461"/>
      <c r="CY586" s="2461" t="s">
        <v>874</v>
      </c>
      <c r="CZ586" s="2461"/>
      <c r="DA586" s="2461"/>
      <c r="DB586" s="2461"/>
      <c r="DC586" s="2461"/>
      <c r="DD586" s="2461" t="s">
        <v>387</v>
      </c>
      <c r="DE586" s="2461"/>
      <c r="DF586" s="2461"/>
      <c r="DG586" s="2461"/>
      <c r="DH586" s="2461"/>
    </row>
    <row r="587" spans="1:112" s="8" customFormat="1" ht="12.75">
      <c r="A587" s="46"/>
      <c r="B587" s="16" t="s">
        <v>723</v>
      </c>
      <c r="C587" s="16"/>
      <c r="D587" s="16"/>
      <c r="E587" s="16"/>
      <c r="F587" s="16"/>
      <c r="G587" s="2306"/>
      <c r="H587" s="2306"/>
      <c r="I587" s="2306"/>
      <c r="J587" s="2306"/>
      <c r="K587" s="2306"/>
      <c r="L587" s="2306"/>
      <c r="M587" s="16"/>
      <c r="N587" s="16"/>
      <c r="O587" s="161" t="s">
        <v>907</v>
      </c>
      <c r="P587" s="2313"/>
      <c r="Q587" s="2313"/>
      <c r="R587" s="2313"/>
      <c r="S587" s="16"/>
      <c r="T587" s="46"/>
      <c r="U587" s="16" t="s">
        <v>723</v>
      </c>
      <c r="V587" s="16"/>
      <c r="W587" s="16"/>
      <c r="X587" s="16"/>
      <c r="Y587" s="16"/>
      <c r="Z587" s="2306"/>
      <c r="AA587" s="2306"/>
      <c r="AB587" s="2306"/>
      <c r="AC587" s="2306"/>
      <c r="AD587" s="2306"/>
      <c r="AE587" s="2306"/>
      <c r="AF587" s="16"/>
      <c r="AG587" s="16"/>
      <c r="AH587" s="161" t="s">
        <v>907</v>
      </c>
      <c r="AI587" s="2313"/>
      <c r="AJ587" s="2313"/>
      <c r="AK587" s="2313"/>
      <c r="AL587" s="16"/>
      <c r="AM587" s="8" t="s">
        <v>496</v>
      </c>
      <c r="AN587" s="72"/>
      <c r="AO587" s="72"/>
      <c r="AP587" s="72"/>
      <c r="AQ587" s="72"/>
      <c r="AR587" s="2466">
        <f t="shared" ref="AR587:AR611" si="0">IF(AND(AD691&lt;=0.5,AD691&gt;=0.36),1,0)</f>
        <v>0</v>
      </c>
      <c r="AS587" s="2467"/>
      <c r="AT587" s="2439">
        <f t="shared" ref="AT587:AT611" si="1">IF(AR587=1,G691,0)</f>
        <v>0</v>
      </c>
      <c r="AU587" s="2440"/>
      <c r="AV587" s="2466">
        <f t="shared" ref="AV587:AV611" si="2">IF(AND(AD691&lt;=0.35,AD691&gt;0),1,0)</f>
        <v>1</v>
      </c>
      <c r="AW587" s="2467"/>
      <c r="AX587" s="2439">
        <f t="shared" ref="AX587:AX611" si="3">IF(AV587=1,G691,0)</f>
        <v>10</v>
      </c>
      <c r="AY587" s="2440"/>
      <c r="AZ587" s="72"/>
      <c r="BA587" s="2462">
        <f t="shared" ref="BA587:BA611" si="4">IF(B691="SRO/Studio",G691,0)</f>
        <v>10</v>
      </c>
      <c r="BB587" s="2462"/>
      <c r="BC587" s="2462"/>
      <c r="BD587" s="2462"/>
      <c r="BE587" s="2462"/>
      <c r="BF587" s="2462">
        <f t="shared" ref="BF587:BF611" si="5">IF(B691="1 Bedroom",G691,0)</f>
        <v>0</v>
      </c>
      <c r="BG587" s="2462"/>
      <c r="BH587" s="2462"/>
      <c r="BI587" s="2462"/>
      <c r="BJ587" s="2462"/>
      <c r="BK587" s="2462">
        <f t="shared" ref="BK587:BK611" si="6">IF(B691="2 Bedrooms",G691,0)</f>
        <v>0</v>
      </c>
      <c r="BL587" s="2462"/>
      <c r="BM587" s="2462"/>
      <c r="BN587" s="2462"/>
      <c r="BO587" s="2462"/>
      <c r="BP587" s="2462">
        <f t="shared" ref="BP587:BP611" si="7">IF(B691="3 Bedrooms",G691,0)</f>
        <v>0</v>
      </c>
      <c r="BQ587" s="2462"/>
      <c r="BR587" s="2462"/>
      <c r="BS587" s="2462"/>
      <c r="BT587" s="2462"/>
      <c r="BU587" s="2462">
        <f t="shared" ref="BU587:BU611" si="8">IF(B691="4 Bedrooms",G691,0)</f>
        <v>0</v>
      </c>
      <c r="BV587" s="2462"/>
      <c r="BW587" s="2462"/>
      <c r="BX587" s="2462"/>
      <c r="BY587" s="2462"/>
      <c r="BZ587" s="2462">
        <f t="shared" ref="BZ587:BZ611" si="9">IF(B691="5 Bedrooms",G691,0)</f>
        <v>0</v>
      </c>
      <c r="CA587" s="2462"/>
      <c r="CB587" s="2462"/>
      <c r="CC587" s="2462"/>
      <c r="CD587" s="2462"/>
      <c r="CE587" s="2424">
        <f t="shared" ref="CE587:CE611" si="10">IF(AND(B691="SRO/Studio",AD691&lt;=0.3),G691,0)</f>
        <v>10</v>
      </c>
      <c r="CF587" s="2424"/>
      <c r="CG587" s="2424"/>
      <c r="CH587" s="2424"/>
      <c r="CI587" s="2424"/>
      <c r="CJ587" s="2424">
        <f t="shared" ref="CJ587:CJ611" si="11">IF(AND(B691="1 Bedroom",AD691&lt;=0.3),G691,0)</f>
        <v>0</v>
      </c>
      <c r="CK587" s="2424"/>
      <c r="CL587" s="2424"/>
      <c r="CM587" s="2424"/>
      <c r="CN587" s="2424"/>
      <c r="CO587" s="2424">
        <f t="shared" ref="CO587:CO611" si="12">IF(AND(B691="2 Bedrooms",AD691&lt;=0.3),G691,0)</f>
        <v>0</v>
      </c>
      <c r="CP587" s="2424"/>
      <c r="CQ587" s="2424"/>
      <c r="CR587" s="2424"/>
      <c r="CS587" s="2424"/>
      <c r="CT587" s="2424">
        <f t="shared" ref="CT587:CT611" si="13">IF(AND(B691="3 Bedrooms",AD691&lt;=0.3),G691,0)</f>
        <v>0</v>
      </c>
      <c r="CU587" s="2424"/>
      <c r="CV587" s="2424"/>
      <c r="CW587" s="2424"/>
      <c r="CX587" s="2424"/>
      <c r="CY587" s="2424">
        <f t="shared" ref="CY587:CY611" si="14">IF(AND(B691="4 Bedrooms",AD691&lt;=0.3),G691,0)</f>
        <v>0</v>
      </c>
      <c r="CZ587" s="2424"/>
      <c r="DA587" s="2424"/>
      <c r="DB587" s="2424"/>
      <c r="DC587" s="2424"/>
      <c r="DD587" s="2424">
        <f t="shared" ref="DD587:DD611" si="15">IF(AND(B691="5 Bedrooms",AD691&lt;=0.3),G691,0)</f>
        <v>0</v>
      </c>
      <c r="DE587" s="2424"/>
      <c r="DF587" s="2424"/>
      <c r="DG587" s="2424"/>
      <c r="DH587" s="2424"/>
    </row>
    <row r="588" spans="1:112" s="8" customFormat="1" ht="12.75">
      <c r="A588" s="46"/>
      <c r="B588" s="16" t="s">
        <v>925</v>
      </c>
      <c r="C588" s="16"/>
      <c r="D588" s="16"/>
      <c r="E588" s="16"/>
      <c r="F588" s="16"/>
      <c r="G588" s="16"/>
      <c r="H588" s="2312"/>
      <c r="I588" s="2312"/>
      <c r="J588" s="2312"/>
      <c r="K588" s="2312"/>
      <c r="L588" s="2312"/>
      <c r="M588" s="2312"/>
      <c r="N588" s="2312"/>
      <c r="O588" s="2312"/>
      <c r="P588" s="2312"/>
      <c r="Q588" s="2312"/>
      <c r="R588" s="2312"/>
      <c r="S588" s="16"/>
      <c r="T588" s="46"/>
      <c r="U588" s="16" t="s">
        <v>925</v>
      </c>
      <c r="V588" s="16"/>
      <c r="W588" s="16"/>
      <c r="X588" s="16"/>
      <c r="Y588" s="16"/>
      <c r="Z588" s="16"/>
      <c r="AA588" s="2312"/>
      <c r="AB588" s="2312"/>
      <c r="AC588" s="2312"/>
      <c r="AD588" s="2312"/>
      <c r="AE588" s="2312"/>
      <c r="AF588" s="2312"/>
      <c r="AG588" s="2312"/>
      <c r="AH588" s="2312"/>
      <c r="AI588" s="2312"/>
      <c r="AJ588" s="2312"/>
      <c r="AK588" s="2312"/>
      <c r="AL588" s="16"/>
      <c r="AM588" s="8" t="s">
        <v>860</v>
      </c>
      <c r="AN588" s="72"/>
      <c r="AO588" s="72"/>
      <c r="AP588" s="72"/>
      <c r="AQ588" s="72"/>
      <c r="AR588" s="2466">
        <f t="shared" si="0"/>
        <v>1</v>
      </c>
      <c r="AS588" s="2467"/>
      <c r="AT588" s="2439">
        <f t="shared" si="1"/>
        <v>32</v>
      </c>
      <c r="AU588" s="2440"/>
      <c r="AV588" s="2466">
        <f t="shared" si="2"/>
        <v>0</v>
      </c>
      <c r="AW588" s="2467"/>
      <c r="AX588" s="2439">
        <f t="shared" si="3"/>
        <v>0</v>
      </c>
      <c r="AY588" s="2440"/>
      <c r="AZ588" s="72"/>
      <c r="BA588" s="2462">
        <f t="shared" si="4"/>
        <v>32</v>
      </c>
      <c r="BB588" s="2462"/>
      <c r="BC588" s="2462"/>
      <c r="BD588" s="2462"/>
      <c r="BE588" s="2462"/>
      <c r="BF588" s="2462">
        <f t="shared" si="5"/>
        <v>0</v>
      </c>
      <c r="BG588" s="2462"/>
      <c r="BH588" s="2462"/>
      <c r="BI588" s="2462"/>
      <c r="BJ588" s="2462"/>
      <c r="BK588" s="2462">
        <f t="shared" si="6"/>
        <v>0</v>
      </c>
      <c r="BL588" s="2462"/>
      <c r="BM588" s="2462"/>
      <c r="BN588" s="2462"/>
      <c r="BO588" s="2462"/>
      <c r="BP588" s="2462">
        <f t="shared" si="7"/>
        <v>0</v>
      </c>
      <c r="BQ588" s="2462"/>
      <c r="BR588" s="2462"/>
      <c r="BS588" s="2462"/>
      <c r="BT588" s="2462"/>
      <c r="BU588" s="2462">
        <f t="shared" si="8"/>
        <v>0</v>
      </c>
      <c r="BV588" s="2462"/>
      <c r="BW588" s="2462"/>
      <c r="BX588" s="2462"/>
      <c r="BY588" s="2462"/>
      <c r="BZ588" s="2462">
        <f t="shared" si="9"/>
        <v>0</v>
      </c>
      <c r="CA588" s="2462"/>
      <c r="CB588" s="2462"/>
      <c r="CC588" s="2462"/>
      <c r="CD588" s="2462"/>
      <c r="CE588" s="2424">
        <f t="shared" si="10"/>
        <v>0</v>
      </c>
      <c r="CF588" s="2424"/>
      <c r="CG588" s="2424"/>
      <c r="CH588" s="2424"/>
      <c r="CI588" s="2424"/>
      <c r="CJ588" s="2424">
        <f t="shared" si="11"/>
        <v>0</v>
      </c>
      <c r="CK588" s="2424"/>
      <c r="CL588" s="2424"/>
      <c r="CM588" s="2424"/>
      <c r="CN588" s="2424"/>
      <c r="CO588" s="2424">
        <f t="shared" si="12"/>
        <v>0</v>
      </c>
      <c r="CP588" s="2424"/>
      <c r="CQ588" s="2424"/>
      <c r="CR588" s="2424"/>
      <c r="CS588" s="2424"/>
      <c r="CT588" s="2424">
        <f t="shared" si="13"/>
        <v>0</v>
      </c>
      <c r="CU588" s="2424"/>
      <c r="CV588" s="2424"/>
      <c r="CW588" s="2424"/>
      <c r="CX588" s="2424"/>
      <c r="CY588" s="2424">
        <f t="shared" si="14"/>
        <v>0</v>
      </c>
      <c r="CZ588" s="2424"/>
      <c r="DA588" s="2424"/>
      <c r="DB588" s="2424"/>
      <c r="DC588" s="2424"/>
      <c r="DD588" s="2424">
        <f t="shared" si="15"/>
        <v>0</v>
      </c>
      <c r="DE588" s="2424"/>
      <c r="DF588" s="2424"/>
      <c r="DG588" s="2424"/>
      <c r="DH588" s="2424"/>
    </row>
    <row r="589" spans="1:112" ht="12.75">
      <c r="A589" s="46"/>
      <c r="B589" s="16" t="s">
        <v>927</v>
      </c>
      <c r="N589" s="2325" t="s">
        <v>536</v>
      </c>
      <c r="O589" s="2325"/>
      <c r="T589" s="46"/>
      <c r="U589" s="16" t="s">
        <v>927</v>
      </c>
      <c r="AG589" s="2325" t="s">
        <v>536</v>
      </c>
      <c r="AH589" s="2325"/>
      <c r="AM589" s="8" t="s">
        <v>861</v>
      </c>
      <c r="AN589" s="72"/>
      <c r="AO589" s="72"/>
      <c r="AP589" s="72"/>
      <c r="AQ589" s="72"/>
      <c r="AR589" s="2466">
        <f t="shared" si="0"/>
        <v>1</v>
      </c>
      <c r="AS589" s="2467"/>
      <c r="AT589" s="2439">
        <f t="shared" si="1"/>
        <v>31</v>
      </c>
      <c r="AU589" s="2440"/>
      <c r="AV589" s="2466">
        <f t="shared" si="2"/>
        <v>0</v>
      </c>
      <c r="AW589" s="2467"/>
      <c r="AX589" s="2439">
        <f t="shared" si="3"/>
        <v>0</v>
      </c>
      <c r="AY589" s="2440"/>
      <c r="AZ589" s="72"/>
      <c r="BA589" s="2462">
        <f t="shared" si="4"/>
        <v>31</v>
      </c>
      <c r="BB589" s="2462"/>
      <c r="BC589" s="2462"/>
      <c r="BD589" s="2462"/>
      <c r="BE589" s="2462"/>
      <c r="BF589" s="2462">
        <f t="shared" si="5"/>
        <v>0</v>
      </c>
      <c r="BG589" s="2462"/>
      <c r="BH589" s="2462"/>
      <c r="BI589" s="2462"/>
      <c r="BJ589" s="2462"/>
      <c r="BK589" s="2462">
        <f t="shared" si="6"/>
        <v>0</v>
      </c>
      <c r="BL589" s="2462"/>
      <c r="BM589" s="2462"/>
      <c r="BN589" s="2462"/>
      <c r="BO589" s="2462"/>
      <c r="BP589" s="2462">
        <f t="shared" si="7"/>
        <v>0</v>
      </c>
      <c r="BQ589" s="2462"/>
      <c r="BR589" s="2462"/>
      <c r="BS589" s="2462"/>
      <c r="BT589" s="2462"/>
      <c r="BU589" s="2462">
        <f t="shared" si="8"/>
        <v>0</v>
      </c>
      <c r="BV589" s="2462"/>
      <c r="BW589" s="2462"/>
      <c r="BX589" s="2462"/>
      <c r="BY589" s="2462"/>
      <c r="BZ589" s="2462">
        <f t="shared" si="9"/>
        <v>0</v>
      </c>
      <c r="CA589" s="2462"/>
      <c r="CB589" s="2462"/>
      <c r="CC589" s="2462"/>
      <c r="CD589" s="2462"/>
      <c r="CE589" s="2424">
        <f t="shared" si="10"/>
        <v>0</v>
      </c>
      <c r="CF589" s="2424"/>
      <c r="CG589" s="2424"/>
      <c r="CH589" s="2424"/>
      <c r="CI589" s="2424"/>
      <c r="CJ589" s="2424">
        <f t="shared" si="11"/>
        <v>0</v>
      </c>
      <c r="CK589" s="2424"/>
      <c r="CL589" s="2424"/>
      <c r="CM589" s="2424"/>
      <c r="CN589" s="2424"/>
      <c r="CO589" s="2424">
        <f t="shared" si="12"/>
        <v>0</v>
      </c>
      <c r="CP589" s="2424"/>
      <c r="CQ589" s="2424"/>
      <c r="CR589" s="2424"/>
      <c r="CS589" s="2424"/>
      <c r="CT589" s="2424">
        <f t="shared" si="13"/>
        <v>0</v>
      </c>
      <c r="CU589" s="2424"/>
      <c r="CV589" s="2424"/>
      <c r="CW589" s="2424"/>
      <c r="CX589" s="2424"/>
      <c r="CY589" s="2424">
        <f t="shared" si="14"/>
        <v>0</v>
      </c>
      <c r="CZ589" s="2424"/>
      <c r="DA589" s="2424"/>
      <c r="DB589" s="2424"/>
      <c r="DC589" s="2424"/>
      <c r="DD589" s="2424">
        <f t="shared" si="15"/>
        <v>0</v>
      </c>
      <c r="DE589" s="2424"/>
      <c r="DF589" s="2424"/>
      <c r="DG589" s="2424"/>
      <c r="DH589" s="2424"/>
    </row>
    <row r="590" spans="1:112" ht="12.75">
      <c r="AM590" s="8" t="s">
        <v>862</v>
      </c>
      <c r="AN590" s="72"/>
      <c r="AO590" s="72"/>
      <c r="AP590" s="72"/>
      <c r="AQ590" s="72"/>
      <c r="AR590" s="2466">
        <f t="shared" si="0"/>
        <v>0</v>
      </c>
      <c r="AS590" s="2467"/>
      <c r="AT590" s="2439">
        <f t="shared" si="1"/>
        <v>0</v>
      </c>
      <c r="AU590" s="2440"/>
      <c r="AV590" s="2466">
        <f t="shared" si="2"/>
        <v>0</v>
      </c>
      <c r="AW590" s="2467"/>
      <c r="AX590" s="2439">
        <f t="shared" si="3"/>
        <v>0</v>
      </c>
      <c r="AY590" s="2440"/>
      <c r="AZ590" s="72"/>
      <c r="BA590" s="2462">
        <f t="shared" si="4"/>
        <v>10</v>
      </c>
      <c r="BB590" s="2462"/>
      <c r="BC590" s="2462"/>
      <c r="BD590" s="2462"/>
      <c r="BE590" s="2462"/>
      <c r="BF590" s="2462">
        <f t="shared" si="5"/>
        <v>0</v>
      </c>
      <c r="BG590" s="2462"/>
      <c r="BH590" s="2462"/>
      <c r="BI590" s="2462"/>
      <c r="BJ590" s="2462"/>
      <c r="BK590" s="2462">
        <f t="shared" si="6"/>
        <v>0</v>
      </c>
      <c r="BL590" s="2462"/>
      <c r="BM590" s="2462"/>
      <c r="BN590" s="2462"/>
      <c r="BO590" s="2462"/>
      <c r="BP590" s="2462">
        <f t="shared" si="7"/>
        <v>0</v>
      </c>
      <c r="BQ590" s="2462"/>
      <c r="BR590" s="2462"/>
      <c r="BS590" s="2462"/>
      <c r="BT590" s="2462"/>
      <c r="BU590" s="2462">
        <f t="shared" si="8"/>
        <v>0</v>
      </c>
      <c r="BV590" s="2462"/>
      <c r="BW590" s="2462"/>
      <c r="BX590" s="2462"/>
      <c r="BY590" s="2462"/>
      <c r="BZ590" s="2462">
        <f t="shared" si="9"/>
        <v>0</v>
      </c>
      <c r="CA590" s="2462"/>
      <c r="CB590" s="2462"/>
      <c r="CC590" s="2462"/>
      <c r="CD590" s="2462"/>
      <c r="CE590" s="2424">
        <f t="shared" si="10"/>
        <v>0</v>
      </c>
      <c r="CF590" s="2424"/>
      <c r="CG590" s="2424"/>
      <c r="CH590" s="2424"/>
      <c r="CI590" s="2424"/>
      <c r="CJ590" s="2424">
        <f t="shared" si="11"/>
        <v>0</v>
      </c>
      <c r="CK590" s="2424"/>
      <c r="CL590" s="2424"/>
      <c r="CM590" s="2424"/>
      <c r="CN590" s="2424"/>
      <c r="CO590" s="2424">
        <f t="shared" si="12"/>
        <v>0</v>
      </c>
      <c r="CP590" s="2424"/>
      <c r="CQ590" s="2424"/>
      <c r="CR590" s="2424"/>
      <c r="CS590" s="2424"/>
      <c r="CT590" s="2424">
        <f t="shared" si="13"/>
        <v>0</v>
      </c>
      <c r="CU590" s="2424"/>
      <c r="CV590" s="2424"/>
      <c r="CW590" s="2424"/>
      <c r="CX590" s="2424"/>
      <c r="CY590" s="2424">
        <f t="shared" si="14"/>
        <v>0</v>
      </c>
      <c r="CZ590" s="2424"/>
      <c r="DA590" s="2424"/>
      <c r="DB590" s="2424"/>
      <c r="DC590" s="2424"/>
      <c r="DD590" s="2424">
        <f t="shared" si="15"/>
        <v>0</v>
      </c>
      <c r="DE590" s="2424"/>
      <c r="DF590" s="2424"/>
      <c r="DG590" s="2424"/>
      <c r="DH590" s="2424"/>
    </row>
    <row r="591" spans="1:112" ht="12.75">
      <c r="A591" s="101" t="s">
        <v>613</v>
      </c>
      <c r="B591" s="16" t="s">
        <v>92</v>
      </c>
      <c r="G591" s="2514">
        <f>C553</f>
        <v>0</v>
      </c>
      <c r="H591" s="2514"/>
      <c r="I591" s="2514"/>
      <c r="J591" s="2514"/>
      <c r="K591" s="2514"/>
      <c r="L591" s="2514"/>
      <c r="M591" s="2514"/>
      <c r="N591" s="2514"/>
      <c r="O591" s="2514"/>
      <c r="P591" s="2514"/>
      <c r="Q591" s="2514"/>
      <c r="R591" s="2514"/>
      <c r="T591" s="101" t="s">
        <v>191</v>
      </c>
      <c r="U591" s="16" t="s">
        <v>92</v>
      </c>
      <c r="Z591" s="2514">
        <f>C554</f>
        <v>0</v>
      </c>
      <c r="AA591" s="2514"/>
      <c r="AB591" s="2514"/>
      <c r="AC591" s="2514"/>
      <c r="AD591" s="2514"/>
      <c r="AE591" s="2514"/>
      <c r="AF591" s="2514"/>
      <c r="AG591" s="2514"/>
      <c r="AH591" s="2514"/>
      <c r="AI591" s="2514"/>
      <c r="AJ591" s="2514"/>
      <c r="AK591" s="2514"/>
      <c r="AM591" s="8" t="s">
        <v>387</v>
      </c>
      <c r="AN591" s="72"/>
      <c r="AO591" s="72"/>
      <c r="AP591" s="72"/>
      <c r="AQ591" s="72"/>
      <c r="AR591" s="2466">
        <f t="shared" si="0"/>
        <v>0</v>
      </c>
      <c r="AS591" s="2467"/>
      <c r="AT591" s="2439">
        <f t="shared" si="1"/>
        <v>0</v>
      </c>
      <c r="AU591" s="2440"/>
      <c r="AV591" s="2466">
        <f t="shared" si="2"/>
        <v>0</v>
      </c>
      <c r="AW591" s="2467"/>
      <c r="AX591" s="2439">
        <f t="shared" si="3"/>
        <v>0</v>
      </c>
      <c r="AY591" s="2440"/>
      <c r="AZ591" s="72"/>
      <c r="BA591" s="2462">
        <f t="shared" si="4"/>
        <v>9</v>
      </c>
      <c r="BB591" s="2462"/>
      <c r="BC591" s="2462"/>
      <c r="BD591" s="2462"/>
      <c r="BE591" s="2462"/>
      <c r="BF591" s="2462">
        <f t="shared" si="5"/>
        <v>0</v>
      </c>
      <c r="BG591" s="2462"/>
      <c r="BH591" s="2462"/>
      <c r="BI591" s="2462"/>
      <c r="BJ591" s="2462"/>
      <c r="BK591" s="2462">
        <f t="shared" si="6"/>
        <v>0</v>
      </c>
      <c r="BL591" s="2462"/>
      <c r="BM591" s="2462"/>
      <c r="BN591" s="2462"/>
      <c r="BO591" s="2462"/>
      <c r="BP591" s="2462">
        <f t="shared" si="7"/>
        <v>0</v>
      </c>
      <c r="BQ591" s="2462"/>
      <c r="BR591" s="2462"/>
      <c r="BS591" s="2462"/>
      <c r="BT591" s="2462"/>
      <c r="BU591" s="2462">
        <f t="shared" si="8"/>
        <v>0</v>
      </c>
      <c r="BV591" s="2462"/>
      <c r="BW591" s="2462"/>
      <c r="BX591" s="2462"/>
      <c r="BY591" s="2462"/>
      <c r="BZ591" s="2462">
        <f t="shared" si="9"/>
        <v>0</v>
      </c>
      <c r="CA591" s="2462"/>
      <c r="CB591" s="2462"/>
      <c r="CC591" s="2462"/>
      <c r="CD591" s="2462"/>
      <c r="CE591" s="2424">
        <f t="shared" si="10"/>
        <v>0</v>
      </c>
      <c r="CF591" s="2424"/>
      <c r="CG591" s="2424"/>
      <c r="CH591" s="2424"/>
      <c r="CI591" s="2424"/>
      <c r="CJ591" s="2424">
        <f t="shared" si="11"/>
        <v>0</v>
      </c>
      <c r="CK591" s="2424"/>
      <c r="CL591" s="2424"/>
      <c r="CM591" s="2424"/>
      <c r="CN591" s="2424"/>
      <c r="CO591" s="2424">
        <f t="shared" si="12"/>
        <v>0</v>
      </c>
      <c r="CP591" s="2424"/>
      <c r="CQ591" s="2424"/>
      <c r="CR591" s="2424"/>
      <c r="CS591" s="2424"/>
      <c r="CT591" s="2424">
        <f t="shared" si="13"/>
        <v>0</v>
      </c>
      <c r="CU591" s="2424"/>
      <c r="CV591" s="2424"/>
      <c r="CW591" s="2424"/>
      <c r="CX591" s="2424"/>
      <c r="CY591" s="2424">
        <f t="shared" si="14"/>
        <v>0</v>
      </c>
      <c r="CZ591" s="2424"/>
      <c r="DA591" s="2424"/>
      <c r="DB591" s="2424"/>
      <c r="DC591" s="2424"/>
      <c r="DD591" s="2424">
        <f t="shared" si="15"/>
        <v>0</v>
      </c>
      <c r="DE591" s="2424"/>
      <c r="DF591" s="2424"/>
      <c r="DG591" s="2424"/>
      <c r="DH591" s="2424"/>
    </row>
    <row r="592" spans="1:112" ht="12.75">
      <c r="A592" s="46"/>
      <c r="B592" s="16" t="s">
        <v>421</v>
      </c>
      <c r="G592" s="2312"/>
      <c r="H592" s="2312"/>
      <c r="I592" s="2312"/>
      <c r="J592" s="2312"/>
      <c r="K592" s="2312"/>
      <c r="L592" s="2312"/>
      <c r="M592" s="2312"/>
      <c r="N592" s="2312"/>
      <c r="O592" s="2312"/>
      <c r="P592" s="2312"/>
      <c r="Q592" s="2312"/>
      <c r="R592" s="2312"/>
      <c r="T592" s="46"/>
      <c r="U592" s="16" t="s">
        <v>421</v>
      </c>
      <c r="Z592" s="2312"/>
      <c r="AA592" s="2312"/>
      <c r="AB592" s="2312"/>
      <c r="AC592" s="2312"/>
      <c r="AD592" s="2312"/>
      <c r="AE592" s="2312"/>
      <c r="AF592" s="2312"/>
      <c r="AG592" s="2312"/>
      <c r="AH592" s="2312"/>
      <c r="AI592" s="2312"/>
      <c r="AJ592" s="2312"/>
      <c r="AK592" s="2312"/>
      <c r="AM592" s="72"/>
      <c r="AN592" s="72"/>
      <c r="AO592" s="72"/>
      <c r="AP592" s="72"/>
      <c r="AQ592" s="72"/>
      <c r="AR592" s="2466">
        <f t="shared" si="0"/>
        <v>0</v>
      </c>
      <c r="AS592" s="2467"/>
      <c r="AT592" s="2439">
        <f t="shared" si="1"/>
        <v>0</v>
      </c>
      <c r="AU592" s="2440"/>
      <c r="AV592" s="2466">
        <f t="shared" si="2"/>
        <v>0</v>
      </c>
      <c r="AW592" s="2467"/>
      <c r="AX592" s="2439">
        <f t="shared" si="3"/>
        <v>0</v>
      </c>
      <c r="AY592" s="2440"/>
      <c r="AZ592" s="72"/>
      <c r="BA592" s="2462">
        <f t="shared" si="4"/>
        <v>8</v>
      </c>
      <c r="BB592" s="2462"/>
      <c r="BC592" s="2462"/>
      <c r="BD592" s="2462"/>
      <c r="BE592" s="2462"/>
      <c r="BF592" s="2462">
        <f t="shared" si="5"/>
        <v>0</v>
      </c>
      <c r="BG592" s="2462"/>
      <c r="BH592" s="2462"/>
      <c r="BI592" s="2462"/>
      <c r="BJ592" s="2462"/>
      <c r="BK592" s="2462">
        <f t="shared" si="6"/>
        <v>0</v>
      </c>
      <c r="BL592" s="2462"/>
      <c r="BM592" s="2462"/>
      <c r="BN592" s="2462"/>
      <c r="BO592" s="2462"/>
      <c r="BP592" s="2462">
        <f t="shared" si="7"/>
        <v>0</v>
      </c>
      <c r="BQ592" s="2462"/>
      <c r="BR592" s="2462"/>
      <c r="BS592" s="2462"/>
      <c r="BT592" s="2462"/>
      <c r="BU592" s="2462">
        <f t="shared" si="8"/>
        <v>0</v>
      </c>
      <c r="BV592" s="2462"/>
      <c r="BW592" s="2462"/>
      <c r="BX592" s="2462"/>
      <c r="BY592" s="2462"/>
      <c r="BZ592" s="2462">
        <f t="shared" si="9"/>
        <v>0</v>
      </c>
      <c r="CA592" s="2462"/>
      <c r="CB592" s="2462"/>
      <c r="CC592" s="2462"/>
      <c r="CD592" s="2462"/>
      <c r="CE592" s="2424">
        <f t="shared" si="10"/>
        <v>0</v>
      </c>
      <c r="CF592" s="2424"/>
      <c r="CG592" s="2424"/>
      <c r="CH592" s="2424"/>
      <c r="CI592" s="2424"/>
      <c r="CJ592" s="2424">
        <f t="shared" si="11"/>
        <v>0</v>
      </c>
      <c r="CK592" s="2424"/>
      <c r="CL592" s="2424"/>
      <c r="CM592" s="2424"/>
      <c r="CN592" s="2424"/>
      <c r="CO592" s="2424">
        <f t="shared" si="12"/>
        <v>0</v>
      </c>
      <c r="CP592" s="2424"/>
      <c r="CQ592" s="2424"/>
      <c r="CR592" s="2424"/>
      <c r="CS592" s="2424"/>
      <c r="CT592" s="2424">
        <f t="shared" si="13"/>
        <v>0</v>
      </c>
      <c r="CU592" s="2424"/>
      <c r="CV592" s="2424"/>
      <c r="CW592" s="2424"/>
      <c r="CX592" s="2424"/>
      <c r="CY592" s="2424">
        <f t="shared" si="14"/>
        <v>0</v>
      </c>
      <c r="CZ592" s="2424"/>
      <c r="DA592" s="2424"/>
      <c r="DB592" s="2424"/>
      <c r="DC592" s="2424"/>
      <c r="DD592" s="2424">
        <f t="shared" si="15"/>
        <v>0</v>
      </c>
      <c r="DE592" s="2424"/>
      <c r="DF592" s="2424"/>
      <c r="DG592" s="2424"/>
      <c r="DH592" s="2424"/>
    </row>
    <row r="593" spans="1:112" ht="12.75">
      <c r="A593" s="46"/>
      <c r="B593" s="16" t="s">
        <v>484</v>
      </c>
      <c r="G593" s="2312"/>
      <c r="H593" s="2312"/>
      <c r="I593" s="2312"/>
      <c r="J593" s="2312"/>
      <c r="K593" s="2312"/>
      <c r="L593" s="2312"/>
      <c r="M593" s="2312"/>
      <c r="N593" s="2312"/>
      <c r="O593" s="2312"/>
      <c r="P593" s="2312"/>
      <c r="Q593" s="2312"/>
      <c r="R593" s="2312"/>
      <c r="T593" s="46"/>
      <c r="U593" s="16" t="s">
        <v>484</v>
      </c>
      <c r="Z593" s="2436"/>
      <c r="AA593" s="2436"/>
      <c r="AB593" s="2436"/>
      <c r="AC593" s="2436"/>
      <c r="AD593" s="2436"/>
      <c r="AE593" s="2436"/>
      <c r="AF593" s="2436"/>
      <c r="AG593" s="2436"/>
      <c r="AH593" s="2436"/>
      <c r="AI593" s="2436"/>
      <c r="AJ593" s="2436"/>
      <c r="AK593" s="2436"/>
      <c r="AM593" s="72"/>
      <c r="AN593" s="72"/>
      <c r="AO593" s="72"/>
      <c r="AP593" s="72"/>
      <c r="AQ593" s="72"/>
      <c r="AR593" s="2466">
        <f t="shared" si="0"/>
        <v>0</v>
      </c>
      <c r="AS593" s="2467"/>
      <c r="AT593" s="2439">
        <f t="shared" si="1"/>
        <v>0</v>
      </c>
      <c r="AU593" s="2440"/>
      <c r="AV593" s="2466">
        <f t="shared" si="2"/>
        <v>0</v>
      </c>
      <c r="AW593" s="2467"/>
      <c r="AX593" s="2439">
        <f t="shared" si="3"/>
        <v>0</v>
      </c>
      <c r="AY593" s="2440"/>
      <c r="AZ593" s="72"/>
      <c r="BA593" s="2462">
        <f t="shared" si="4"/>
        <v>0</v>
      </c>
      <c r="BB593" s="2462"/>
      <c r="BC593" s="2462"/>
      <c r="BD593" s="2462"/>
      <c r="BE593" s="2462"/>
      <c r="BF593" s="2462">
        <f t="shared" si="5"/>
        <v>0</v>
      </c>
      <c r="BG593" s="2462"/>
      <c r="BH593" s="2462"/>
      <c r="BI593" s="2462"/>
      <c r="BJ593" s="2462"/>
      <c r="BK593" s="2462">
        <f t="shared" si="6"/>
        <v>0</v>
      </c>
      <c r="BL593" s="2462"/>
      <c r="BM593" s="2462"/>
      <c r="BN593" s="2462"/>
      <c r="BO593" s="2462"/>
      <c r="BP593" s="2462">
        <f t="shared" si="7"/>
        <v>0</v>
      </c>
      <c r="BQ593" s="2462"/>
      <c r="BR593" s="2462"/>
      <c r="BS593" s="2462"/>
      <c r="BT593" s="2462"/>
      <c r="BU593" s="2462">
        <f t="shared" si="8"/>
        <v>0</v>
      </c>
      <c r="BV593" s="2462"/>
      <c r="BW593" s="2462"/>
      <c r="BX593" s="2462"/>
      <c r="BY593" s="2462"/>
      <c r="BZ593" s="2462">
        <f t="shared" si="9"/>
        <v>0</v>
      </c>
      <c r="CA593" s="2462"/>
      <c r="CB593" s="2462"/>
      <c r="CC593" s="2462"/>
      <c r="CD593" s="2462"/>
      <c r="CE593" s="2424">
        <f t="shared" si="10"/>
        <v>0</v>
      </c>
      <c r="CF593" s="2424"/>
      <c r="CG593" s="2424"/>
      <c r="CH593" s="2424"/>
      <c r="CI593" s="2424"/>
      <c r="CJ593" s="2424">
        <f t="shared" si="11"/>
        <v>0</v>
      </c>
      <c r="CK593" s="2424"/>
      <c r="CL593" s="2424"/>
      <c r="CM593" s="2424"/>
      <c r="CN593" s="2424"/>
      <c r="CO593" s="2424">
        <f t="shared" si="12"/>
        <v>0</v>
      </c>
      <c r="CP593" s="2424"/>
      <c r="CQ593" s="2424"/>
      <c r="CR593" s="2424"/>
      <c r="CS593" s="2424"/>
      <c r="CT593" s="2424">
        <f t="shared" si="13"/>
        <v>0</v>
      </c>
      <c r="CU593" s="2424"/>
      <c r="CV593" s="2424"/>
      <c r="CW593" s="2424"/>
      <c r="CX593" s="2424"/>
      <c r="CY593" s="2424">
        <f t="shared" si="14"/>
        <v>0</v>
      </c>
      <c r="CZ593" s="2424"/>
      <c r="DA593" s="2424"/>
      <c r="DB593" s="2424"/>
      <c r="DC593" s="2424"/>
      <c r="DD593" s="2424">
        <f t="shared" si="15"/>
        <v>0</v>
      </c>
      <c r="DE593" s="2424"/>
      <c r="DF593" s="2424"/>
      <c r="DG593" s="2424"/>
      <c r="DH593" s="2424"/>
    </row>
    <row r="594" spans="1:112" ht="12.75">
      <c r="A594" s="46"/>
      <c r="B594" s="16" t="s">
        <v>924</v>
      </c>
      <c r="G594" s="2312"/>
      <c r="H594" s="2312"/>
      <c r="I594" s="2312"/>
      <c r="J594" s="2312"/>
      <c r="K594" s="2312"/>
      <c r="L594" s="2312"/>
      <c r="M594" s="2312"/>
      <c r="N594" s="2312"/>
      <c r="O594" s="2312"/>
      <c r="P594" s="2312"/>
      <c r="Q594" s="2312"/>
      <c r="R594" s="2312"/>
      <c r="T594" s="46"/>
      <c r="U594" s="16" t="s">
        <v>924</v>
      </c>
      <c r="Z594" s="2436"/>
      <c r="AA594" s="2436"/>
      <c r="AB594" s="2436"/>
      <c r="AC594" s="2436"/>
      <c r="AD594" s="2436"/>
      <c r="AE594" s="2436"/>
      <c r="AF594" s="2436"/>
      <c r="AG594" s="2436"/>
      <c r="AH594" s="2436"/>
      <c r="AI594" s="2436"/>
      <c r="AJ594" s="2436"/>
      <c r="AK594" s="2436"/>
      <c r="AM594" s="72"/>
      <c r="AN594" s="72"/>
      <c r="AO594" s="72"/>
      <c r="AP594" s="72"/>
      <c r="AQ594" s="72"/>
      <c r="AR594" s="2466">
        <f t="shared" si="0"/>
        <v>0</v>
      </c>
      <c r="AS594" s="2467"/>
      <c r="AT594" s="2439">
        <f t="shared" si="1"/>
        <v>0</v>
      </c>
      <c r="AU594" s="2440"/>
      <c r="AV594" s="2466">
        <f t="shared" si="2"/>
        <v>0</v>
      </c>
      <c r="AW594" s="2467"/>
      <c r="AX594" s="2439">
        <f t="shared" si="3"/>
        <v>0</v>
      </c>
      <c r="AY594" s="2440"/>
      <c r="AZ594" s="72"/>
      <c r="BA594" s="2462">
        <f t="shared" si="4"/>
        <v>0</v>
      </c>
      <c r="BB594" s="2462"/>
      <c r="BC594" s="2462"/>
      <c r="BD594" s="2462"/>
      <c r="BE594" s="2462"/>
      <c r="BF594" s="2462">
        <f t="shared" si="5"/>
        <v>0</v>
      </c>
      <c r="BG594" s="2462"/>
      <c r="BH594" s="2462"/>
      <c r="BI594" s="2462"/>
      <c r="BJ594" s="2462"/>
      <c r="BK594" s="2462">
        <f t="shared" si="6"/>
        <v>0</v>
      </c>
      <c r="BL594" s="2462"/>
      <c r="BM594" s="2462"/>
      <c r="BN594" s="2462"/>
      <c r="BO594" s="2462"/>
      <c r="BP594" s="2462">
        <f t="shared" si="7"/>
        <v>0</v>
      </c>
      <c r="BQ594" s="2462"/>
      <c r="BR594" s="2462"/>
      <c r="BS594" s="2462"/>
      <c r="BT594" s="2462"/>
      <c r="BU594" s="2462">
        <f t="shared" si="8"/>
        <v>0</v>
      </c>
      <c r="BV594" s="2462"/>
      <c r="BW594" s="2462"/>
      <c r="BX594" s="2462"/>
      <c r="BY594" s="2462"/>
      <c r="BZ594" s="2462">
        <f t="shared" si="9"/>
        <v>0</v>
      </c>
      <c r="CA594" s="2462"/>
      <c r="CB594" s="2462"/>
      <c r="CC594" s="2462"/>
      <c r="CD594" s="2462"/>
      <c r="CE594" s="2424">
        <f t="shared" si="10"/>
        <v>0</v>
      </c>
      <c r="CF594" s="2424"/>
      <c r="CG594" s="2424"/>
      <c r="CH594" s="2424"/>
      <c r="CI594" s="2424"/>
      <c r="CJ594" s="2424">
        <f t="shared" si="11"/>
        <v>0</v>
      </c>
      <c r="CK594" s="2424"/>
      <c r="CL594" s="2424"/>
      <c r="CM594" s="2424"/>
      <c r="CN594" s="2424"/>
      <c r="CO594" s="2424">
        <f t="shared" si="12"/>
        <v>0</v>
      </c>
      <c r="CP594" s="2424"/>
      <c r="CQ594" s="2424"/>
      <c r="CR594" s="2424"/>
      <c r="CS594" s="2424"/>
      <c r="CT594" s="2424">
        <f t="shared" si="13"/>
        <v>0</v>
      </c>
      <c r="CU594" s="2424"/>
      <c r="CV594" s="2424"/>
      <c r="CW594" s="2424"/>
      <c r="CX594" s="2424"/>
      <c r="CY594" s="2424">
        <f t="shared" si="14"/>
        <v>0</v>
      </c>
      <c r="CZ594" s="2424"/>
      <c r="DA594" s="2424"/>
      <c r="DB594" s="2424"/>
      <c r="DC594" s="2424"/>
      <c r="DD594" s="2424">
        <f t="shared" si="15"/>
        <v>0</v>
      </c>
      <c r="DE594" s="2424"/>
      <c r="DF594" s="2424"/>
      <c r="DG594" s="2424"/>
      <c r="DH594" s="2424"/>
    </row>
    <row r="595" spans="1:112" s="8" customFormat="1" ht="12.75">
      <c r="A595" s="46"/>
      <c r="B595" s="16" t="s">
        <v>723</v>
      </c>
      <c r="C595" s="16"/>
      <c r="D595" s="16"/>
      <c r="E595" s="16"/>
      <c r="F595" s="16"/>
      <c r="G595" s="2306"/>
      <c r="H595" s="2306"/>
      <c r="I595" s="2306"/>
      <c r="J595" s="2306"/>
      <c r="K595" s="2306"/>
      <c r="L595" s="2306"/>
      <c r="M595" s="16"/>
      <c r="N595" s="16"/>
      <c r="O595" s="161" t="s">
        <v>907</v>
      </c>
      <c r="P595" s="2313"/>
      <c r="Q595" s="2313"/>
      <c r="R595" s="2313"/>
      <c r="S595" s="16"/>
      <c r="T595" s="46"/>
      <c r="U595" s="16" t="s">
        <v>723</v>
      </c>
      <c r="V595" s="16"/>
      <c r="W595" s="16"/>
      <c r="X595" s="16"/>
      <c r="Y595" s="16"/>
      <c r="Z595" s="2306"/>
      <c r="AA595" s="2306"/>
      <c r="AB595" s="2306"/>
      <c r="AC595" s="2306"/>
      <c r="AD595" s="2306"/>
      <c r="AE595" s="2306"/>
      <c r="AF595" s="16"/>
      <c r="AG595" s="16"/>
      <c r="AH595" s="161" t="s">
        <v>907</v>
      </c>
      <c r="AI595" s="2313"/>
      <c r="AJ595" s="2313"/>
      <c r="AK595" s="2313"/>
      <c r="AL595" s="16"/>
      <c r="AM595" s="72"/>
      <c r="AN595" s="72"/>
      <c r="AO595" s="72"/>
      <c r="AP595" s="72"/>
      <c r="AQ595" s="72"/>
      <c r="AR595" s="2466">
        <f t="shared" si="0"/>
        <v>0</v>
      </c>
      <c r="AS595" s="2467"/>
      <c r="AT595" s="2439">
        <f t="shared" si="1"/>
        <v>0</v>
      </c>
      <c r="AU595" s="2440"/>
      <c r="AV595" s="2466">
        <f t="shared" si="2"/>
        <v>0</v>
      </c>
      <c r="AW595" s="2467"/>
      <c r="AX595" s="2439">
        <f t="shared" si="3"/>
        <v>0</v>
      </c>
      <c r="AY595" s="2440"/>
      <c r="AZ595" s="72"/>
      <c r="BA595" s="2462">
        <f t="shared" si="4"/>
        <v>0</v>
      </c>
      <c r="BB595" s="2462"/>
      <c r="BC595" s="2462"/>
      <c r="BD595" s="2462"/>
      <c r="BE595" s="2462"/>
      <c r="BF595" s="2462">
        <f t="shared" si="5"/>
        <v>0</v>
      </c>
      <c r="BG595" s="2462"/>
      <c r="BH595" s="2462"/>
      <c r="BI595" s="2462"/>
      <c r="BJ595" s="2462"/>
      <c r="BK595" s="2462">
        <f t="shared" si="6"/>
        <v>0</v>
      </c>
      <c r="BL595" s="2462"/>
      <c r="BM595" s="2462"/>
      <c r="BN595" s="2462"/>
      <c r="BO595" s="2462"/>
      <c r="BP595" s="2462">
        <f t="shared" si="7"/>
        <v>0</v>
      </c>
      <c r="BQ595" s="2462"/>
      <c r="BR595" s="2462"/>
      <c r="BS595" s="2462"/>
      <c r="BT595" s="2462"/>
      <c r="BU595" s="2462">
        <f t="shared" si="8"/>
        <v>0</v>
      </c>
      <c r="BV595" s="2462"/>
      <c r="BW595" s="2462"/>
      <c r="BX595" s="2462"/>
      <c r="BY595" s="2462"/>
      <c r="BZ595" s="2462">
        <f t="shared" si="9"/>
        <v>0</v>
      </c>
      <c r="CA595" s="2462"/>
      <c r="CB595" s="2462"/>
      <c r="CC595" s="2462"/>
      <c r="CD595" s="2462"/>
      <c r="CE595" s="2424">
        <f t="shared" si="10"/>
        <v>0</v>
      </c>
      <c r="CF595" s="2424"/>
      <c r="CG595" s="2424"/>
      <c r="CH595" s="2424"/>
      <c r="CI595" s="2424"/>
      <c r="CJ595" s="2424">
        <f t="shared" si="11"/>
        <v>0</v>
      </c>
      <c r="CK595" s="2424"/>
      <c r="CL595" s="2424"/>
      <c r="CM595" s="2424"/>
      <c r="CN595" s="2424"/>
      <c r="CO595" s="2424">
        <f t="shared" si="12"/>
        <v>0</v>
      </c>
      <c r="CP595" s="2424"/>
      <c r="CQ595" s="2424"/>
      <c r="CR595" s="2424"/>
      <c r="CS595" s="2424"/>
      <c r="CT595" s="2424">
        <f t="shared" si="13"/>
        <v>0</v>
      </c>
      <c r="CU595" s="2424"/>
      <c r="CV595" s="2424"/>
      <c r="CW595" s="2424"/>
      <c r="CX595" s="2424"/>
      <c r="CY595" s="2424">
        <f t="shared" si="14"/>
        <v>0</v>
      </c>
      <c r="CZ595" s="2424"/>
      <c r="DA595" s="2424"/>
      <c r="DB595" s="2424"/>
      <c r="DC595" s="2424"/>
      <c r="DD595" s="2424">
        <f t="shared" si="15"/>
        <v>0</v>
      </c>
      <c r="DE595" s="2424"/>
      <c r="DF595" s="2424"/>
      <c r="DG595" s="2424"/>
      <c r="DH595" s="2424"/>
    </row>
    <row r="596" spans="1:112" s="8" customFormat="1" ht="12.75">
      <c r="A596" s="46"/>
      <c r="B596" s="16" t="s">
        <v>925</v>
      </c>
      <c r="C596" s="16"/>
      <c r="D596" s="16"/>
      <c r="E596" s="16"/>
      <c r="F596" s="16"/>
      <c r="G596" s="16"/>
      <c r="H596" s="2312"/>
      <c r="I596" s="2312"/>
      <c r="J596" s="2312"/>
      <c r="K596" s="2312"/>
      <c r="L596" s="2312"/>
      <c r="M596" s="2312"/>
      <c r="N596" s="2312"/>
      <c r="O596" s="2312"/>
      <c r="P596" s="2312"/>
      <c r="Q596" s="2312"/>
      <c r="R596" s="2312"/>
      <c r="S596" s="16"/>
      <c r="T596" s="46"/>
      <c r="U596" s="16" t="s">
        <v>925</v>
      </c>
      <c r="V596" s="16"/>
      <c r="W596" s="16"/>
      <c r="X596" s="16"/>
      <c r="Y596" s="16"/>
      <c r="Z596" s="16"/>
      <c r="AA596" s="2312"/>
      <c r="AB596" s="2312"/>
      <c r="AC596" s="2312"/>
      <c r="AD596" s="2312"/>
      <c r="AE596" s="2312"/>
      <c r="AF596" s="2312"/>
      <c r="AG596" s="2312"/>
      <c r="AH596" s="2312"/>
      <c r="AI596" s="2312"/>
      <c r="AJ596" s="2312"/>
      <c r="AK596" s="2312"/>
      <c r="AL596" s="16"/>
      <c r="AM596" s="72"/>
      <c r="AN596" s="72"/>
      <c r="AO596" s="72"/>
      <c r="AP596" s="72"/>
      <c r="AQ596" s="72"/>
      <c r="AR596" s="2466">
        <f t="shared" si="0"/>
        <v>0</v>
      </c>
      <c r="AS596" s="2467"/>
      <c r="AT596" s="2439">
        <f t="shared" si="1"/>
        <v>0</v>
      </c>
      <c r="AU596" s="2440"/>
      <c r="AV596" s="2466">
        <f t="shared" si="2"/>
        <v>0</v>
      </c>
      <c r="AW596" s="2467"/>
      <c r="AX596" s="2439">
        <f t="shared" si="3"/>
        <v>0</v>
      </c>
      <c r="AY596" s="2440"/>
      <c r="AZ596" s="72"/>
      <c r="BA596" s="2462">
        <f t="shared" si="4"/>
        <v>0</v>
      </c>
      <c r="BB596" s="2462"/>
      <c r="BC596" s="2462"/>
      <c r="BD596" s="2462"/>
      <c r="BE596" s="2462"/>
      <c r="BF596" s="2462">
        <f t="shared" si="5"/>
        <v>0</v>
      </c>
      <c r="BG596" s="2462"/>
      <c r="BH596" s="2462"/>
      <c r="BI596" s="2462"/>
      <c r="BJ596" s="2462"/>
      <c r="BK596" s="2462">
        <f t="shared" si="6"/>
        <v>0</v>
      </c>
      <c r="BL596" s="2462"/>
      <c r="BM596" s="2462"/>
      <c r="BN596" s="2462"/>
      <c r="BO596" s="2462"/>
      <c r="BP596" s="2462">
        <f t="shared" si="7"/>
        <v>0</v>
      </c>
      <c r="BQ596" s="2462"/>
      <c r="BR596" s="2462"/>
      <c r="BS596" s="2462"/>
      <c r="BT596" s="2462"/>
      <c r="BU596" s="2462">
        <f t="shared" si="8"/>
        <v>0</v>
      </c>
      <c r="BV596" s="2462"/>
      <c r="BW596" s="2462"/>
      <c r="BX596" s="2462"/>
      <c r="BY596" s="2462"/>
      <c r="BZ596" s="2462">
        <f t="shared" si="9"/>
        <v>0</v>
      </c>
      <c r="CA596" s="2462"/>
      <c r="CB596" s="2462"/>
      <c r="CC596" s="2462"/>
      <c r="CD596" s="2462"/>
      <c r="CE596" s="2424">
        <f t="shared" si="10"/>
        <v>0</v>
      </c>
      <c r="CF596" s="2424"/>
      <c r="CG596" s="2424"/>
      <c r="CH596" s="2424"/>
      <c r="CI596" s="2424"/>
      <c r="CJ596" s="2424">
        <f t="shared" si="11"/>
        <v>0</v>
      </c>
      <c r="CK596" s="2424"/>
      <c r="CL596" s="2424"/>
      <c r="CM596" s="2424"/>
      <c r="CN596" s="2424"/>
      <c r="CO596" s="2424">
        <f t="shared" si="12"/>
        <v>0</v>
      </c>
      <c r="CP596" s="2424"/>
      <c r="CQ596" s="2424"/>
      <c r="CR596" s="2424"/>
      <c r="CS596" s="2424"/>
      <c r="CT596" s="2424">
        <f t="shared" si="13"/>
        <v>0</v>
      </c>
      <c r="CU596" s="2424"/>
      <c r="CV596" s="2424"/>
      <c r="CW596" s="2424"/>
      <c r="CX596" s="2424"/>
      <c r="CY596" s="2424">
        <f t="shared" si="14"/>
        <v>0</v>
      </c>
      <c r="CZ596" s="2424"/>
      <c r="DA596" s="2424"/>
      <c r="DB596" s="2424"/>
      <c r="DC596" s="2424"/>
      <c r="DD596" s="2424">
        <f t="shared" si="15"/>
        <v>0</v>
      </c>
      <c r="DE596" s="2424"/>
      <c r="DF596" s="2424"/>
      <c r="DG596" s="2424"/>
      <c r="DH596" s="2424"/>
    </row>
    <row r="597" spans="1:112" s="8" customFormat="1" ht="12.75">
      <c r="A597" s="46"/>
      <c r="B597" s="16" t="s">
        <v>927</v>
      </c>
      <c r="C597" s="16"/>
      <c r="D597" s="16"/>
      <c r="E597" s="16"/>
      <c r="F597" s="16"/>
      <c r="G597" s="16"/>
      <c r="H597" s="16"/>
      <c r="I597" s="16"/>
      <c r="J597" s="16"/>
      <c r="K597" s="16"/>
      <c r="L597" s="16"/>
      <c r="M597" s="16"/>
      <c r="N597" s="2325" t="s">
        <v>536</v>
      </c>
      <c r="O597" s="2325"/>
      <c r="P597" s="16"/>
      <c r="Q597" s="16"/>
      <c r="R597" s="16"/>
      <c r="S597" s="16"/>
      <c r="T597" s="46"/>
      <c r="U597" s="16" t="s">
        <v>927</v>
      </c>
      <c r="V597" s="16"/>
      <c r="W597" s="16"/>
      <c r="X597" s="16"/>
      <c r="Y597" s="16"/>
      <c r="Z597" s="16"/>
      <c r="AA597" s="16"/>
      <c r="AB597" s="16"/>
      <c r="AC597" s="16"/>
      <c r="AD597" s="16"/>
      <c r="AE597" s="16"/>
      <c r="AF597" s="16"/>
      <c r="AG597" s="2325" t="s">
        <v>536</v>
      </c>
      <c r="AH597" s="2325"/>
      <c r="AI597" s="16"/>
      <c r="AJ597" s="16"/>
      <c r="AK597" s="16"/>
      <c r="AL597" s="16"/>
      <c r="AM597" s="72"/>
      <c r="AN597" s="72"/>
      <c r="AO597" s="72"/>
      <c r="AP597" s="72"/>
      <c r="AQ597" s="72"/>
      <c r="AR597" s="2466">
        <f t="shared" si="0"/>
        <v>0</v>
      </c>
      <c r="AS597" s="2467"/>
      <c r="AT597" s="2439">
        <f t="shared" si="1"/>
        <v>0</v>
      </c>
      <c r="AU597" s="2440"/>
      <c r="AV597" s="2466">
        <f t="shared" si="2"/>
        <v>0</v>
      </c>
      <c r="AW597" s="2467"/>
      <c r="AX597" s="2439">
        <f t="shared" si="3"/>
        <v>0</v>
      </c>
      <c r="AY597" s="2440"/>
      <c r="AZ597" s="72"/>
      <c r="BA597" s="2462">
        <f t="shared" si="4"/>
        <v>0</v>
      </c>
      <c r="BB597" s="2462"/>
      <c r="BC597" s="2462"/>
      <c r="BD597" s="2462"/>
      <c r="BE597" s="2462"/>
      <c r="BF597" s="2462">
        <f t="shared" si="5"/>
        <v>0</v>
      </c>
      <c r="BG597" s="2462"/>
      <c r="BH597" s="2462"/>
      <c r="BI597" s="2462"/>
      <c r="BJ597" s="2462"/>
      <c r="BK597" s="2462">
        <f t="shared" si="6"/>
        <v>0</v>
      </c>
      <c r="BL597" s="2462"/>
      <c r="BM597" s="2462"/>
      <c r="BN597" s="2462"/>
      <c r="BO597" s="2462"/>
      <c r="BP597" s="2462">
        <f t="shared" si="7"/>
        <v>0</v>
      </c>
      <c r="BQ597" s="2462"/>
      <c r="BR597" s="2462"/>
      <c r="BS597" s="2462"/>
      <c r="BT597" s="2462"/>
      <c r="BU597" s="2462">
        <f t="shared" si="8"/>
        <v>0</v>
      </c>
      <c r="BV597" s="2462"/>
      <c r="BW597" s="2462"/>
      <c r="BX597" s="2462"/>
      <c r="BY597" s="2462"/>
      <c r="BZ597" s="2462">
        <f t="shared" si="9"/>
        <v>0</v>
      </c>
      <c r="CA597" s="2462"/>
      <c r="CB597" s="2462"/>
      <c r="CC597" s="2462"/>
      <c r="CD597" s="2462"/>
      <c r="CE597" s="2424">
        <f t="shared" si="10"/>
        <v>0</v>
      </c>
      <c r="CF597" s="2424"/>
      <c r="CG597" s="2424"/>
      <c r="CH597" s="2424"/>
      <c r="CI597" s="2424"/>
      <c r="CJ597" s="2424">
        <f t="shared" si="11"/>
        <v>0</v>
      </c>
      <c r="CK597" s="2424"/>
      <c r="CL597" s="2424"/>
      <c r="CM597" s="2424"/>
      <c r="CN597" s="2424"/>
      <c r="CO597" s="2424">
        <f t="shared" si="12"/>
        <v>0</v>
      </c>
      <c r="CP597" s="2424"/>
      <c r="CQ597" s="2424"/>
      <c r="CR597" s="2424"/>
      <c r="CS597" s="2424"/>
      <c r="CT597" s="2424">
        <f t="shared" si="13"/>
        <v>0</v>
      </c>
      <c r="CU597" s="2424"/>
      <c r="CV597" s="2424"/>
      <c r="CW597" s="2424"/>
      <c r="CX597" s="2424"/>
      <c r="CY597" s="2424">
        <f t="shared" si="14"/>
        <v>0</v>
      </c>
      <c r="CZ597" s="2424"/>
      <c r="DA597" s="2424"/>
      <c r="DB597" s="2424"/>
      <c r="DC597" s="2424"/>
      <c r="DD597" s="2424">
        <f t="shared" si="15"/>
        <v>0</v>
      </c>
      <c r="DE597" s="2424"/>
      <c r="DF597" s="2424"/>
      <c r="DG597" s="2424"/>
      <c r="DH597" s="2424"/>
    </row>
    <row r="598" spans="1:112" ht="12.75">
      <c r="AM598" s="72"/>
      <c r="AN598" s="72"/>
      <c r="AO598" s="72"/>
      <c r="AP598" s="72"/>
      <c r="AQ598" s="72"/>
      <c r="AR598" s="2466">
        <f t="shared" si="0"/>
        <v>0</v>
      </c>
      <c r="AS598" s="2467"/>
      <c r="AT598" s="2439">
        <f t="shared" si="1"/>
        <v>0</v>
      </c>
      <c r="AU598" s="2440"/>
      <c r="AV598" s="2466">
        <f t="shared" si="2"/>
        <v>0</v>
      </c>
      <c r="AW598" s="2467"/>
      <c r="AX598" s="2439">
        <f t="shared" si="3"/>
        <v>0</v>
      </c>
      <c r="AY598" s="2440"/>
      <c r="AZ598" s="72"/>
      <c r="BA598" s="2462">
        <f t="shared" si="4"/>
        <v>0</v>
      </c>
      <c r="BB598" s="2462"/>
      <c r="BC598" s="2462"/>
      <c r="BD598" s="2462"/>
      <c r="BE598" s="2462"/>
      <c r="BF598" s="2462">
        <f t="shared" si="5"/>
        <v>0</v>
      </c>
      <c r="BG598" s="2462"/>
      <c r="BH598" s="2462"/>
      <c r="BI598" s="2462"/>
      <c r="BJ598" s="2462"/>
      <c r="BK598" s="2462">
        <f t="shared" si="6"/>
        <v>0</v>
      </c>
      <c r="BL598" s="2462"/>
      <c r="BM598" s="2462"/>
      <c r="BN598" s="2462"/>
      <c r="BO598" s="2462"/>
      <c r="BP598" s="2462">
        <f t="shared" si="7"/>
        <v>0</v>
      </c>
      <c r="BQ598" s="2462"/>
      <c r="BR598" s="2462"/>
      <c r="BS598" s="2462"/>
      <c r="BT598" s="2462"/>
      <c r="BU598" s="2462">
        <f t="shared" si="8"/>
        <v>0</v>
      </c>
      <c r="BV598" s="2462"/>
      <c r="BW598" s="2462"/>
      <c r="BX598" s="2462"/>
      <c r="BY598" s="2462"/>
      <c r="BZ598" s="2462">
        <f t="shared" si="9"/>
        <v>0</v>
      </c>
      <c r="CA598" s="2462"/>
      <c r="CB598" s="2462"/>
      <c r="CC598" s="2462"/>
      <c r="CD598" s="2462"/>
      <c r="CE598" s="2424">
        <f t="shared" si="10"/>
        <v>0</v>
      </c>
      <c r="CF598" s="2424"/>
      <c r="CG598" s="2424"/>
      <c r="CH598" s="2424"/>
      <c r="CI598" s="2424"/>
      <c r="CJ598" s="2424">
        <f t="shared" si="11"/>
        <v>0</v>
      </c>
      <c r="CK598" s="2424"/>
      <c r="CL598" s="2424"/>
      <c r="CM598" s="2424"/>
      <c r="CN598" s="2424"/>
      <c r="CO598" s="2424">
        <f t="shared" si="12"/>
        <v>0</v>
      </c>
      <c r="CP598" s="2424"/>
      <c r="CQ598" s="2424"/>
      <c r="CR598" s="2424"/>
      <c r="CS598" s="2424"/>
      <c r="CT598" s="2424">
        <f t="shared" si="13"/>
        <v>0</v>
      </c>
      <c r="CU598" s="2424"/>
      <c r="CV598" s="2424"/>
      <c r="CW598" s="2424"/>
      <c r="CX598" s="2424"/>
      <c r="CY598" s="2424">
        <f t="shared" si="14"/>
        <v>0</v>
      </c>
      <c r="CZ598" s="2424"/>
      <c r="DA598" s="2424"/>
      <c r="DB598" s="2424"/>
      <c r="DC598" s="2424"/>
      <c r="DD598" s="2424">
        <f t="shared" si="15"/>
        <v>0</v>
      </c>
      <c r="DE598" s="2424"/>
      <c r="DF598" s="2424"/>
      <c r="DG598" s="2424"/>
      <c r="DH598" s="2424"/>
    </row>
    <row r="599" spans="1:112" ht="12.75">
      <c r="A599" s="101" t="s">
        <v>37</v>
      </c>
      <c r="B599" s="16" t="s">
        <v>92</v>
      </c>
      <c r="G599" s="2514">
        <f>C555</f>
        <v>0</v>
      </c>
      <c r="H599" s="2514"/>
      <c r="I599" s="2514"/>
      <c r="J599" s="2514"/>
      <c r="K599" s="2514"/>
      <c r="L599" s="2514"/>
      <c r="M599" s="2514"/>
      <c r="N599" s="2514"/>
      <c r="O599" s="2514"/>
      <c r="P599" s="2514"/>
      <c r="Q599" s="2514"/>
      <c r="R599" s="2514"/>
      <c r="T599" s="101" t="s">
        <v>38</v>
      </c>
      <c r="U599" s="16" t="s">
        <v>92</v>
      </c>
      <c r="Z599" s="2514">
        <f>C556</f>
        <v>0</v>
      </c>
      <c r="AA599" s="2514"/>
      <c r="AB599" s="2514"/>
      <c r="AC599" s="2514"/>
      <c r="AD599" s="2514"/>
      <c r="AE599" s="2514"/>
      <c r="AF599" s="2514"/>
      <c r="AG599" s="2514"/>
      <c r="AH599" s="2514"/>
      <c r="AI599" s="2514"/>
      <c r="AJ599" s="2514"/>
      <c r="AK599" s="2514"/>
      <c r="AM599" s="72"/>
      <c r="AN599" s="72"/>
      <c r="AO599" s="72"/>
      <c r="AP599" s="72"/>
      <c r="AQ599" s="72"/>
      <c r="AR599" s="2466">
        <f t="shared" si="0"/>
        <v>0</v>
      </c>
      <c r="AS599" s="2467"/>
      <c r="AT599" s="2439">
        <f t="shared" si="1"/>
        <v>0</v>
      </c>
      <c r="AU599" s="2440"/>
      <c r="AV599" s="2466">
        <f t="shared" si="2"/>
        <v>0</v>
      </c>
      <c r="AW599" s="2467"/>
      <c r="AX599" s="2439">
        <f t="shared" si="3"/>
        <v>0</v>
      </c>
      <c r="AY599" s="2440"/>
      <c r="AZ599" s="72"/>
      <c r="BA599" s="2462">
        <f t="shared" si="4"/>
        <v>0</v>
      </c>
      <c r="BB599" s="2462"/>
      <c r="BC599" s="2462"/>
      <c r="BD599" s="2462"/>
      <c r="BE599" s="2462"/>
      <c r="BF599" s="2462">
        <f t="shared" si="5"/>
        <v>0</v>
      </c>
      <c r="BG599" s="2462"/>
      <c r="BH599" s="2462"/>
      <c r="BI599" s="2462"/>
      <c r="BJ599" s="2462"/>
      <c r="BK599" s="2462">
        <f t="shared" si="6"/>
        <v>0</v>
      </c>
      <c r="BL599" s="2462"/>
      <c r="BM599" s="2462"/>
      <c r="BN599" s="2462"/>
      <c r="BO599" s="2462"/>
      <c r="BP599" s="2462">
        <f t="shared" si="7"/>
        <v>0</v>
      </c>
      <c r="BQ599" s="2462"/>
      <c r="BR599" s="2462"/>
      <c r="BS599" s="2462"/>
      <c r="BT599" s="2462"/>
      <c r="BU599" s="2462">
        <f t="shared" si="8"/>
        <v>0</v>
      </c>
      <c r="BV599" s="2462"/>
      <c r="BW599" s="2462"/>
      <c r="BX599" s="2462"/>
      <c r="BY599" s="2462"/>
      <c r="BZ599" s="2462">
        <f t="shared" si="9"/>
        <v>0</v>
      </c>
      <c r="CA599" s="2462"/>
      <c r="CB599" s="2462"/>
      <c r="CC599" s="2462"/>
      <c r="CD599" s="2462"/>
      <c r="CE599" s="2424">
        <f t="shared" si="10"/>
        <v>0</v>
      </c>
      <c r="CF599" s="2424"/>
      <c r="CG599" s="2424"/>
      <c r="CH599" s="2424"/>
      <c r="CI599" s="2424"/>
      <c r="CJ599" s="2424">
        <f t="shared" si="11"/>
        <v>0</v>
      </c>
      <c r="CK599" s="2424"/>
      <c r="CL599" s="2424"/>
      <c r="CM599" s="2424"/>
      <c r="CN599" s="2424"/>
      <c r="CO599" s="2424">
        <f t="shared" si="12"/>
        <v>0</v>
      </c>
      <c r="CP599" s="2424"/>
      <c r="CQ599" s="2424"/>
      <c r="CR599" s="2424"/>
      <c r="CS599" s="2424"/>
      <c r="CT599" s="2424">
        <f t="shared" si="13"/>
        <v>0</v>
      </c>
      <c r="CU599" s="2424"/>
      <c r="CV599" s="2424"/>
      <c r="CW599" s="2424"/>
      <c r="CX599" s="2424"/>
      <c r="CY599" s="2424">
        <f t="shared" si="14"/>
        <v>0</v>
      </c>
      <c r="CZ599" s="2424"/>
      <c r="DA599" s="2424"/>
      <c r="DB599" s="2424"/>
      <c r="DC599" s="2424"/>
      <c r="DD599" s="2424">
        <f t="shared" si="15"/>
        <v>0</v>
      </c>
      <c r="DE599" s="2424"/>
      <c r="DF599" s="2424"/>
      <c r="DG599" s="2424"/>
      <c r="DH599" s="2424"/>
    </row>
    <row r="600" spans="1:112" ht="12.75">
      <c r="B600" s="16" t="s">
        <v>421</v>
      </c>
      <c r="G600" s="2312"/>
      <c r="H600" s="2312"/>
      <c r="I600" s="2312"/>
      <c r="J600" s="2312"/>
      <c r="K600" s="2312"/>
      <c r="L600" s="2312"/>
      <c r="M600" s="2312"/>
      <c r="N600" s="2312"/>
      <c r="O600" s="2312"/>
      <c r="P600" s="2312"/>
      <c r="Q600" s="2312"/>
      <c r="R600" s="2312"/>
      <c r="U600" s="16" t="s">
        <v>421</v>
      </c>
      <c r="Z600" s="2312"/>
      <c r="AA600" s="2312"/>
      <c r="AB600" s="2312"/>
      <c r="AC600" s="2312"/>
      <c r="AD600" s="2312"/>
      <c r="AE600" s="2312"/>
      <c r="AF600" s="2312"/>
      <c r="AG600" s="2312"/>
      <c r="AH600" s="2312"/>
      <c r="AI600" s="2312"/>
      <c r="AJ600" s="2312"/>
      <c r="AK600" s="2312"/>
      <c r="AL600" s="35"/>
      <c r="AM600" s="72"/>
      <c r="AN600" s="72"/>
      <c r="AO600" s="72"/>
      <c r="AP600" s="72"/>
      <c r="AQ600" s="72"/>
      <c r="AR600" s="2466">
        <f t="shared" si="0"/>
        <v>0</v>
      </c>
      <c r="AS600" s="2467"/>
      <c r="AT600" s="2439">
        <f t="shared" si="1"/>
        <v>0</v>
      </c>
      <c r="AU600" s="2440"/>
      <c r="AV600" s="2466">
        <f t="shared" si="2"/>
        <v>0</v>
      </c>
      <c r="AW600" s="2467"/>
      <c r="AX600" s="2439">
        <f t="shared" si="3"/>
        <v>0</v>
      </c>
      <c r="AY600" s="2440"/>
      <c r="AZ600" s="72"/>
      <c r="BA600" s="2462">
        <f t="shared" si="4"/>
        <v>0</v>
      </c>
      <c r="BB600" s="2462"/>
      <c r="BC600" s="2462"/>
      <c r="BD600" s="2462"/>
      <c r="BE600" s="2462"/>
      <c r="BF600" s="2462">
        <f t="shared" si="5"/>
        <v>0</v>
      </c>
      <c r="BG600" s="2462"/>
      <c r="BH600" s="2462"/>
      <c r="BI600" s="2462"/>
      <c r="BJ600" s="2462"/>
      <c r="BK600" s="2462">
        <f t="shared" si="6"/>
        <v>0</v>
      </c>
      <c r="BL600" s="2462"/>
      <c r="BM600" s="2462"/>
      <c r="BN600" s="2462"/>
      <c r="BO600" s="2462"/>
      <c r="BP600" s="2462">
        <f t="shared" si="7"/>
        <v>0</v>
      </c>
      <c r="BQ600" s="2462"/>
      <c r="BR600" s="2462"/>
      <c r="BS600" s="2462"/>
      <c r="BT600" s="2462"/>
      <c r="BU600" s="2462">
        <f t="shared" si="8"/>
        <v>0</v>
      </c>
      <c r="BV600" s="2462"/>
      <c r="BW600" s="2462"/>
      <c r="BX600" s="2462"/>
      <c r="BY600" s="2462"/>
      <c r="BZ600" s="2462">
        <f t="shared" si="9"/>
        <v>0</v>
      </c>
      <c r="CA600" s="2462"/>
      <c r="CB600" s="2462"/>
      <c r="CC600" s="2462"/>
      <c r="CD600" s="2462"/>
      <c r="CE600" s="2424">
        <f t="shared" si="10"/>
        <v>0</v>
      </c>
      <c r="CF600" s="2424"/>
      <c r="CG600" s="2424"/>
      <c r="CH600" s="2424"/>
      <c r="CI600" s="2424"/>
      <c r="CJ600" s="2424">
        <f t="shared" si="11"/>
        <v>0</v>
      </c>
      <c r="CK600" s="2424"/>
      <c r="CL600" s="2424"/>
      <c r="CM600" s="2424"/>
      <c r="CN600" s="2424"/>
      <c r="CO600" s="2424">
        <f t="shared" si="12"/>
        <v>0</v>
      </c>
      <c r="CP600" s="2424"/>
      <c r="CQ600" s="2424"/>
      <c r="CR600" s="2424"/>
      <c r="CS600" s="2424"/>
      <c r="CT600" s="2424">
        <f t="shared" si="13"/>
        <v>0</v>
      </c>
      <c r="CU600" s="2424"/>
      <c r="CV600" s="2424"/>
      <c r="CW600" s="2424"/>
      <c r="CX600" s="2424"/>
      <c r="CY600" s="2424">
        <f t="shared" si="14"/>
        <v>0</v>
      </c>
      <c r="CZ600" s="2424"/>
      <c r="DA600" s="2424"/>
      <c r="DB600" s="2424"/>
      <c r="DC600" s="2424"/>
      <c r="DD600" s="2424">
        <f t="shared" si="15"/>
        <v>0</v>
      </c>
      <c r="DE600" s="2424"/>
      <c r="DF600" s="2424"/>
      <c r="DG600" s="2424"/>
      <c r="DH600" s="2424"/>
    </row>
    <row r="601" spans="1:112" ht="12.75">
      <c r="B601" s="16" t="s">
        <v>484</v>
      </c>
      <c r="G601" s="2312"/>
      <c r="H601" s="2312"/>
      <c r="I601" s="2312"/>
      <c r="J601" s="2312"/>
      <c r="K601" s="2312"/>
      <c r="L601" s="2312"/>
      <c r="M601" s="2312"/>
      <c r="N601" s="2312"/>
      <c r="O601" s="2312"/>
      <c r="P601" s="2312"/>
      <c r="Q601" s="2312"/>
      <c r="R601" s="2312"/>
      <c r="U601" s="16" t="s">
        <v>484</v>
      </c>
      <c r="Z601" s="2436"/>
      <c r="AA601" s="2436"/>
      <c r="AB601" s="2436"/>
      <c r="AC601" s="2436"/>
      <c r="AD601" s="2436"/>
      <c r="AE601" s="2436"/>
      <c r="AF601" s="2436"/>
      <c r="AG601" s="2436"/>
      <c r="AH601" s="2436"/>
      <c r="AI601" s="2436"/>
      <c r="AJ601" s="2436"/>
      <c r="AK601" s="2436"/>
      <c r="AL601" s="506"/>
      <c r="AM601" s="72"/>
      <c r="AN601" s="72"/>
      <c r="AO601" s="72"/>
      <c r="AP601" s="72"/>
      <c r="AQ601" s="72"/>
      <c r="AR601" s="2466">
        <f t="shared" si="0"/>
        <v>0</v>
      </c>
      <c r="AS601" s="2467"/>
      <c r="AT601" s="2439">
        <f t="shared" si="1"/>
        <v>0</v>
      </c>
      <c r="AU601" s="2440"/>
      <c r="AV601" s="2466">
        <f t="shared" si="2"/>
        <v>0</v>
      </c>
      <c r="AW601" s="2467"/>
      <c r="AX601" s="2439">
        <f t="shared" si="3"/>
        <v>0</v>
      </c>
      <c r="AY601" s="2440"/>
      <c r="AZ601" s="72"/>
      <c r="BA601" s="2462">
        <f t="shared" si="4"/>
        <v>0</v>
      </c>
      <c r="BB601" s="2462"/>
      <c r="BC601" s="2462"/>
      <c r="BD601" s="2462"/>
      <c r="BE601" s="2462"/>
      <c r="BF601" s="2462">
        <f t="shared" si="5"/>
        <v>0</v>
      </c>
      <c r="BG601" s="2462"/>
      <c r="BH601" s="2462"/>
      <c r="BI601" s="2462"/>
      <c r="BJ601" s="2462"/>
      <c r="BK601" s="2462">
        <f t="shared" si="6"/>
        <v>0</v>
      </c>
      <c r="BL601" s="2462"/>
      <c r="BM601" s="2462"/>
      <c r="BN601" s="2462"/>
      <c r="BO601" s="2462"/>
      <c r="BP601" s="2462">
        <f t="shared" si="7"/>
        <v>0</v>
      </c>
      <c r="BQ601" s="2462"/>
      <c r="BR601" s="2462"/>
      <c r="BS601" s="2462"/>
      <c r="BT601" s="2462"/>
      <c r="BU601" s="2462">
        <f t="shared" si="8"/>
        <v>0</v>
      </c>
      <c r="BV601" s="2462"/>
      <c r="BW601" s="2462"/>
      <c r="BX601" s="2462"/>
      <c r="BY601" s="2462"/>
      <c r="BZ601" s="2462">
        <f t="shared" si="9"/>
        <v>0</v>
      </c>
      <c r="CA601" s="2462"/>
      <c r="CB601" s="2462"/>
      <c r="CC601" s="2462"/>
      <c r="CD601" s="2462"/>
      <c r="CE601" s="2424">
        <f t="shared" si="10"/>
        <v>0</v>
      </c>
      <c r="CF601" s="2424"/>
      <c r="CG601" s="2424"/>
      <c r="CH601" s="2424"/>
      <c r="CI601" s="2424"/>
      <c r="CJ601" s="2424">
        <f t="shared" si="11"/>
        <v>0</v>
      </c>
      <c r="CK601" s="2424"/>
      <c r="CL601" s="2424"/>
      <c r="CM601" s="2424"/>
      <c r="CN601" s="2424"/>
      <c r="CO601" s="2424">
        <f t="shared" si="12"/>
        <v>0</v>
      </c>
      <c r="CP601" s="2424"/>
      <c r="CQ601" s="2424"/>
      <c r="CR601" s="2424"/>
      <c r="CS601" s="2424"/>
      <c r="CT601" s="2424">
        <f t="shared" si="13"/>
        <v>0</v>
      </c>
      <c r="CU601" s="2424"/>
      <c r="CV601" s="2424"/>
      <c r="CW601" s="2424"/>
      <c r="CX601" s="2424"/>
      <c r="CY601" s="2424">
        <f t="shared" si="14"/>
        <v>0</v>
      </c>
      <c r="CZ601" s="2424"/>
      <c r="DA601" s="2424"/>
      <c r="DB601" s="2424"/>
      <c r="DC601" s="2424"/>
      <c r="DD601" s="2424">
        <f t="shared" si="15"/>
        <v>0</v>
      </c>
      <c r="DE601" s="2424"/>
      <c r="DF601" s="2424"/>
      <c r="DG601" s="2424"/>
      <c r="DH601" s="2424"/>
    </row>
    <row r="602" spans="1:112" ht="12.75">
      <c r="B602" s="16" t="s">
        <v>924</v>
      </c>
      <c r="G602" s="2312"/>
      <c r="H602" s="2312"/>
      <c r="I602" s="2312"/>
      <c r="J602" s="2312"/>
      <c r="K602" s="2312"/>
      <c r="L602" s="2312"/>
      <c r="M602" s="2312"/>
      <c r="N602" s="2312"/>
      <c r="O602" s="2312"/>
      <c r="P602" s="2312"/>
      <c r="Q602" s="2312"/>
      <c r="R602" s="2312"/>
      <c r="U602" s="16" t="s">
        <v>924</v>
      </c>
      <c r="Z602" s="2436"/>
      <c r="AA602" s="2436"/>
      <c r="AB602" s="2436"/>
      <c r="AC602" s="2436"/>
      <c r="AD602" s="2436"/>
      <c r="AE602" s="2436"/>
      <c r="AF602" s="2436"/>
      <c r="AG602" s="2436"/>
      <c r="AH602" s="2436"/>
      <c r="AI602" s="2436"/>
      <c r="AJ602" s="2436"/>
      <c r="AK602" s="2436"/>
      <c r="AL602" s="506"/>
      <c r="AM602" s="72"/>
      <c r="AN602" s="72"/>
      <c r="AO602" s="72"/>
      <c r="AP602" s="72"/>
      <c r="AQ602" s="72"/>
      <c r="AR602" s="2466">
        <f t="shared" si="0"/>
        <v>0</v>
      </c>
      <c r="AS602" s="2467"/>
      <c r="AT602" s="2439">
        <f t="shared" si="1"/>
        <v>0</v>
      </c>
      <c r="AU602" s="2440"/>
      <c r="AV602" s="2466">
        <f t="shared" si="2"/>
        <v>0</v>
      </c>
      <c r="AW602" s="2467"/>
      <c r="AX602" s="2439">
        <f t="shared" si="3"/>
        <v>0</v>
      </c>
      <c r="AY602" s="2440"/>
      <c r="AZ602" s="72"/>
      <c r="BA602" s="2462">
        <f t="shared" si="4"/>
        <v>0</v>
      </c>
      <c r="BB602" s="2462"/>
      <c r="BC602" s="2462"/>
      <c r="BD602" s="2462"/>
      <c r="BE602" s="2462"/>
      <c r="BF602" s="2462">
        <f t="shared" si="5"/>
        <v>0</v>
      </c>
      <c r="BG602" s="2462"/>
      <c r="BH602" s="2462"/>
      <c r="BI602" s="2462"/>
      <c r="BJ602" s="2462"/>
      <c r="BK602" s="2462">
        <f t="shared" si="6"/>
        <v>0</v>
      </c>
      <c r="BL602" s="2462"/>
      <c r="BM602" s="2462"/>
      <c r="BN602" s="2462"/>
      <c r="BO602" s="2462"/>
      <c r="BP602" s="2462">
        <f t="shared" si="7"/>
        <v>0</v>
      </c>
      <c r="BQ602" s="2462"/>
      <c r="BR602" s="2462"/>
      <c r="BS602" s="2462"/>
      <c r="BT602" s="2462"/>
      <c r="BU602" s="2462">
        <f t="shared" si="8"/>
        <v>0</v>
      </c>
      <c r="BV602" s="2462"/>
      <c r="BW602" s="2462"/>
      <c r="BX602" s="2462"/>
      <c r="BY602" s="2462"/>
      <c r="BZ602" s="2462">
        <f t="shared" si="9"/>
        <v>0</v>
      </c>
      <c r="CA602" s="2462"/>
      <c r="CB602" s="2462"/>
      <c r="CC602" s="2462"/>
      <c r="CD602" s="2462"/>
      <c r="CE602" s="2424">
        <f t="shared" si="10"/>
        <v>0</v>
      </c>
      <c r="CF602" s="2424"/>
      <c r="CG602" s="2424"/>
      <c r="CH602" s="2424"/>
      <c r="CI602" s="2424"/>
      <c r="CJ602" s="2424">
        <f t="shared" si="11"/>
        <v>0</v>
      </c>
      <c r="CK602" s="2424"/>
      <c r="CL602" s="2424"/>
      <c r="CM602" s="2424"/>
      <c r="CN602" s="2424"/>
      <c r="CO602" s="2424">
        <f t="shared" si="12"/>
        <v>0</v>
      </c>
      <c r="CP602" s="2424"/>
      <c r="CQ602" s="2424"/>
      <c r="CR602" s="2424"/>
      <c r="CS602" s="2424"/>
      <c r="CT602" s="2424">
        <f t="shared" si="13"/>
        <v>0</v>
      </c>
      <c r="CU602" s="2424"/>
      <c r="CV602" s="2424"/>
      <c r="CW602" s="2424"/>
      <c r="CX602" s="2424"/>
      <c r="CY602" s="2424">
        <f t="shared" si="14"/>
        <v>0</v>
      </c>
      <c r="CZ602" s="2424"/>
      <c r="DA602" s="2424"/>
      <c r="DB602" s="2424"/>
      <c r="DC602" s="2424"/>
      <c r="DD602" s="2424">
        <f t="shared" si="15"/>
        <v>0</v>
      </c>
      <c r="DE602" s="2424"/>
      <c r="DF602" s="2424"/>
      <c r="DG602" s="2424"/>
      <c r="DH602" s="2424"/>
    </row>
    <row r="603" spans="1:112" ht="12.75">
      <c r="B603" s="16" t="s">
        <v>723</v>
      </c>
      <c r="G603" s="2306"/>
      <c r="H603" s="2306"/>
      <c r="I603" s="2306"/>
      <c r="J603" s="2306"/>
      <c r="K603" s="2306"/>
      <c r="L603" s="2306"/>
      <c r="O603" s="161" t="s">
        <v>907</v>
      </c>
      <c r="P603" s="2313"/>
      <c r="Q603" s="2313"/>
      <c r="R603" s="2313"/>
      <c r="U603" s="16" t="s">
        <v>723</v>
      </c>
      <c r="Z603" s="2306"/>
      <c r="AA603" s="2306"/>
      <c r="AB603" s="2306"/>
      <c r="AC603" s="2306"/>
      <c r="AD603" s="2306"/>
      <c r="AE603" s="2306"/>
      <c r="AH603" s="161" t="s">
        <v>907</v>
      </c>
      <c r="AI603" s="2313"/>
      <c r="AJ603" s="2313"/>
      <c r="AK603" s="2313"/>
      <c r="AL603" s="3"/>
      <c r="AM603" s="72"/>
      <c r="AN603" s="72"/>
      <c r="AO603" s="72"/>
      <c r="AP603" s="72"/>
      <c r="AQ603" s="72"/>
      <c r="AR603" s="2466">
        <f t="shared" si="0"/>
        <v>0</v>
      </c>
      <c r="AS603" s="2467"/>
      <c r="AT603" s="2439">
        <f t="shared" si="1"/>
        <v>0</v>
      </c>
      <c r="AU603" s="2440"/>
      <c r="AV603" s="2466">
        <f t="shared" si="2"/>
        <v>0</v>
      </c>
      <c r="AW603" s="2467"/>
      <c r="AX603" s="2439">
        <f t="shared" si="3"/>
        <v>0</v>
      </c>
      <c r="AY603" s="2440"/>
      <c r="AZ603" s="72"/>
      <c r="BA603" s="2462">
        <f t="shared" si="4"/>
        <v>0</v>
      </c>
      <c r="BB603" s="2462"/>
      <c r="BC603" s="2462"/>
      <c r="BD603" s="2462"/>
      <c r="BE603" s="2462"/>
      <c r="BF603" s="2462">
        <f t="shared" si="5"/>
        <v>0</v>
      </c>
      <c r="BG603" s="2462"/>
      <c r="BH603" s="2462"/>
      <c r="BI603" s="2462"/>
      <c r="BJ603" s="2462"/>
      <c r="BK603" s="2462">
        <f t="shared" si="6"/>
        <v>0</v>
      </c>
      <c r="BL603" s="2462"/>
      <c r="BM603" s="2462"/>
      <c r="BN603" s="2462"/>
      <c r="BO603" s="2462"/>
      <c r="BP603" s="2462">
        <f t="shared" si="7"/>
        <v>0</v>
      </c>
      <c r="BQ603" s="2462"/>
      <c r="BR603" s="2462"/>
      <c r="BS603" s="2462"/>
      <c r="BT603" s="2462"/>
      <c r="BU603" s="2462">
        <f t="shared" si="8"/>
        <v>0</v>
      </c>
      <c r="BV603" s="2462"/>
      <c r="BW603" s="2462"/>
      <c r="BX603" s="2462"/>
      <c r="BY603" s="2462"/>
      <c r="BZ603" s="2462">
        <f t="shared" si="9"/>
        <v>0</v>
      </c>
      <c r="CA603" s="2462"/>
      <c r="CB603" s="2462"/>
      <c r="CC603" s="2462"/>
      <c r="CD603" s="2462"/>
      <c r="CE603" s="2424">
        <f t="shared" si="10"/>
        <v>0</v>
      </c>
      <c r="CF603" s="2424"/>
      <c r="CG603" s="2424"/>
      <c r="CH603" s="2424"/>
      <c r="CI603" s="2424"/>
      <c r="CJ603" s="2424">
        <f t="shared" si="11"/>
        <v>0</v>
      </c>
      <c r="CK603" s="2424"/>
      <c r="CL603" s="2424"/>
      <c r="CM603" s="2424"/>
      <c r="CN603" s="2424"/>
      <c r="CO603" s="2424">
        <f t="shared" si="12"/>
        <v>0</v>
      </c>
      <c r="CP603" s="2424"/>
      <c r="CQ603" s="2424"/>
      <c r="CR603" s="2424"/>
      <c r="CS603" s="2424"/>
      <c r="CT603" s="2424">
        <f t="shared" si="13"/>
        <v>0</v>
      </c>
      <c r="CU603" s="2424"/>
      <c r="CV603" s="2424"/>
      <c r="CW603" s="2424"/>
      <c r="CX603" s="2424"/>
      <c r="CY603" s="2424">
        <f t="shared" si="14"/>
        <v>0</v>
      </c>
      <c r="CZ603" s="2424"/>
      <c r="DA603" s="2424"/>
      <c r="DB603" s="2424"/>
      <c r="DC603" s="2424"/>
      <c r="DD603" s="2424">
        <f t="shared" si="15"/>
        <v>0</v>
      </c>
      <c r="DE603" s="2424"/>
      <c r="DF603" s="2424"/>
      <c r="DG603" s="2424"/>
      <c r="DH603" s="2424"/>
    </row>
    <row r="604" spans="1:112" ht="12.75" customHeight="1">
      <c r="B604" s="16" t="s">
        <v>925</v>
      </c>
      <c r="H604" s="2312"/>
      <c r="I604" s="2312"/>
      <c r="J604" s="2312"/>
      <c r="K604" s="2312"/>
      <c r="L604" s="2312"/>
      <c r="M604" s="2312"/>
      <c r="N604" s="2312"/>
      <c r="O604" s="2312"/>
      <c r="P604" s="2312"/>
      <c r="Q604" s="2312"/>
      <c r="R604" s="2312"/>
      <c r="U604" s="16" t="s">
        <v>925</v>
      </c>
      <c r="AA604" s="2312"/>
      <c r="AB604" s="2312"/>
      <c r="AC604" s="2312"/>
      <c r="AD604" s="2312"/>
      <c r="AE604" s="2312"/>
      <c r="AF604" s="2312"/>
      <c r="AG604" s="2312"/>
      <c r="AH604" s="2312"/>
      <c r="AI604" s="2312"/>
      <c r="AJ604" s="2312"/>
      <c r="AK604" s="2312"/>
      <c r="AL604" s="3"/>
      <c r="AM604" s="72"/>
      <c r="AN604" s="72"/>
      <c r="AO604" s="72"/>
      <c r="AP604" s="72"/>
      <c r="AQ604" s="72"/>
      <c r="AR604" s="2466">
        <f t="shared" si="0"/>
        <v>0</v>
      </c>
      <c r="AS604" s="2467"/>
      <c r="AT604" s="2439">
        <f t="shared" si="1"/>
        <v>0</v>
      </c>
      <c r="AU604" s="2440"/>
      <c r="AV604" s="2466">
        <f t="shared" si="2"/>
        <v>0</v>
      </c>
      <c r="AW604" s="2467"/>
      <c r="AX604" s="2439">
        <f t="shared" si="3"/>
        <v>0</v>
      </c>
      <c r="AY604" s="2440"/>
      <c r="AZ604" s="72"/>
      <c r="BA604" s="2462">
        <f t="shared" si="4"/>
        <v>0</v>
      </c>
      <c r="BB604" s="2462"/>
      <c r="BC604" s="2462"/>
      <c r="BD604" s="2462"/>
      <c r="BE604" s="2462"/>
      <c r="BF604" s="2462">
        <f t="shared" si="5"/>
        <v>0</v>
      </c>
      <c r="BG604" s="2462"/>
      <c r="BH604" s="2462"/>
      <c r="BI604" s="2462"/>
      <c r="BJ604" s="2462"/>
      <c r="BK604" s="2462">
        <f t="shared" si="6"/>
        <v>0</v>
      </c>
      <c r="BL604" s="2462"/>
      <c r="BM604" s="2462"/>
      <c r="BN604" s="2462"/>
      <c r="BO604" s="2462"/>
      <c r="BP604" s="2462">
        <f t="shared" si="7"/>
        <v>0</v>
      </c>
      <c r="BQ604" s="2462"/>
      <c r="BR604" s="2462"/>
      <c r="BS604" s="2462"/>
      <c r="BT604" s="2462"/>
      <c r="BU604" s="2462">
        <f t="shared" si="8"/>
        <v>0</v>
      </c>
      <c r="BV604" s="2462"/>
      <c r="BW604" s="2462"/>
      <c r="BX604" s="2462"/>
      <c r="BY604" s="2462"/>
      <c r="BZ604" s="2462">
        <f t="shared" si="9"/>
        <v>0</v>
      </c>
      <c r="CA604" s="2462"/>
      <c r="CB604" s="2462"/>
      <c r="CC604" s="2462"/>
      <c r="CD604" s="2462"/>
      <c r="CE604" s="2424">
        <f t="shared" si="10"/>
        <v>0</v>
      </c>
      <c r="CF604" s="2424"/>
      <c r="CG604" s="2424"/>
      <c r="CH604" s="2424"/>
      <c r="CI604" s="2424"/>
      <c r="CJ604" s="2424">
        <f t="shared" si="11"/>
        <v>0</v>
      </c>
      <c r="CK604" s="2424"/>
      <c r="CL604" s="2424"/>
      <c r="CM604" s="2424"/>
      <c r="CN604" s="2424"/>
      <c r="CO604" s="2424">
        <f t="shared" si="12"/>
        <v>0</v>
      </c>
      <c r="CP604" s="2424"/>
      <c r="CQ604" s="2424"/>
      <c r="CR604" s="2424"/>
      <c r="CS604" s="2424"/>
      <c r="CT604" s="2424">
        <f t="shared" si="13"/>
        <v>0</v>
      </c>
      <c r="CU604" s="2424"/>
      <c r="CV604" s="2424"/>
      <c r="CW604" s="2424"/>
      <c r="CX604" s="2424"/>
      <c r="CY604" s="2424">
        <f t="shared" si="14"/>
        <v>0</v>
      </c>
      <c r="CZ604" s="2424"/>
      <c r="DA604" s="2424"/>
      <c r="DB604" s="2424"/>
      <c r="DC604" s="2424"/>
      <c r="DD604" s="2424">
        <f t="shared" si="15"/>
        <v>0</v>
      </c>
      <c r="DE604" s="2424"/>
      <c r="DF604" s="2424"/>
      <c r="DG604" s="2424"/>
      <c r="DH604" s="2424"/>
    </row>
    <row r="605" spans="1:112" ht="12.75">
      <c r="B605" s="16" t="s">
        <v>927</v>
      </c>
      <c r="N605" s="2343" t="s">
        <v>536</v>
      </c>
      <c r="O605" s="2343"/>
      <c r="U605" s="16" t="s">
        <v>927</v>
      </c>
      <c r="AG605" s="2343" t="s">
        <v>536</v>
      </c>
      <c r="AH605" s="2343"/>
      <c r="AL605" s="3"/>
      <c r="AM605" s="72"/>
      <c r="AN605" s="72"/>
      <c r="AO605" s="72"/>
      <c r="AP605" s="72"/>
      <c r="AQ605" s="72"/>
      <c r="AR605" s="2466">
        <f t="shared" si="0"/>
        <v>0</v>
      </c>
      <c r="AS605" s="2467"/>
      <c r="AT605" s="2439">
        <f t="shared" si="1"/>
        <v>0</v>
      </c>
      <c r="AU605" s="2440"/>
      <c r="AV605" s="2466">
        <f t="shared" si="2"/>
        <v>0</v>
      </c>
      <c r="AW605" s="2467"/>
      <c r="AX605" s="2439">
        <f t="shared" si="3"/>
        <v>0</v>
      </c>
      <c r="AY605" s="2440"/>
      <c r="AZ605" s="72"/>
      <c r="BA605" s="2462">
        <f t="shared" si="4"/>
        <v>0</v>
      </c>
      <c r="BB605" s="2462"/>
      <c r="BC605" s="2462"/>
      <c r="BD605" s="2462"/>
      <c r="BE605" s="2462"/>
      <c r="BF605" s="2462">
        <f t="shared" si="5"/>
        <v>0</v>
      </c>
      <c r="BG605" s="2462"/>
      <c r="BH605" s="2462"/>
      <c r="BI605" s="2462"/>
      <c r="BJ605" s="2462"/>
      <c r="BK605" s="2462">
        <f t="shared" si="6"/>
        <v>0</v>
      </c>
      <c r="BL605" s="2462"/>
      <c r="BM605" s="2462"/>
      <c r="BN605" s="2462"/>
      <c r="BO605" s="2462"/>
      <c r="BP605" s="2462">
        <f t="shared" si="7"/>
        <v>0</v>
      </c>
      <c r="BQ605" s="2462"/>
      <c r="BR605" s="2462"/>
      <c r="BS605" s="2462"/>
      <c r="BT605" s="2462"/>
      <c r="BU605" s="2462">
        <f t="shared" si="8"/>
        <v>0</v>
      </c>
      <c r="BV605" s="2462"/>
      <c r="BW605" s="2462"/>
      <c r="BX605" s="2462"/>
      <c r="BY605" s="2462"/>
      <c r="BZ605" s="2462">
        <f t="shared" si="9"/>
        <v>0</v>
      </c>
      <c r="CA605" s="2462"/>
      <c r="CB605" s="2462"/>
      <c r="CC605" s="2462"/>
      <c r="CD605" s="2462"/>
      <c r="CE605" s="2424">
        <f t="shared" si="10"/>
        <v>0</v>
      </c>
      <c r="CF605" s="2424"/>
      <c r="CG605" s="2424"/>
      <c r="CH605" s="2424"/>
      <c r="CI605" s="2424"/>
      <c r="CJ605" s="2424">
        <f t="shared" si="11"/>
        <v>0</v>
      </c>
      <c r="CK605" s="2424"/>
      <c r="CL605" s="2424"/>
      <c r="CM605" s="2424"/>
      <c r="CN605" s="2424"/>
      <c r="CO605" s="2424">
        <f t="shared" si="12"/>
        <v>0</v>
      </c>
      <c r="CP605" s="2424"/>
      <c r="CQ605" s="2424"/>
      <c r="CR605" s="2424"/>
      <c r="CS605" s="2424"/>
      <c r="CT605" s="2424">
        <f t="shared" si="13"/>
        <v>0</v>
      </c>
      <c r="CU605" s="2424"/>
      <c r="CV605" s="2424"/>
      <c r="CW605" s="2424"/>
      <c r="CX605" s="2424"/>
      <c r="CY605" s="2424">
        <f t="shared" si="14"/>
        <v>0</v>
      </c>
      <c r="CZ605" s="2424"/>
      <c r="DA605" s="2424"/>
      <c r="DB605" s="2424"/>
      <c r="DC605" s="2424"/>
      <c r="DD605" s="2424">
        <f t="shared" si="15"/>
        <v>0</v>
      </c>
      <c r="DE605" s="2424"/>
      <c r="DF605" s="2424"/>
      <c r="DG605" s="2424"/>
      <c r="DH605" s="2424"/>
    </row>
    <row r="606" spans="1:112" ht="12.75">
      <c r="AM606" s="72"/>
      <c r="AN606" s="72"/>
      <c r="AO606" s="72"/>
      <c r="AP606" s="72"/>
      <c r="AQ606" s="72"/>
      <c r="AR606" s="2466">
        <f t="shared" si="0"/>
        <v>0</v>
      </c>
      <c r="AS606" s="2467"/>
      <c r="AT606" s="2439">
        <f t="shared" si="1"/>
        <v>0</v>
      </c>
      <c r="AU606" s="2440"/>
      <c r="AV606" s="2466">
        <f t="shared" si="2"/>
        <v>0</v>
      </c>
      <c r="AW606" s="2467"/>
      <c r="AX606" s="2439">
        <f t="shared" si="3"/>
        <v>0</v>
      </c>
      <c r="AY606" s="2440"/>
      <c r="AZ606" s="72"/>
      <c r="BA606" s="2462">
        <f t="shared" si="4"/>
        <v>0</v>
      </c>
      <c r="BB606" s="2462"/>
      <c r="BC606" s="2462"/>
      <c r="BD606" s="2462"/>
      <c r="BE606" s="2462"/>
      <c r="BF606" s="2462">
        <f t="shared" si="5"/>
        <v>0</v>
      </c>
      <c r="BG606" s="2462"/>
      <c r="BH606" s="2462"/>
      <c r="BI606" s="2462"/>
      <c r="BJ606" s="2462"/>
      <c r="BK606" s="2462">
        <f t="shared" si="6"/>
        <v>0</v>
      </c>
      <c r="BL606" s="2462"/>
      <c r="BM606" s="2462"/>
      <c r="BN606" s="2462"/>
      <c r="BO606" s="2462"/>
      <c r="BP606" s="2462">
        <f t="shared" si="7"/>
        <v>0</v>
      </c>
      <c r="BQ606" s="2462"/>
      <c r="BR606" s="2462"/>
      <c r="BS606" s="2462"/>
      <c r="BT606" s="2462"/>
      <c r="BU606" s="2462">
        <f t="shared" si="8"/>
        <v>0</v>
      </c>
      <c r="BV606" s="2462"/>
      <c r="BW606" s="2462"/>
      <c r="BX606" s="2462"/>
      <c r="BY606" s="2462"/>
      <c r="BZ606" s="2462">
        <f t="shared" si="9"/>
        <v>0</v>
      </c>
      <c r="CA606" s="2462"/>
      <c r="CB606" s="2462"/>
      <c r="CC606" s="2462"/>
      <c r="CD606" s="2462"/>
      <c r="CE606" s="2424">
        <f t="shared" si="10"/>
        <v>0</v>
      </c>
      <c r="CF606" s="2424"/>
      <c r="CG606" s="2424"/>
      <c r="CH606" s="2424"/>
      <c r="CI606" s="2424"/>
      <c r="CJ606" s="2424">
        <f t="shared" si="11"/>
        <v>0</v>
      </c>
      <c r="CK606" s="2424"/>
      <c r="CL606" s="2424"/>
      <c r="CM606" s="2424"/>
      <c r="CN606" s="2424"/>
      <c r="CO606" s="2424">
        <f t="shared" si="12"/>
        <v>0</v>
      </c>
      <c r="CP606" s="2424"/>
      <c r="CQ606" s="2424"/>
      <c r="CR606" s="2424"/>
      <c r="CS606" s="2424"/>
      <c r="CT606" s="2424">
        <f t="shared" si="13"/>
        <v>0</v>
      </c>
      <c r="CU606" s="2424"/>
      <c r="CV606" s="2424"/>
      <c r="CW606" s="2424"/>
      <c r="CX606" s="2424"/>
      <c r="CY606" s="2424">
        <f t="shared" si="14"/>
        <v>0</v>
      </c>
      <c r="CZ606" s="2424"/>
      <c r="DA606" s="2424"/>
      <c r="DB606" s="2424"/>
      <c r="DC606" s="2424"/>
      <c r="DD606" s="2424">
        <f t="shared" si="15"/>
        <v>0</v>
      </c>
      <c r="DE606" s="2424"/>
      <c r="DF606" s="2424"/>
      <c r="DG606" s="2424"/>
      <c r="DH606" s="2424"/>
    </row>
    <row r="607" spans="1:112" ht="12.75">
      <c r="A607" s="2167" t="s">
        <v>137</v>
      </c>
      <c r="B607" s="2167"/>
      <c r="C607" s="2167"/>
      <c r="D607" s="2167"/>
      <c r="E607" s="2167"/>
      <c r="F607" s="2167"/>
      <c r="G607" s="2167"/>
      <c r="H607" s="2167"/>
      <c r="I607" s="2167"/>
      <c r="J607" s="2167"/>
      <c r="K607" s="2167"/>
      <c r="L607" s="2167"/>
      <c r="M607" s="2167"/>
      <c r="N607" s="2167"/>
      <c r="O607" s="2167"/>
      <c r="P607" s="2167"/>
      <c r="Q607" s="2167"/>
      <c r="R607" s="2167"/>
      <c r="S607" s="2167"/>
      <c r="T607" s="2167"/>
      <c r="U607" s="2167"/>
      <c r="V607" s="2167"/>
      <c r="W607" s="2167"/>
      <c r="X607" s="2167"/>
      <c r="Y607" s="2167"/>
      <c r="Z607" s="2167"/>
      <c r="AA607" s="2167"/>
      <c r="AB607" s="2167"/>
      <c r="AC607" s="2167"/>
      <c r="AD607" s="2167"/>
      <c r="AE607" s="2167"/>
      <c r="AF607" s="2167"/>
      <c r="AG607" s="2167"/>
      <c r="AH607" s="2167"/>
      <c r="AI607" s="2167"/>
      <c r="AJ607" s="2167"/>
      <c r="AK607" s="2167"/>
      <c r="AL607" s="2167"/>
      <c r="AM607" s="72"/>
      <c r="AN607" s="72"/>
      <c r="AO607" s="72"/>
      <c r="AP607" s="72"/>
      <c r="AQ607" s="72"/>
      <c r="AR607" s="2466">
        <f t="shared" si="0"/>
        <v>0</v>
      </c>
      <c r="AS607" s="2467"/>
      <c r="AT607" s="2439">
        <f t="shared" si="1"/>
        <v>0</v>
      </c>
      <c r="AU607" s="2440"/>
      <c r="AV607" s="2466">
        <f t="shared" si="2"/>
        <v>0</v>
      </c>
      <c r="AW607" s="2467"/>
      <c r="AX607" s="2439">
        <f t="shared" si="3"/>
        <v>0</v>
      </c>
      <c r="AY607" s="2440"/>
      <c r="AZ607" s="72"/>
      <c r="BA607" s="2462">
        <f t="shared" si="4"/>
        <v>0</v>
      </c>
      <c r="BB607" s="2462"/>
      <c r="BC607" s="2462"/>
      <c r="BD607" s="2462"/>
      <c r="BE607" s="2462"/>
      <c r="BF607" s="2462">
        <f t="shared" si="5"/>
        <v>0</v>
      </c>
      <c r="BG607" s="2462"/>
      <c r="BH607" s="2462"/>
      <c r="BI607" s="2462"/>
      <c r="BJ607" s="2462"/>
      <c r="BK607" s="2462">
        <f t="shared" si="6"/>
        <v>0</v>
      </c>
      <c r="BL607" s="2462"/>
      <c r="BM607" s="2462"/>
      <c r="BN607" s="2462"/>
      <c r="BO607" s="2462"/>
      <c r="BP607" s="2462">
        <f t="shared" si="7"/>
        <v>0</v>
      </c>
      <c r="BQ607" s="2462"/>
      <c r="BR607" s="2462"/>
      <c r="BS607" s="2462"/>
      <c r="BT607" s="2462"/>
      <c r="BU607" s="2462">
        <f t="shared" si="8"/>
        <v>0</v>
      </c>
      <c r="BV607" s="2462"/>
      <c r="BW607" s="2462"/>
      <c r="BX607" s="2462"/>
      <c r="BY607" s="2462"/>
      <c r="BZ607" s="2462">
        <f t="shared" si="9"/>
        <v>0</v>
      </c>
      <c r="CA607" s="2462"/>
      <c r="CB607" s="2462"/>
      <c r="CC607" s="2462"/>
      <c r="CD607" s="2462"/>
      <c r="CE607" s="2424">
        <f t="shared" si="10"/>
        <v>0</v>
      </c>
      <c r="CF607" s="2424"/>
      <c r="CG607" s="2424"/>
      <c r="CH607" s="2424"/>
      <c r="CI607" s="2424"/>
      <c r="CJ607" s="2424">
        <f t="shared" si="11"/>
        <v>0</v>
      </c>
      <c r="CK607" s="2424"/>
      <c r="CL607" s="2424"/>
      <c r="CM607" s="2424"/>
      <c r="CN607" s="2424"/>
      <c r="CO607" s="2424">
        <f t="shared" si="12"/>
        <v>0</v>
      </c>
      <c r="CP607" s="2424"/>
      <c r="CQ607" s="2424"/>
      <c r="CR607" s="2424"/>
      <c r="CS607" s="2424"/>
      <c r="CT607" s="2424">
        <f t="shared" si="13"/>
        <v>0</v>
      </c>
      <c r="CU607" s="2424"/>
      <c r="CV607" s="2424"/>
      <c r="CW607" s="2424"/>
      <c r="CX607" s="2424"/>
      <c r="CY607" s="2424">
        <f t="shared" si="14"/>
        <v>0</v>
      </c>
      <c r="CZ607" s="2424"/>
      <c r="DA607" s="2424"/>
      <c r="DB607" s="2424"/>
      <c r="DC607" s="2424"/>
      <c r="DD607" s="2424">
        <f t="shared" si="15"/>
        <v>0</v>
      </c>
      <c r="DE607" s="2424"/>
      <c r="DF607" s="2424"/>
      <c r="DG607" s="2424"/>
      <c r="DH607" s="2424"/>
    </row>
    <row r="608" spans="1:112" ht="12.75">
      <c r="A608" s="2167"/>
      <c r="B608" s="2167"/>
      <c r="C608" s="2167"/>
      <c r="D608" s="2167"/>
      <c r="E608" s="2167"/>
      <c r="F608" s="2167"/>
      <c r="G608" s="2167"/>
      <c r="H608" s="2167"/>
      <c r="I608" s="2167"/>
      <c r="J608" s="2167"/>
      <c r="K608" s="2167"/>
      <c r="L608" s="2167"/>
      <c r="M608" s="2167"/>
      <c r="N608" s="2167"/>
      <c r="O608" s="2167"/>
      <c r="P608" s="2167"/>
      <c r="Q608" s="2167"/>
      <c r="R608" s="2167"/>
      <c r="S608" s="2167"/>
      <c r="T608" s="2167"/>
      <c r="U608" s="2167"/>
      <c r="V608" s="2167"/>
      <c r="W608" s="2167"/>
      <c r="X608" s="2167"/>
      <c r="Y608" s="2167"/>
      <c r="Z608" s="2167"/>
      <c r="AA608" s="2167"/>
      <c r="AB608" s="2167"/>
      <c r="AC608" s="2167"/>
      <c r="AD608" s="2167"/>
      <c r="AE608" s="2167"/>
      <c r="AF608" s="2167"/>
      <c r="AG608" s="2167"/>
      <c r="AH608" s="2167"/>
      <c r="AI608" s="2167"/>
      <c r="AJ608" s="2167"/>
      <c r="AK608" s="2167"/>
      <c r="AL608" s="2167"/>
      <c r="AM608" s="72"/>
      <c r="AN608" s="72"/>
      <c r="AO608" s="72"/>
      <c r="AP608" s="72"/>
      <c r="AQ608" s="72"/>
      <c r="AR608" s="2466">
        <f t="shared" si="0"/>
        <v>0</v>
      </c>
      <c r="AS608" s="2467"/>
      <c r="AT608" s="2439">
        <f t="shared" si="1"/>
        <v>0</v>
      </c>
      <c r="AU608" s="2440"/>
      <c r="AV608" s="2466">
        <f t="shared" si="2"/>
        <v>0</v>
      </c>
      <c r="AW608" s="2467"/>
      <c r="AX608" s="2439">
        <f t="shared" si="3"/>
        <v>0</v>
      </c>
      <c r="AY608" s="2440"/>
      <c r="AZ608" s="72"/>
      <c r="BA608" s="2462">
        <f t="shared" si="4"/>
        <v>0</v>
      </c>
      <c r="BB608" s="2462"/>
      <c r="BC608" s="2462"/>
      <c r="BD608" s="2462"/>
      <c r="BE608" s="2462"/>
      <c r="BF608" s="2462">
        <f t="shared" si="5"/>
        <v>0</v>
      </c>
      <c r="BG608" s="2462"/>
      <c r="BH608" s="2462"/>
      <c r="BI608" s="2462"/>
      <c r="BJ608" s="2462"/>
      <c r="BK608" s="2462">
        <f t="shared" si="6"/>
        <v>0</v>
      </c>
      <c r="BL608" s="2462"/>
      <c r="BM608" s="2462"/>
      <c r="BN608" s="2462"/>
      <c r="BO608" s="2462"/>
      <c r="BP608" s="2462">
        <f t="shared" si="7"/>
        <v>0</v>
      </c>
      <c r="BQ608" s="2462"/>
      <c r="BR608" s="2462"/>
      <c r="BS608" s="2462"/>
      <c r="BT608" s="2462"/>
      <c r="BU608" s="2462">
        <f t="shared" si="8"/>
        <v>0</v>
      </c>
      <c r="BV608" s="2462"/>
      <c r="BW608" s="2462"/>
      <c r="BX608" s="2462"/>
      <c r="BY608" s="2462"/>
      <c r="BZ608" s="2462">
        <f t="shared" si="9"/>
        <v>0</v>
      </c>
      <c r="CA608" s="2462"/>
      <c r="CB608" s="2462"/>
      <c r="CC608" s="2462"/>
      <c r="CD608" s="2462"/>
      <c r="CE608" s="2424">
        <f t="shared" si="10"/>
        <v>0</v>
      </c>
      <c r="CF608" s="2424"/>
      <c r="CG608" s="2424"/>
      <c r="CH608" s="2424"/>
      <c r="CI608" s="2424"/>
      <c r="CJ608" s="2424">
        <f t="shared" si="11"/>
        <v>0</v>
      </c>
      <c r="CK608" s="2424"/>
      <c r="CL608" s="2424"/>
      <c r="CM608" s="2424"/>
      <c r="CN608" s="2424"/>
      <c r="CO608" s="2424">
        <f t="shared" si="12"/>
        <v>0</v>
      </c>
      <c r="CP608" s="2424"/>
      <c r="CQ608" s="2424"/>
      <c r="CR608" s="2424"/>
      <c r="CS608" s="2424"/>
      <c r="CT608" s="2424">
        <f t="shared" si="13"/>
        <v>0</v>
      </c>
      <c r="CU608" s="2424"/>
      <c r="CV608" s="2424"/>
      <c r="CW608" s="2424"/>
      <c r="CX608" s="2424"/>
      <c r="CY608" s="2424">
        <f t="shared" si="14"/>
        <v>0</v>
      </c>
      <c r="CZ608" s="2424"/>
      <c r="DA608" s="2424"/>
      <c r="DB608" s="2424"/>
      <c r="DC608" s="2424"/>
      <c r="DD608" s="2424">
        <f t="shared" si="15"/>
        <v>0</v>
      </c>
      <c r="DE608" s="2424"/>
      <c r="DF608" s="2424"/>
      <c r="DG608" s="2424"/>
      <c r="DH608" s="2424"/>
    </row>
    <row r="609" spans="1:112" ht="12.75">
      <c r="A609" s="35"/>
      <c r="B609" s="35"/>
      <c r="C609" s="35"/>
      <c r="D609" s="35"/>
      <c r="E609" s="35"/>
      <c r="F609" s="35"/>
      <c r="G609" s="3"/>
      <c r="H609" s="35"/>
      <c r="AM609" s="72"/>
      <c r="AN609" s="72"/>
      <c r="AO609" s="72"/>
      <c r="AP609" s="72"/>
      <c r="AQ609" s="72"/>
      <c r="AR609" s="2466">
        <f t="shared" si="0"/>
        <v>0</v>
      </c>
      <c r="AS609" s="2467"/>
      <c r="AT609" s="2439">
        <f t="shared" si="1"/>
        <v>0</v>
      </c>
      <c r="AU609" s="2440"/>
      <c r="AV609" s="2466">
        <f t="shared" si="2"/>
        <v>0</v>
      </c>
      <c r="AW609" s="2467"/>
      <c r="AX609" s="2439">
        <f t="shared" si="3"/>
        <v>0</v>
      </c>
      <c r="AY609" s="2440"/>
      <c r="AZ609" s="72"/>
      <c r="BA609" s="2462">
        <f t="shared" si="4"/>
        <v>0</v>
      </c>
      <c r="BB609" s="2462"/>
      <c r="BC609" s="2462"/>
      <c r="BD609" s="2462"/>
      <c r="BE609" s="2462"/>
      <c r="BF609" s="2462">
        <f t="shared" si="5"/>
        <v>0</v>
      </c>
      <c r="BG609" s="2462"/>
      <c r="BH609" s="2462"/>
      <c r="BI609" s="2462"/>
      <c r="BJ609" s="2462"/>
      <c r="BK609" s="2462">
        <f t="shared" si="6"/>
        <v>0</v>
      </c>
      <c r="BL609" s="2462"/>
      <c r="BM609" s="2462"/>
      <c r="BN609" s="2462"/>
      <c r="BO609" s="2462"/>
      <c r="BP609" s="2462">
        <f t="shared" si="7"/>
        <v>0</v>
      </c>
      <c r="BQ609" s="2462"/>
      <c r="BR609" s="2462"/>
      <c r="BS609" s="2462"/>
      <c r="BT609" s="2462"/>
      <c r="BU609" s="2462">
        <f t="shared" si="8"/>
        <v>0</v>
      </c>
      <c r="BV609" s="2462"/>
      <c r="BW609" s="2462"/>
      <c r="BX609" s="2462"/>
      <c r="BY609" s="2462"/>
      <c r="BZ609" s="2462">
        <f t="shared" si="9"/>
        <v>0</v>
      </c>
      <c r="CA609" s="2462"/>
      <c r="CB609" s="2462"/>
      <c r="CC609" s="2462"/>
      <c r="CD609" s="2462"/>
      <c r="CE609" s="2424">
        <f t="shared" si="10"/>
        <v>0</v>
      </c>
      <c r="CF609" s="2424"/>
      <c r="CG609" s="2424"/>
      <c r="CH609" s="2424"/>
      <c r="CI609" s="2424"/>
      <c r="CJ609" s="2424">
        <f t="shared" si="11"/>
        <v>0</v>
      </c>
      <c r="CK609" s="2424"/>
      <c r="CL609" s="2424"/>
      <c r="CM609" s="2424"/>
      <c r="CN609" s="2424"/>
      <c r="CO609" s="2424">
        <f t="shared" si="12"/>
        <v>0</v>
      </c>
      <c r="CP609" s="2424"/>
      <c r="CQ609" s="2424"/>
      <c r="CR609" s="2424"/>
      <c r="CS609" s="2424"/>
      <c r="CT609" s="2424">
        <f t="shared" si="13"/>
        <v>0</v>
      </c>
      <c r="CU609" s="2424"/>
      <c r="CV609" s="2424"/>
      <c r="CW609" s="2424"/>
      <c r="CX609" s="2424"/>
      <c r="CY609" s="2424">
        <f t="shared" si="14"/>
        <v>0</v>
      </c>
      <c r="CZ609" s="2424"/>
      <c r="DA609" s="2424"/>
      <c r="DB609" s="2424"/>
      <c r="DC609" s="2424"/>
      <c r="DD609" s="2424">
        <f t="shared" si="15"/>
        <v>0</v>
      </c>
      <c r="DE609" s="2424"/>
      <c r="DF609" s="2424"/>
      <c r="DG609" s="2424"/>
      <c r="DH609" s="2424"/>
    </row>
    <row r="610" spans="1:112" ht="12.75">
      <c r="A610" s="63" t="s">
        <v>726</v>
      </c>
      <c r="B610" s="63"/>
      <c r="C610" s="63" t="s">
        <v>928</v>
      </c>
      <c r="AM610" s="72"/>
      <c r="AN610" s="72"/>
      <c r="AO610" s="72"/>
      <c r="AP610" s="72"/>
      <c r="AQ610" s="72"/>
      <c r="AR610" s="2466">
        <f t="shared" si="0"/>
        <v>0</v>
      </c>
      <c r="AS610" s="2467"/>
      <c r="AT610" s="2439">
        <f t="shared" si="1"/>
        <v>0</v>
      </c>
      <c r="AU610" s="2440"/>
      <c r="AV610" s="2466">
        <f t="shared" si="2"/>
        <v>0</v>
      </c>
      <c r="AW610" s="2467"/>
      <c r="AX610" s="2439">
        <f t="shared" si="3"/>
        <v>0</v>
      </c>
      <c r="AY610" s="2440"/>
      <c r="AZ610" s="72"/>
      <c r="BA610" s="2462">
        <f t="shared" si="4"/>
        <v>0</v>
      </c>
      <c r="BB610" s="2462"/>
      <c r="BC610" s="2462"/>
      <c r="BD610" s="2462"/>
      <c r="BE610" s="2462"/>
      <c r="BF610" s="2462">
        <f t="shared" si="5"/>
        <v>0</v>
      </c>
      <c r="BG610" s="2462"/>
      <c r="BH610" s="2462"/>
      <c r="BI610" s="2462"/>
      <c r="BJ610" s="2462"/>
      <c r="BK610" s="2462">
        <f t="shared" si="6"/>
        <v>0</v>
      </c>
      <c r="BL610" s="2462"/>
      <c r="BM610" s="2462"/>
      <c r="BN610" s="2462"/>
      <c r="BO610" s="2462"/>
      <c r="BP610" s="2462">
        <f t="shared" si="7"/>
        <v>0</v>
      </c>
      <c r="BQ610" s="2462"/>
      <c r="BR610" s="2462"/>
      <c r="BS610" s="2462"/>
      <c r="BT610" s="2462"/>
      <c r="BU610" s="2462">
        <f t="shared" si="8"/>
        <v>0</v>
      </c>
      <c r="BV610" s="2462"/>
      <c r="BW610" s="2462"/>
      <c r="BX610" s="2462"/>
      <c r="BY610" s="2462"/>
      <c r="BZ610" s="2462">
        <f t="shared" si="9"/>
        <v>0</v>
      </c>
      <c r="CA610" s="2462"/>
      <c r="CB610" s="2462"/>
      <c r="CC610" s="2462"/>
      <c r="CD610" s="2462"/>
      <c r="CE610" s="2424">
        <f t="shared" si="10"/>
        <v>0</v>
      </c>
      <c r="CF610" s="2424"/>
      <c r="CG610" s="2424"/>
      <c r="CH610" s="2424"/>
      <c r="CI610" s="2424"/>
      <c r="CJ610" s="2424">
        <f t="shared" si="11"/>
        <v>0</v>
      </c>
      <c r="CK610" s="2424"/>
      <c r="CL610" s="2424"/>
      <c r="CM610" s="2424"/>
      <c r="CN610" s="2424"/>
      <c r="CO610" s="2424">
        <f t="shared" si="12"/>
        <v>0</v>
      </c>
      <c r="CP610" s="2424"/>
      <c r="CQ610" s="2424"/>
      <c r="CR610" s="2424"/>
      <c r="CS610" s="2424"/>
      <c r="CT610" s="2424">
        <f t="shared" si="13"/>
        <v>0</v>
      </c>
      <c r="CU610" s="2424"/>
      <c r="CV610" s="2424"/>
      <c r="CW610" s="2424"/>
      <c r="CX610" s="2424"/>
      <c r="CY610" s="2424">
        <f t="shared" si="14"/>
        <v>0</v>
      </c>
      <c r="CZ610" s="2424"/>
      <c r="DA610" s="2424"/>
      <c r="DB610" s="2424"/>
      <c r="DC610" s="2424"/>
      <c r="DD610" s="2424">
        <f t="shared" si="15"/>
        <v>0</v>
      </c>
      <c r="DE610" s="2424"/>
      <c r="DF610" s="2424"/>
      <c r="DG610" s="2424"/>
      <c r="DH610" s="2424"/>
    </row>
    <row r="611" spans="1:112" ht="12.75">
      <c r="A611" s="63"/>
      <c r="B611" s="63"/>
      <c r="C611" s="63"/>
      <c r="AM611" s="72"/>
      <c r="AN611" s="72"/>
      <c r="AO611" s="72"/>
      <c r="AP611" s="72"/>
      <c r="AQ611" s="72"/>
      <c r="AR611" s="2466">
        <f t="shared" si="0"/>
        <v>0</v>
      </c>
      <c r="AS611" s="2467"/>
      <c r="AT611" s="2439">
        <f t="shared" si="1"/>
        <v>0</v>
      </c>
      <c r="AU611" s="2440"/>
      <c r="AV611" s="2466">
        <f t="shared" si="2"/>
        <v>0</v>
      </c>
      <c r="AW611" s="2467"/>
      <c r="AX611" s="2439">
        <f t="shared" si="3"/>
        <v>0</v>
      </c>
      <c r="AY611" s="2440"/>
      <c r="AZ611" s="72"/>
      <c r="BA611" s="2462">
        <f t="shared" si="4"/>
        <v>0</v>
      </c>
      <c r="BB611" s="2462"/>
      <c r="BC611" s="2462"/>
      <c r="BD611" s="2462"/>
      <c r="BE611" s="2462"/>
      <c r="BF611" s="2462">
        <f t="shared" si="5"/>
        <v>0</v>
      </c>
      <c r="BG611" s="2462"/>
      <c r="BH611" s="2462"/>
      <c r="BI611" s="2462"/>
      <c r="BJ611" s="2462"/>
      <c r="BK611" s="2462">
        <f t="shared" si="6"/>
        <v>0</v>
      </c>
      <c r="BL611" s="2462"/>
      <c r="BM611" s="2462"/>
      <c r="BN611" s="2462"/>
      <c r="BO611" s="2462"/>
      <c r="BP611" s="2462">
        <f t="shared" si="7"/>
        <v>0</v>
      </c>
      <c r="BQ611" s="2462"/>
      <c r="BR611" s="2462"/>
      <c r="BS611" s="2462"/>
      <c r="BT611" s="2462"/>
      <c r="BU611" s="2462">
        <f t="shared" si="8"/>
        <v>0</v>
      </c>
      <c r="BV611" s="2462"/>
      <c r="BW611" s="2462"/>
      <c r="BX611" s="2462"/>
      <c r="BY611" s="2462"/>
      <c r="BZ611" s="2462">
        <f t="shared" si="9"/>
        <v>0</v>
      </c>
      <c r="CA611" s="2462"/>
      <c r="CB611" s="2462"/>
      <c r="CC611" s="2462"/>
      <c r="CD611" s="2462"/>
      <c r="CE611" s="2424">
        <f t="shared" si="10"/>
        <v>0</v>
      </c>
      <c r="CF611" s="2424"/>
      <c r="CG611" s="2424"/>
      <c r="CH611" s="2424"/>
      <c r="CI611" s="2424"/>
      <c r="CJ611" s="2424">
        <f t="shared" si="11"/>
        <v>0</v>
      </c>
      <c r="CK611" s="2424"/>
      <c r="CL611" s="2424"/>
      <c r="CM611" s="2424"/>
      <c r="CN611" s="2424"/>
      <c r="CO611" s="2424">
        <f t="shared" si="12"/>
        <v>0</v>
      </c>
      <c r="CP611" s="2424"/>
      <c r="CQ611" s="2424"/>
      <c r="CR611" s="2424"/>
      <c r="CS611" s="2424"/>
      <c r="CT611" s="2424">
        <f t="shared" si="13"/>
        <v>0</v>
      </c>
      <c r="CU611" s="2424"/>
      <c r="CV611" s="2424"/>
      <c r="CW611" s="2424"/>
      <c r="CX611" s="2424"/>
      <c r="CY611" s="2424">
        <f t="shared" si="14"/>
        <v>0</v>
      </c>
      <c r="CZ611" s="2424"/>
      <c r="DA611" s="2424"/>
      <c r="DB611" s="2424"/>
      <c r="DC611" s="2424"/>
      <c r="DD611" s="2424">
        <f t="shared" si="15"/>
        <v>0</v>
      </c>
      <c r="DE611" s="2424"/>
      <c r="DF611" s="2424"/>
      <c r="DG611" s="2424"/>
      <c r="DH611" s="2424"/>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2466">
        <f>SUM(AT587:AU611)</f>
        <v>63</v>
      </c>
      <c r="AU612" s="2467"/>
      <c r="AV612" s="72"/>
      <c r="AW612" s="72"/>
      <c r="AX612" s="2466">
        <f>SUM(AX587:AY611)</f>
        <v>10</v>
      </c>
      <c r="AY612" s="2467"/>
      <c r="AZ612" s="72"/>
      <c r="BA612" s="2438">
        <f>SUM(BA587:BE611)</f>
        <v>100</v>
      </c>
      <c r="BB612" s="2438"/>
      <c r="BC612" s="2438"/>
      <c r="BD612" s="2438"/>
      <c r="BE612" s="2438"/>
      <c r="BF612" s="2438">
        <f>SUM(BF587:BJ611)</f>
        <v>0</v>
      </c>
      <c r="BG612" s="2438"/>
      <c r="BH612" s="2438"/>
      <c r="BI612" s="2438"/>
      <c r="BJ612" s="2438"/>
      <c r="BK612" s="2438">
        <f>SUM(BK587:BO611)</f>
        <v>0</v>
      </c>
      <c r="BL612" s="2438"/>
      <c r="BM612" s="2438"/>
      <c r="BN612" s="2438"/>
      <c r="BO612" s="2438"/>
      <c r="BP612" s="2438">
        <f>SUM(BP587:BT611)</f>
        <v>0</v>
      </c>
      <c r="BQ612" s="2438"/>
      <c r="BR612" s="2438"/>
      <c r="BS612" s="2438"/>
      <c r="BT612" s="2438"/>
      <c r="BU612" s="2438">
        <f>SUM(BU587:BY611)</f>
        <v>0</v>
      </c>
      <c r="BV612" s="2438"/>
      <c r="BW612" s="2438"/>
      <c r="BX612" s="2438"/>
      <c r="BY612" s="2438"/>
      <c r="BZ612" s="2438">
        <f>SUM(BZ587:CD611)</f>
        <v>0</v>
      </c>
      <c r="CA612" s="2438"/>
      <c r="CB612" s="2438"/>
      <c r="CC612" s="2438"/>
      <c r="CD612" s="2438"/>
      <c r="CE612" s="2438">
        <f>SUM(CE587:CI611)</f>
        <v>10</v>
      </c>
      <c r="CF612" s="2438"/>
      <c r="CG612" s="2438"/>
      <c r="CH612" s="2438"/>
      <c r="CI612" s="2438"/>
      <c r="CJ612" s="2438">
        <f>SUM(CJ587:CN611)</f>
        <v>0</v>
      </c>
      <c r="CK612" s="2438"/>
      <c r="CL612" s="2438"/>
      <c r="CM612" s="2438"/>
      <c r="CN612" s="2438"/>
      <c r="CO612" s="2438">
        <f>SUM(CO587:CS611)</f>
        <v>0</v>
      </c>
      <c r="CP612" s="2438"/>
      <c r="CQ612" s="2438"/>
      <c r="CR612" s="2438"/>
      <c r="CS612" s="2438"/>
      <c r="CT612" s="2438">
        <f>SUM(CT587:CX611)</f>
        <v>0</v>
      </c>
      <c r="CU612" s="2438"/>
      <c r="CV612" s="2438"/>
      <c r="CW612" s="2438"/>
      <c r="CX612" s="2438"/>
      <c r="CY612" s="2438">
        <f>SUM(CY587:DC611)</f>
        <v>0</v>
      </c>
      <c r="CZ612" s="2438"/>
      <c r="DA612" s="2438"/>
      <c r="DB612" s="2438"/>
      <c r="DC612" s="2438"/>
      <c r="DD612" s="2438">
        <f>SUM(DD587:DH611)</f>
        <v>0</v>
      </c>
      <c r="DE612" s="2438"/>
      <c r="DF612" s="2438"/>
      <c r="DG612" s="2438"/>
      <c r="DH612" s="243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100</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721" t="s">
        <v>814</v>
      </c>
      <c r="C614" s="2722"/>
      <c r="D614" s="2722"/>
      <c r="E614" s="2722"/>
      <c r="F614" s="2722"/>
      <c r="G614" s="2722"/>
      <c r="H614" s="2722"/>
      <c r="I614" s="2722"/>
      <c r="J614" s="2722"/>
      <c r="K614" s="2722"/>
      <c r="L614" s="2722"/>
      <c r="M614" s="2722"/>
      <c r="N614" s="2722"/>
      <c r="O614" s="2723"/>
      <c r="P614" s="2741" t="s">
        <v>494</v>
      </c>
      <c r="Q614" s="2742"/>
      <c r="R614" s="2743"/>
      <c r="S614" s="2732" t="s">
        <v>815</v>
      </c>
      <c r="T614" s="2733"/>
      <c r="U614" s="2734"/>
      <c r="V614" s="2673" t="s">
        <v>923</v>
      </c>
      <c r="W614" s="2673"/>
      <c r="X614" s="2673"/>
      <c r="Y614" s="2673"/>
      <c r="Z614" s="2673"/>
      <c r="AA614" s="2673"/>
      <c r="AB614" s="2673" t="s">
        <v>922</v>
      </c>
      <c r="AC614" s="2673"/>
      <c r="AD614" s="2673"/>
      <c r="AE614" s="2673"/>
      <c r="AF614" s="2673"/>
      <c r="AG614" s="2673" t="s">
        <v>816</v>
      </c>
      <c r="AH614" s="2673"/>
      <c r="AI614" s="2673"/>
      <c r="AJ614" s="2673"/>
      <c r="AK614" s="2673"/>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100</v>
      </c>
      <c r="CE614" s="72"/>
      <c r="CF614" s="72"/>
      <c r="CG614" s="72"/>
      <c r="CH614" s="72"/>
      <c r="CI614" s="72"/>
      <c r="CJ614" s="72"/>
      <c r="CK614" s="72"/>
      <c r="CL614" s="72"/>
      <c r="CM614" s="72"/>
      <c r="CN614" s="72"/>
      <c r="CO614" s="72"/>
      <c r="CP614" s="72"/>
      <c r="CQ614" s="72"/>
      <c r="CR614" s="72"/>
    </row>
    <row r="615" spans="1:112" ht="12.75" customHeight="1">
      <c r="B615" s="2724"/>
      <c r="C615" s="2725"/>
      <c r="D615" s="2725"/>
      <c r="E615" s="2725"/>
      <c r="F615" s="2725"/>
      <c r="G615" s="2725"/>
      <c r="H615" s="2725"/>
      <c r="I615" s="2725"/>
      <c r="J615" s="2725"/>
      <c r="K615" s="2725"/>
      <c r="L615" s="2725"/>
      <c r="M615" s="2725"/>
      <c r="N615" s="2725"/>
      <c r="O615" s="2726"/>
      <c r="P615" s="2744"/>
      <c r="Q615" s="2745"/>
      <c r="R615" s="2746"/>
      <c r="S615" s="2735"/>
      <c r="T615" s="2736"/>
      <c r="U615" s="2737"/>
      <c r="V615" s="2673"/>
      <c r="W615" s="2673"/>
      <c r="X615" s="2673"/>
      <c r="Y615" s="2673"/>
      <c r="Z615" s="2673"/>
      <c r="AA615" s="2673"/>
      <c r="AB615" s="2673"/>
      <c r="AC615" s="2673"/>
      <c r="AD615" s="2673"/>
      <c r="AE615" s="2673"/>
      <c r="AF615" s="2673"/>
      <c r="AG615" s="2673"/>
      <c r="AH615" s="2673"/>
      <c r="AI615" s="2673"/>
      <c r="AJ615" s="2673"/>
      <c r="AK615" s="2673"/>
      <c r="AM615" s="75"/>
      <c r="AN615" s="75"/>
      <c r="AO615" s="75"/>
      <c r="AP615" s="75"/>
      <c r="AQ615" s="75"/>
      <c r="AR615" s="75"/>
      <c r="AS615" s="75"/>
      <c r="AT615" s="75"/>
      <c r="AU615" s="75"/>
      <c r="AV615" s="75"/>
      <c r="AW615" s="75"/>
      <c r="AX615" s="75"/>
      <c r="AY615" s="75"/>
      <c r="AZ615" s="75"/>
      <c r="BA615" s="2462">
        <f>IF(J737="SRO/Studio",O737,0)</f>
        <v>3</v>
      </c>
      <c r="BB615" s="2462"/>
      <c r="BC615" s="2462"/>
      <c r="BD615" s="2462"/>
      <c r="BE615" s="2462"/>
      <c r="BF615" s="2462">
        <f>IF(J737="1 Bedroom",O737,0)</f>
        <v>0</v>
      </c>
      <c r="BG615" s="2462"/>
      <c r="BH615" s="2462"/>
      <c r="BI615" s="2462"/>
      <c r="BJ615" s="2462"/>
      <c r="BK615" s="2462">
        <f>IF(J737="2 Bedrooms",O737,0)</f>
        <v>0</v>
      </c>
      <c r="BL615" s="2462"/>
      <c r="BM615" s="2462"/>
      <c r="BN615" s="2462"/>
      <c r="BO615" s="2462"/>
      <c r="BP615" s="2462">
        <f>IF(J737="3 Bedrooms",O737,0)</f>
        <v>0</v>
      </c>
      <c r="BQ615" s="2462"/>
      <c r="BR615" s="2462"/>
      <c r="BS615" s="2462"/>
      <c r="BT615" s="2462"/>
      <c r="BU615" s="2462">
        <f>IF(J737="4 Bedrooms",O737,0)</f>
        <v>0</v>
      </c>
      <c r="BV615" s="2462"/>
      <c r="BW615" s="2462"/>
      <c r="BX615" s="2462"/>
      <c r="BY615" s="2462"/>
      <c r="BZ615" s="2462">
        <f>IF(J737="5 Bedrooms",O737,0)</f>
        <v>0</v>
      </c>
      <c r="CA615" s="2462"/>
      <c r="CB615" s="2462"/>
      <c r="CC615" s="2462"/>
      <c r="CD615" s="2468"/>
      <c r="CE615" s="72"/>
      <c r="CF615" s="72"/>
      <c r="CG615" s="72"/>
      <c r="CH615" s="72"/>
      <c r="CI615" s="72"/>
      <c r="CJ615" s="72"/>
      <c r="CK615" s="72"/>
      <c r="CL615" s="72"/>
      <c r="CM615" s="72"/>
      <c r="CN615" s="72"/>
      <c r="CO615" s="72"/>
      <c r="CP615" s="72"/>
      <c r="CQ615" s="72"/>
      <c r="CR615" s="72"/>
    </row>
    <row r="616" spans="1:112" ht="12.75" customHeight="1">
      <c r="B616" s="2727"/>
      <c r="C616" s="2728"/>
      <c r="D616" s="2728"/>
      <c r="E616" s="2728"/>
      <c r="F616" s="2728"/>
      <c r="G616" s="2728"/>
      <c r="H616" s="2728"/>
      <c r="I616" s="2728"/>
      <c r="J616" s="2728"/>
      <c r="K616" s="2728"/>
      <c r="L616" s="2728"/>
      <c r="M616" s="2728"/>
      <c r="N616" s="2728"/>
      <c r="O616" s="2729"/>
      <c r="P616" s="2747"/>
      <c r="Q616" s="2748"/>
      <c r="R616" s="2749"/>
      <c r="S616" s="2738"/>
      <c r="T616" s="2739"/>
      <c r="U616" s="2740"/>
      <c r="V616" s="2673"/>
      <c r="W616" s="2673"/>
      <c r="X616" s="2673"/>
      <c r="Y616" s="2673"/>
      <c r="Z616" s="2673"/>
      <c r="AA616" s="2673"/>
      <c r="AB616" s="2673"/>
      <c r="AC616" s="2673"/>
      <c r="AD616" s="2673"/>
      <c r="AE616" s="2673"/>
      <c r="AF616" s="2673"/>
      <c r="AG616" s="2673"/>
      <c r="AH616" s="2673"/>
      <c r="AI616" s="2673"/>
      <c r="AJ616" s="2673"/>
      <c r="AK616" s="2673"/>
      <c r="AM616" s="75"/>
      <c r="AN616" s="75"/>
      <c r="AO616" s="75"/>
      <c r="AP616" s="75"/>
      <c r="AQ616" s="75"/>
      <c r="AR616" s="75"/>
      <c r="AS616" s="75"/>
      <c r="AT616" s="75"/>
      <c r="AU616" s="75"/>
      <c r="AV616" s="75"/>
      <c r="AW616" s="75"/>
      <c r="AX616" s="75"/>
      <c r="AY616" s="75"/>
      <c r="AZ616" s="75"/>
      <c r="BA616" s="2462">
        <f>IF(J738="SRO/Studio",O738,0)</f>
        <v>0</v>
      </c>
      <c r="BB616" s="2462"/>
      <c r="BC616" s="2462"/>
      <c r="BD616" s="2462"/>
      <c r="BE616" s="2462"/>
      <c r="BF616" s="2462">
        <f>IF(J738="1 Bedroom",O738,0)</f>
        <v>0</v>
      </c>
      <c r="BG616" s="2462"/>
      <c r="BH616" s="2462"/>
      <c r="BI616" s="2462"/>
      <c r="BJ616" s="2462"/>
      <c r="BK616" s="2462">
        <f>IF(J738="2 Bedrooms",O738,0)</f>
        <v>1</v>
      </c>
      <c r="BL616" s="2462"/>
      <c r="BM616" s="2462"/>
      <c r="BN616" s="2462"/>
      <c r="BO616" s="2462"/>
      <c r="BP616" s="2462">
        <f>IF(J738="3 Bedrooms",O738,0)</f>
        <v>0</v>
      </c>
      <c r="BQ616" s="2462"/>
      <c r="BR616" s="2462"/>
      <c r="BS616" s="2462"/>
      <c r="BT616" s="2462"/>
      <c r="BU616" s="2462">
        <f>IF(J738="4 Bedrooms",O738,0)</f>
        <v>0</v>
      </c>
      <c r="BV616" s="2462"/>
      <c r="BW616" s="2462"/>
      <c r="BX616" s="2462"/>
      <c r="BY616" s="2462"/>
      <c r="BZ616" s="2462">
        <f>IF(J738="5 Bedrooms",O738,0)</f>
        <v>0</v>
      </c>
      <c r="CA616" s="2462"/>
      <c r="CB616" s="2462"/>
      <c r="CC616" s="2462"/>
      <c r="CD616" s="2462"/>
      <c r="CE616" s="72"/>
      <c r="CF616" s="72"/>
      <c r="CG616" s="72"/>
      <c r="CH616" s="72"/>
      <c r="CI616" s="72"/>
      <c r="CJ616" s="72"/>
      <c r="CK616" s="72"/>
      <c r="CL616" s="72"/>
      <c r="CM616" s="72"/>
      <c r="CN616" s="72"/>
      <c r="CO616" s="72"/>
      <c r="CP616" s="72"/>
      <c r="CQ616" s="72"/>
      <c r="CR616" s="72"/>
    </row>
    <row r="617" spans="1:112" ht="12.75">
      <c r="B617" s="97" t="s">
        <v>1015</v>
      </c>
      <c r="C617" s="2502" t="str">
        <f>C545</f>
        <v>Housing &amp; Healthcare Finance, LLC</v>
      </c>
      <c r="D617" s="2730"/>
      <c r="E617" s="2730"/>
      <c r="F617" s="2730"/>
      <c r="G617" s="2730"/>
      <c r="H617" s="2730"/>
      <c r="I617" s="2730"/>
      <c r="J617" s="2730"/>
      <c r="K617" s="2730"/>
      <c r="L617" s="2730"/>
      <c r="M617" s="2730"/>
      <c r="N617" s="2730"/>
      <c r="O617" s="2731"/>
      <c r="P617" s="2324">
        <f>'Applicant Notes'!W27*12</f>
        <v>480</v>
      </c>
      <c r="Q617" s="2325"/>
      <c r="R617" s="2326"/>
      <c r="S617" s="2320">
        <f>'Applicant Notes'!X22</f>
        <v>3.15E-2</v>
      </c>
      <c r="T617" s="2321"/>
      <c r="U617" s="2322"/>
      <c r="V617" s="2324"/>
      <c r="W617" s="2325"/>
      <c r="X617" s="2325"/>
      <c r="Y617" s="2325"/>
      <c r="Z617" s="2325"/>
      <c r="AA617" s="2326"/>
      <c r="AB617" s="2427">
        <f>'Applicant Notes'!X37</f>
        <v>4298176</v>
      </c>
      <c r="AC617" s="2427"/>
      <c r="AD617" s="2427"/>
      <c r="AE617" s="2427"/>
      <c r="AF617" s="2427"/>
      <c r="AG617" s="2427">
        <f>'Applicant Notes'!W39</f>
        <v>92430000</v>
      </c>
      <c r="AH617" s="2427"/>
      <c r="AI617" s="2427"/>
      <c r="AJ617" s="2427"/>
      <c r="AK617" s="2427"/>
      <c r="AM617" s="75"/>
      <c r="AN617" s="75"/>
      <c r="AO617" s="75"/>
      <c r="AP617" s="75"/>
      <c r="AQ617" s="75"/>
      <c r="AR617" s="75"/>
      <c r="AS617" s="75"/>
      <c r="AT617" s="75"/>
      <c r="AU617" s="75"/>
      <c r="AV617" s="75"/>
      <c r="AW617" s="75"/>
      <c r="AX617" s="75"/>
      <c r="AY617" s="75"/>
      <c r="AZ617" s="75"/>
      <c r="BA617" s="2462">
        <f>IF(J739="SRO/Studio",O739,0)</f>
        <v>0</v>
      </c>
      <c r="BB617" s="2462"/>
      <c r="BC617" s="2462"/>
      <c r="BD617" s="2462"/>
      <c r="BE617" s="2462"/>
      <c r="BF617" s="2462">
        <f>IF(J739="1 Bedroom",O739,0)</f>
        <v>0</v>
      </c>
      <c r="BG617" s="2462"/>
      <c r="BH617" s="2462"/>
      <c r="BI617" s="2462"/>
      <c r="BJ617" s="2462"/>
      <c r="BK617" s="2462">
        <f>IF(J739="2 Bedrooms",O739,0)</f>
        <v>0</v>
      </c>
      <c r="BL617" s="2462"/>
      <c r="BM617" s="2462"/>
      <c r="BN617" s="2462"/>
      <c r="BO617" s="2462"/>
      <c r="BP617" s="2462">
        <f>IF(J739="3 Bedrooms",O739,0)</f>
        <v>0</v>
      </c>
      <c r="BQ617" s="2462"/>
      <c r="BR617" s="2462"/>
      <c r="BS617" s="2462"/>
      <c r="BT617" s="2462"/>
      <c r="BU617" s="2462">
        <f>IF(J739="4 Bedrooms",O739,0)</f>
        <v>0</v>
      </c>
      <c r="BV617" s="2462"/>
      <c r="BW617" s="2462"/>
      <c r="BX617" s="2462"/>
      <c r="BY617" s="2462"/>
      <c r="BZ617" s="2462">
        <f>IF(J739="5 Bedrooms",O739,0)</f>
        <v>0</v>
      </c>
      <c r="CA617" s="2462"/>
      <c r="CB617" s="2462"/>
      <c r="CC617" s="2462"/>
      <c r="CD617" s="2462"/>
      <c r="CE617" s="72"/>
      <c r="CF617" s="72"/>
      <c r="CG617" s="72"/>
      <c r="CH617" s="72"/>
      <c r="CI617" s="72"/>
      <c r="CJ617" s="72"/>
      <c r="CK617" s="72"/>
      <c r="CL617" s="72"/>
      <c r="CM617" s="72"/>
      <c r="CN617" s="72"/>
      <c r="CO617" s="72"/>
      <c r="CP617" s="72"/>
      <c r="CQ617" s="72"/>
      <c r="CR617" s="72"/>
    </row>
    <row r="618" spans="1:112" ht="12.75">
      <c r="B618" s="98" t="s">
        <v>1016</v>
      </c>
      <c r="C618" s="2502" t="s">
        <v>2709</v>
      </c>
      <c r="D618" s="2313"/>
      <c r="E618" s="2313"/>
      <c r="F618" s="2313"/>
      <c r="G618" s="2313"/>
      <c r="H618" s="2313"/>
      <c r="I618" s="2313"/>
      <c r="J618" s="2313"/>
      <c r="K618" s="2313"/>
      <c r="L618" s="2313"/>
      <c r="M618" s="2313"/>
      <c r="N618" s="2313"/>
      <c r="O618" s="2323"/>
      <c r="P618" s="2324"/>
      <c r="Q618" s="2325"/>
      <c r="R618" s="2326"/>
      <c r="S618" s="2320"/>
      <c r="T618" s="2321"/>
      <c r="U618" s="2322"/>
      <c r="V618" s="2324" t="s">
        <v>872</v>
      </c>
      <c r="W618" s="2325"/>
      <c r="X618" s="2325"/>
      <c r="Y618" s="2325"/>
      <c r="Z618" s="2325"/>
      <c r="AA618" s="2326"/>
      <c r="AB618" s="2427"/>
      <c r="AC618" s="2427"/>
      <c r="AD618" s="2427"/>
      <c r="AE618" s="2427"/>
      <c r="AF618" s="2427"/>
      <c r="AG618" s="2427">
        <f>'Applicant Notes'!BM3</f>
        <v>992503</v>
      </c>
      <c r="AH618" s="2427"/>
      <c r="AI618" s="2427"/>
      <c r="AJ618" s="2427"/>
      <c r="AK618" s="2427"/>
      <c r="AM618" s="75"/>
      <c r="AN618" s="75"/>
      <c r="AO618" s="75"/>
      <c r="AP618" s="75"/>
      <c r="AQ618" s="75"/>
      <c r="AR618" s="75"/>
      <c r="AS618" s="75"/>
      <c r="AT618" s="75"/>
      <c r="AU618" s="75"/>
      <c r="AV618" s="75"/>
      <c r="AW618" s="75"/>
      <c r="AX618" s="75"/>
      <c r="AY618" s="75"/>
      <c r="AZ618" s="75"/>
      <c r="BA618" s="2462">
        <f>IF(J740="SRO/Studio",O740,0)</f>
        <v>0</v>
      </c>
      <c r="BB618" s="2462"/>
      <c r="BC618" s="2462"/>
      <c r="BD618" s="2462"/>
      <c r="BE618" s="2462"/>
      <c r="BF618" s="2462">
        <f>IF(J740="1 Bedroom",O740,0)</f>
        <v>0</v>
      </c>
      <c r="BG618" s="2462"/>
      <c r="BH618" s="2462"/>
      <c r="BI618" s="2462"/>
      <c r="BJ618" s="2462"/>
      <c r="BK618" s="2462">
        <f>IF(J740="2 Bedrooms",O740,0)</f>
        <v>0</v>
      </c>
      <c r="BL618" s="2462"/>
      <c r="BM618" s="2462"/>
      <c r="BN618" s="2462"/>
      <c r="BO618" s="2462"/>
      <c r="BP618" s="2462">
        <f>IF(J740="3 Bedrooms",O740,0)</f>
        <v>0</v>
      </c>
      <c r="BQ618" s="2462"/>
      <c r="BR618" s="2462"/>
      <c r="BS618" s="2462"/>
      <c r="BT618" s="2462"/>
      <c r="BU618" s="2462">
        <f>IF(J740="4 Bedrooms",O740,0)</f>
        <v>0</v>
      </c>
      <c r="BV618" s="2462"/>
      <c r="BW618" s="2462"/>
      <c r="BX618" s="2462"/>
      <c r="BY618" s="2462"/>
      <c r="BZ618" s="2462">
        <f>IF(J740="5 Bedrooms",O740,0)</f>
        <v>0</v>
      </c>
      <c r="CA618" s="2462"/>
      <c r="CB618" s="2462"/>
      <c r="CC618" s="2462"/>
      <c r="CD618" s="2462"/>
      <c r="CE618" s="72"/>
      <c r="CF618" s="72"/>
      <c r="CG618" s="72"/>
      <c r="CH618" s="72"/>
      <c r="CI618" s="72"/>
      <c r="CJ618" s="72"/>
      <c r="CK618" s="72"/>
      <c r="CL618" s="72"/>
      <c r="CM618" s="72"/>
      <c r="CN618" s="72"/>
      <c r="CO618" s="72"/>
      <c r="CP618" s="72"/>
      <c r="CQ618" s="72"/>
      <c r="CR618" s="72"/>
    </row>
    <row r="619" spans="1:112" ht="12.75">
      <c r="B619" s="98" t="s">
        <v>1022</v>
      </c>
      <c r="C619" s="2502"/>
      <c r="D619" s="2313"/>
      <c r="E619" s="2313"/>
      <c r="F619" s="2313"/>
      <c r="G619" s="2313"/>
      <c r="H619" s="2313"/>
      <c r="I619" s="2313"/>
      <c r="J619" s="2313"/>
      <c r="K619" s="2313"/>
      <c r="L619" s="2313"/>
      <c r="M619" s="2313"/>
      <c r="N619" s="2313"/>
      <c r="O619" s="2323"/>
      <c r="P619" s="2324"/>
      <c r="Q619" s="2325"/>
      <c r="R619" s="2326"/>
      <c r="S619" s="2320"/>
      <c r="T619" s="2321"/>
      <c r="U619" s="2322"/>
      <c r="V619" s="2324"/>
      <c r="W619" s="2325"/>
      <c r="X619" s="2325"/>
      <c r="Y619" s="2325"/>
      <c r="Z619" s="2325"/>
      <c r="AA619" s="2326"/>
      <c r="AB619" s="2427"/>
      <c r="AC619" s="2427"/>
      <c r="AD619" s="2427"/>
      <c r="AE619" s="2427"/>
      <c r="AF619" s="2427"/>
      <c r="AG619" s="2427"/>
      <c r="AH619" s="2427"/>
      <c r="AI619" s="2427"/>
      <c r="AJ619" s="2427"/>
      <c r="AK619" s="2427"/>
      <c r="AM619" s="75"/>
      <c r="AN619" s="75"/>
      <c r="AO619" s="75"/>
      <c r="AP619" s="75"/>
      <c r="AQ619" s="75"/>
      <c r="AR619" s="75"/>
      <c r="AS619" s="75"/>
      <c r="AT619" s="75"/>
      <c r="AU619" s="75"/>
      <c r="AV619" s="75"/>
      <c r="AW619" s="75"/>
      <c r="AX619" s="75"/>
      <c r="AY619" s="75"/>
      <c r="AZ619" s="75"/>
      <c r="BA619" s="2463">
        <f>SUM(BA615:BE618)</f>
        <v>3</v>
      </c>
      <c r="BB619" s="2464"/>
      <c r="BC619" s="2464"/>
      <c r="BD619" s="2464"/>
      <c r="BE619" s="2465"/>
      <c r="BF619" s="2463">
        <f>SUM(BF615:BJ618)</f>
        <v>0</v>
      </c>
      <c r="BG619" s="2464"/>
      <c r="BH619" s="2464"/>
      <c r="BI619" s="2464"/>
      <c r="BJ619" s="2465"/>
      <c r="BK619" s="2463">
        <f>SUM(BK615:BO618)</f>
        <v>1</v>
      </c>
      <c r="BL619" s="2464"/>
      <c r="BM619" s="2464"/>
      <c r="BN619" s="2464"/>
      <c r="BO619" s="2465"/>
      <c r="BP619" s="2463">
        <f>SUM(BP615:BT618)</f>
        <v>0</v>
      </c>
      <c r="BQ619" s="2464"/>
      <c r="BR619" s="2464"/>
      <c r="BS619" s="2464"/>
      <c r="BT619" s="2465"/>
      <c r="BU619" s="2463">
        <f>SUM(BU615:BY618)</f>
        <v>0</v>
      </c>
      <c r="BV619" s="2464"/>
      <c r="BW619" s="2464"/>
      <c r="BX619" s="2464"/>
      <c r="BY619" s="2465"/>
      <c r="BZ619" s="2463">
        <f>SUM(BZ615:CD618)</f>
        <v>0</v>
      </c>
      <c r="CA619" s="2464"/>
      <c r="CB619" s="2464"/>
      <c r="CC619" s="2464"/>
      <c r="CD619" s="2465"/>
      <c r="CE619" s="72"/>
      <c r="CF619" s="72"/>
      <c r="CG619" s="72"/>
      <c r="CH619" s="72"/>
      <c r="CI619" s="72"/>
      <c r="CJ619" s="72"/>
      <c r="CK619" s="72"/>
      <c r="CL619" s="72"/>
      <c r="CM619" s="72"/>
      <c r="CN619" s="72"/>
      <c r="CO619" s="72"/>
      <c r="CP619" s="72"/>
      <c r="CQ619" s="72"/>
      <c r="CR619" s="72"/>
    </row>
    <row r="620" spans="1:112" ht="12.75">
      <c r="B620" s="98" t="s">
        <v>485</v>
      </c>
      <c r="C620" s="2313"/>
      <c r="D620" s="2313"/>
      <c r="E620" s="2313"/>
      <c r="F620" s="2313"/>
      <c r="G620" s="2313"/>
      <c r="H620" s="2313"/>
      <c r="I620" s="2313"/>
      <c r="J620" s="2313"/>
      <c r="K620" s="2313"/>
      <c r="L620" s="2313"/>
      <c r="M620" s="2313"/>
      <c r="N620" s="2313"/>
      <c r="O620" s="2323"/>
      <c r="P620" s="2324"/>
      <c r="Q620" s="2325"/>
      <c r="R620" s="2326"/>
      <c r="S620" s="2320"/>
      <c r="T620" s="2321"/>
      <c r="U620" s="2322"/>
      <c r="V620" s="2324"/>
      <c r="W620" s="2325"/>
      <c r="X620" s="2325"/>
      <c r="Y620" s="2325"/>
      <c r="Z620" s="2325"/>
      <c r="AA620" s="2326"/>
      <c r="AB620" s="2427"/>
      <c r="AC620" s="2427"/>
      <c r="AD620" s="2427"/>
      <c r="AE620" s="2427"/>
      <c r="AF620" s="2427"/>
      <c r="AG620" s="2427"/>
      <c r="AH620" s="2427"/>
      <c r="AI620" s="2427"/>
      <c r="AJ620" s="2427"/>
      <c r="AK620" s="2427"/>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2313"/>
      <c r="D621" s="2313"/>
      <c r="E621" s="2313"/>
      <c r="F621" s="2313"/>
      <c r="G621" s="2313"/>
      <c r="H621" s="2313"/>
      <c r="I621" s="2313"/>
      <c r="J621" s="2313"/>
      <c r="K621" s="2313"/>
      <c r="L621" s="2313"/>
      <c r="M621" s="2313"/>
      <c r="N621" s="2313"/>
      <c r="O621" s="2323"/>
      <c r="P621" s="2324"/>
      <c r="Q621" s="2325"/>
      <c r="R621" s="2326"/>
      <c r="S621" s="2320"/>
      <c r="T621" s="2321"/>
      <c r="U621" s="2322"/>
      <c r="V621" s="2324"/>
      <c r="W621" s="2325"/>
      <c r="X621" s="2325"/>
      <c r="Y621" s="2325"/>
      <c r="Z621" s="2325"/>
      <c r="AA621" s="2326"/>
      <c r="AB621" s="2427"/>
      <c r="AC621" s="2427"/>
      <c r="AD621" s="2427"/>
      <c r="AE621" s="2427"/>
      <c r="AF621" s="2427"/>
      <c r="AG621" s="2427"/>
      <c r="AH621" s="2427"/>
      <c r="AI621" s="2427"/>
      <c r="AJ621" s="2427"/>
      <c r="AK621" s="2427"/>
      <c r="AM621" s="75"/>
      <c r="AN621" s="75"/>
      <c r="AO621" s="75"/>
      <c r="AP621" s="75"/>
      <c r="AQ621" s="75"/>
      <c r="AR621" s="75"/>
      <c r="AS621" s="75"/>
      <c r="AT621" s="75"/>
      <c r="AU621" s="75"/>
      <c r="AV621" s="75"/>
      <c r="AW621" s="75"/>
      <c r="AX621" s="75"/>
      <c r="AY621" s="75"/>
      <c r="AZ621" s="75"/>
      <c r="BA621" s="2462">
        <f t="shared" ref="BA621:BA630" si="16">IF(J751="SRO/Studio",O751,0)</f>
        <v>307</v>
      </c>
      <c r="BB621" s="2462"/>
      <c r="BC621" s="2462"/>
      <c r="BD621" s="2462"/>
      <c r="BE621" s="2462"/>
      <c r="BF621" s="2462">
        <f t="shared" ref="BF621:BF630" si="17">IF(J751="1 Bedroom",O751,0)</f>
        <v>0</v>
      </c>
      <c r="BG621" s="2462"/>
      <c r="BH621" s="2462"/>
      <c r="BI621" s="2462"/>
      <c r="BJ621" s="2462"/>
      <c r="BK621" s="2462">
        <f t="shared" ref="BK621:BK630" si="18">IF(J751="2 Bedrooms",O751,0)</f>
        <v>0</v>
      </c>
      <c r="BL621" s="2462"/>
      <c r="BM621" s="2462"/>
      <c r="BN621" s="2462"/>
      <c r="BO621" s="2462"/>
      <c r="BP621" s="2462">
        <f t="shared" ref="BP621:BP630" si="19">IF(J751="3 Bedrooms",O751,0)</f>
        <v>0</v>
      </c>
      <c r="BQ621" s="2462"/>
      <c r="BR621" s="2462"/>
      <c r="BS621" s="2462"/>
      <c r="BT621" s="2462"/>
      <c r="BU621" s="2462">
        <f t="shared" ref="BU621:BU630" si="20">IF(J751="4 Bedrooms",O751,0)</f>
        <v>0</v>
      </c>
      <c r="BV621" s="2462"/>
      <c r="BW621" s="2462"/>
      <c r="BX621" s="2462"/>
      <c r="BY621" s="2462"/>
      <c r="BZ621" s="2462">
        <f t="shared" ref="BZ621:BZ630" si="21">IF(J751="5 Bedrooms",O751,0)</f>
        <v>0</v>
      </c>
      <c r="CA621" s="2462"/>
      <c r="CB621" s="2462"/>
      <c r="CC621" s="2462"/>
      <c r="CD621" s="2462"/>
      <c r="CE621" s="72"/>
      <c r="CF621" s="72"/>
      <c r="CG621" s="72"/>
      <c r="CH621" s="72"/>
      <c r="CI621" s="72"/>
      <c r="CJ621" s="72"/>
      <c r="CK621" s="72"/>
      <c r="CL621" s="72"/>
      <c r="CM621" s="72"/>
      <c r="CN621" s="72"/>
      <c r="CO621" s="72"/>
      <c r="CP621" s="72"/>
      <c r="CQ621" s="72"/>
      <c r="CR621" s="72"/>
    </row>
    <row r="622" spans="1:112" ht="12.75">
      <c r="B622" s="98" t="s">
        <v>488</v>
      </c>
      <c r="C622" s="2313"/>
      <c r="D622" s="2313"/>
      <c r="E622" s="2313"/>
      <c r="F622" s="2313"/>
      <c r="G622" s="2313"/>
      <c r="H622" s="2313"/>
      <c r="I622" s="2313"/>
      <c r="J622" s="2313"/>
      <c r="K622" s="2313"/>
      <c r="L622" s="2313"/>
      <c r="M622" s="2313"/>
      <c r="N622" s="2313"/>
      <c r="O622" s="2323"/>
      <c r="P622" s="2324"/>
      <c r="Q622" s="2325"/>
      <c r="R622" s="2326"/>
      <c r="S622" s="2320"/>
      <c r="T622" s="2321"/>
      <c r="U622" s="2322"/>
      <c r="V622" s="2324"/>
      <c r="W622" s="2325"/>
      <c r="X622" s="2325"/>
      <c r="Y622" s="2325"/>
      <c r="Z622" s="2325"/>
      <c r="AA622" s="2326"/>
      <c r="AB622" s="2427"/>
      <c r="AC622" s="2427"/>
      <c r="AD622" s="2427"/>
      <c r="AE622" s="2427"/>
      <c r="AF622" s="2427"/>
      <c r="AG622" s="2427"/>
      <c r="AH622" s="2427"/>
      <c r="AI622" s="2427"/>
      <c r="AJ622" s="2427"/>
      <c r="AK622" s="2427"/>
      <c r="AM622" s="75"/>
      <c r="AN622" s="75"/>
      <c r="AO622" s="75"/>
      <c r="AP622" s="75"/>
      <c r="AQ622" s="75"/>
      <c r="AR622" s="75"/>
      <c r="AS622" s="75"/>
      <c r="AT622" s="75"/>
      <c r="AU622" s="75"/>
      <c r="AV622" s="75"/>
      <c r="AW622" s="75"/>
      <c r="AX622" s="75"/>
      <c r="AY622" s="75"/>
      <c r="AZ622" s="75"/>
      <c r="BA622" s="2462">
        <f t="shared" si="16"/>
        <v>89</v>
      </c>
      <c r="BB622" s="2462"/>
      <c r="BC622" s="2462"/>
      <c r="BD622" s="2462"/>
      <c r="BE622" s="2462"/>
      <c r="BF622" s="2462">
        <f t="shared" si="17"/>
        <v>0</v>
      </c>
      <c r="BG622" s="2462"/>
      <c r="BH622" s="2462"/>
      <c r="BI622" s="2462"/>
      <c r="BJ622" s="2462"/>
      <c r="BK622" s="2462">
        <f t="shared" si="18"/>
        <v>0</v>
      </c>
      <c r="BL622" s="2462"/>
      <c r="BM622" s="2462"/>
      <c r="BN622" s="2462"/>
      <c r="BO622" s="2462"/>
      <c r="BP622" s="2462">
        <f t="shared" si="19"/>
        <v>0</v>
      </c>
      <c r="BQ622" s="2462"/>
      <c r="BR622" s="2462"/>
      <c r="BS622" s="2462"/>
      <c r="BT622" s="2462"/>
      <c r="BU622" s="2462">
        <f t="shared" si="20"/>
        <v>0</v>
      </c>
      <c r="BV622" s="2462"/>
      <c r="BW622" s="2462"/>
      <c r="BX622" s="2462"/>
      <c r="BY622" s="2462"/>
      <c r="BZ622" s="2462">
        <f t="shared" si="21"/>
        <v>0</v>
      </c>
      <c r="CA622" s="2462"/>
      <c r="CB622" s="2462"/>
      <c r="CC622" s="2462"/>
      <c r="CD622" s="2462"/>
      <c r="CE622" s="72"/>
      <c r="CF622" s="72"/>
      <c r="CG622" s="72"/>
      <c r="CH622" s="72"/>
      <c r="CI622" s="72"/>
      <c r="CJ622" s="72"/>
      <c r="CK622" s="72"/>
      <c r="CL622" s="72"/>
      <c r="CM622" s="72"/>
      <c r="CN622" s="72"/>
      <c r="CO622" s="72"/>
      <c r="CP622" s="72"/>
      <c r="CQ622" s="72"/>
      <c r="CR622" s="72"/>
    </row>
    <row r="623" spans="1:112" ht="12.75">
      <c r="B623" s="98" t="s">
        <v>817</v>
      </c>
      <c r="C623" s="2313"/>
      <c r="D623" s="2313"/>
      <c r="E623" s="2313"/>
      <c r="F623" s="2313"/>
      <c r="G623" s="2313"/>
      <c r="H623" s="2313"/>
      <c r="I623" s="2313"/>
      <c r="J623" s="2313"/>
      <c r="K623" s="2313"/>
      <c r="L623" s="2313"/>
      <c r="M623" s="2313"/>
      <c r="N623" s="2313"/>
      <c r="O623" s="2323"/>
      <c r="P623" s="2324"/>
      <c r="Q623" s="2325"/>
      <c r="R623" s="2326"/>
      <c r="S623" s="2320"/>
      <c r="T623" s="2321"/>
      <c r="U623" s="2322"/>
      <c r="V623" s="2324"/>
      <c r="W623" s="2325"/>
      <c r="X623" s="2325"/>
      <c r="Y623" s="2325"/>
      <c r="Z623" s="2325"/>
      <c r="AA623" s="2326"/>
      <c r="AB623" s="2427"/>
      <c r="AC623" s="2427"/>
      <c r="AD623" s="2427"/>
      <c r="AE623" s="2427"/>
      <c r="AF623" s="2427"/>
      <c r="AG623" s="2427"/>
      <c r="AH623" s="2427"/>
      <c r="AI623" s="2427"/>
      <c r="AJ623" s="2427"/>
      <c r="AK623" s="2427"/>
      <c r="AM623" s="75"/>
      <c r="AN623" s="75"/>
      <c r="AO623" s="75"/>
      <c r="AP623" s="75"/>
      <c r="AQ623" s="75"/>
      <c r="AR623" s="75"/>
      <c r="AS623" s="75"/>
      <c r="AT623" s="75"/>
      <c r="AU623" s="75"/>
      <c r="AV623" s="75"/>
      <c r="AW623" s="75"/>
      <c r="AX623" s="75"/>
      <c r="AY623" s="75"/>
      <c r="AZ623" s="75"/>
      <c r="BA623" s="2462">
        <f t="shared" si="16"/>
        <v>0</v>
      </c>
      <c r="BB623" s="2462"/>
      <c r="BC623" s="2462"/>
      <c r="BD623" s="2462"/>
      <c r="BE623" s="2462"/>
      <c r="BF623" s="2462">
        <f t="shared" si="17"/>
        <v>0</v>
      </c>
      <c r="BG623" s="2462"/>
      <c r="BH623" s="2462"/>
      <c r="BI623" s="2462"/>
      <c r="BJ623" s="2462"/>
      <c r="BK623" s="2462">
        <f t="shared" si="18"/>
        <v>0</v>
      </c>
      <c r="BL623" s="2462"/>
      <c r="BM623" s="2462"/>
      <c r="BN623" s="2462"/>
      <c r="BO623" s="2462"/>
      <c r="BP623" s="2462">
        <f t="shared" si="19"/>
        <v>0</v>
      </c>
      <c r="BQ623" s="2462"/>
      <c r="BR623" s="2462"/>
      <c r="BS623" s="2462"/>
      <c r="BT623" s="2462"/>
      <c r="BU623" s="2462">
        <f t="shared" si="20"/>
        <v>0</v>
      </c>
      <c r="BV623" s="2462"/>
      <c r="BW623" s="2462"/>
      <c r="BX623" s="2462"/>
      <c r="BY623" s="2462"/>
      <c r="BZ623" s="2462">
        <f t="shared" si="21"/>
        <v>0</v>
      </c>
      <c r="CA623" s="2462"/>
      <c r="CB623" s="2462"/>
      <c r="CC623" s="2462"/>
      <c r="CD623" s="2462"/>
      <c r="CE623" s="72"/>
      <c r="CF623" s="72"/>
      <c r="CG623" s="72"/>
      <c r="CH623" s="72"/>
      <c r="CI623" s="72"/>
      <c r="CJ623" s="72"/>
      <c r="CK623" s="72"/>
      <c r="CL623" s="72"/>
      <c r="CM623" s="72"/>
      <c r="CN623" s="72"/>
      <c r="CO623" s="72"/>
      <c r="CP623" s="72"/>
      <c r="CQ623" s="72"/>
      <c r="CR623" s="72"/>
    </row>
    <row r="624" spans="1:112" ht="12.75">
      <c r="B624" s="98" t="s">
        <v>818</v>
      </c>
      <c r="C624" s="2313"/>
      <c r="D624" s="2313"/>
      <c r="E624" s="2313"/>
      <c r="F624" s="2313"/>
      <c r="G624" s="2313"/>
      <c r="H624" s="2313"/>
      <c r="I624" s="2313"/>
      <c r="J624" s="2313"/>
      <c r="K624" s="2313"/>
      <c r="L624" s="2313"/>
      <c r="M624" s="2313"/>
      <c r="N624" s="2313"/>
      <c r="O624" s="2323"/>
      <c r="P624" s="2324"/>
      <c r="Q624" s="2325"/>
      <c r="R624" s="2326"/>
      <c r="S624" s="2320"/>
      <c r="T624" s="2321"/>
      <c r="U624" s="2322"/>
      <c r="V624" s="2324"/>
      <c r="W624" s="2325"/>
      <c r="X624" s="2325"/>
      <c r="Y624" s="2325"/>
      <c r="Z624" s="2325"/>
      <c r="AA624" s="2326"/>
      <c r="AB624" s="2427"/>
      <c r="AC624" s="2427"/>
      <c r="AD624" s="2427"/>
      <c r="AE624" s="2427"/>
      <c r="AF624" s="2427"/>
      <c r="AG624" s="2427"/>
      <c r="AH624" s="2427"/>
      <c r="AI624" s="2427"/>
      <c r="AJ624" s="2427"/>
      <c r="AK624" s="2427"/>
      <c r="AM624" s="72"/>
      <c r="AN624" s="72"/>
      <c r="AO624" s="72"/>
      <c r="AP624" s="72"/>
      <c r="AQ624" s="72"/>
      <c r="AR624" s="72"/>
      <c r="AS624" s="72"/>
      <c r="AT624" s="72"/>
      <c r="AU624" s="72"/>
      <c r="AV624" s="72"/>
      <c r="AW624" s="72"/>
      <c r="AX624" s="72"/>
      <c r="AY624" s="72"/>
      <c r="AZ624" s="72"/>
      <c r="BA624" s="2462">
        <f t="shared" si="16"/>
        <v>0</v>
      </c>
      <c r="BB624" s="2462"/>
      <c r="BC624" s="2462"/>
      <c r="BD624" s="2462"/>
      <c r="BE624" s="2462"/>
      <c r="BF624" s="2462">
        <f t="shared" si="17"/>
        <v>0</v>
      </c>
      <c r="BG624" s="2462"/>
      <c r="BH624" s="2462"/>
      <c r="BI624" s="2462"/>
      <c r="BJ624" s="2462"/>
      <c r="BK624" s="2462">
        <f t="shared" si="18"/>
        <v>0</v>
      </c>
      <c r="BL624" s="2462"/>
      <c r="BM624" s="2462"/>
      <c r="BN624" s="2462"/>
      <c r="BO624" s="2462"/>
      <c r="BP624" s="2462">
        <f t="shared" si="19"/>
        <v>0</v>
      </c>
      <c r="BQ624" s="2462"/>
      <c r="BR624" s="2462"/>
      <c r="BS624" s="2462"/>
      <c r="BT624" s="2462"/>
      <c r="BU624" s="2462">
        <f t="shared" si="20"/>
        <v>0</v>
      </c>
      <c r="BV624" s="2462"/>
      <c r="BW624" s="2462"/>
      <c r="BX624" s="2462"/>
      <c r="BY624" s="2462"/>
      <c r="BZ624" s="2462">
        <f t="shared" si="21"/>
        <v>0</v>
      </c>
      <c r="CA624" s="2462"/>
      <c r="CB624" s="2462"/>
      <c r="CC624" s="2462"/>
      <c r="CD624" s="2462"/>
      <c r="CE624" s="72"/>
      <c r="CF624" s="72"/>
      <c r="CG624" s="72"/>
      <c r="CH624" s="72"/>
      <c r="CI624" s="72"/>
      <c r="CJ624" s="72"/>
      <c r="CK624" s="72"/>
      <c r="CL624" s="72"/>
      <c r="CM624" s="72"/>
      <c r="CN624" s="72"/>
      <c r="CO624" s="72"/>
      <c r="CP624" s="72"/>
      <c r="CQ624" s="72"/>
      <c r="CR624" s="72"/>
    </row>
    <row r="625" spans="1:96" ht="12.75">
      <c r="B625" s="98" t="s">
        <v>613</v>
      </c>
      <c r="C625" s="2313"/>
      <c r="D625" s="2313"/>
      <c r="E625" s="2313"/>
      <c r="F625" s="2313"/>
      <c r="G625" s="2313"/>
      <c r="H625" s="2313"/>
      <c r="I625" s="2313"/>
      <c r="J625" s="2313"/>
      <c r="K625" s="2313"/>
      <c r="L625" s="2313"/>
      <c r="M625" s="2313"/>
      <c r="N625" s="2313"/>
      <c r="O625" s="2323"/>
      <c r="P625" s="2324"/>
      <c r="Q625" s="2325"/>
      <c r="R625" s="2326"/>
      <c r="S625" s="2320"/>
      <c r="T625" s="2321"/>
      <c r="U625" s="2322"/>
      <c r="V625" s="2324"/>
      <c r="W625" s="2325"/>
      <c r="X625" s="2325"/>
      <c r="Y625" s="2325"/>
      <c r="Z625" s="2325"/>
      <c r="AA625" s="2326"/>
      <c r="AB625" s="2427"/>
      <c r="AC625" s="2427"/>
      <c r="AD625" s="2427"/>
      <c r="AE625" s="2427"/>
      <c r="AF625" s="2427"/>
      <c r="AG625" s="2427"/>
      <c r="AH625" s="2427"/>
      <c r="AI625" s="2427"/>
      <c r="AJ625" s="2427"/>
      <c r="AK625" s="2427"/>
      <c r="AM625" s="72"/>
      <c r="AN625" s="72"/>
      <c r="AO625" s="72"/>
      <c r="AP625" s="72"/>
      <c r="AQ625" s="72"/>
      <c r="AR625" s="72"/>
      <c r="AS625" s="72"/>
      <c r="AT625" s="72"/>
      <c r="AU625" s="72"/>
      <c r="AV625" s="72"/>
      <c r="AW625" s="72"/>
      <c r="AX625" s="72"/>
      <c r="AY625" s="72"/>
      <c r="AZ625" s="72"/>
      <c r="BA625" s="2462">
        <f t="shared" si="16"/>
        <v>0</v>
      </c>
      <c r="BB625" s="2462"/>
      <c r="BC625" s="2462"/>
      <c r="BD625" s="2462"/>
      <c r="BE625" s="2462"/>
      <c r="BF625" s="2462">
        <f t="shared" si="17"/>
        <v>0</v>
      </c>
      <c r="BG625" s="2462"/>
      <c r="BH625" s="2462"/>
      <c r="BI625" s="2462"/>
      <c r="BJ625" s="2462"/>
      <c r="BK625" s="2462">
        <f t="shared" si="18"/>
        <v>0</v>
      </c>
      <c r="BL625" s="2462"/>
      <c r="BM625" s="2462"/>
      <c r="BN625" s="2462"/>
      <c r="BO625" s="2462"/>
      <c r="BP625" s="2462">
        <f t="shared" si="19"/>
        <v>0</v>
      </c>
      <c r="BQ625" s="2462"/>
      <c r="BR625" s="2462"/>
      <c r="BS625" s="2462"/>
      <c r="BT625" s="2462"/>
      <c r="BU625" s="2462">
        <f t="shared" si="20"/>
        <v>0</v>
      </c>
      <c r="BV625" s="2462"/>
      <c r="BW625" s="2462"/>
      <c r="BX625" s="2462"/>
      <c r="BY625" s="2462"/>
      <c r="BZ625" s="2462">
        <f t="shared" si="21"/>
        <v>0</v>
      </c>
      <c r="CA625" s="2462"/>
      <c r="CB625" s="2462"/>
      <c r="CC625" s="2462"/>
      <c r="CD625" s="2462"/>
      <c r="CE625" s="72"/>
      <c r="CF625" s="72"/>
      <c r="CG625" s="72"/>
      <c r="CH625" s="72"/>
      <c r="CI625" s="72"/>
      <c r="CJ625" s="72"/>
      <c r="CK625" s="72"/>
      <c r="CL625" s="72"/>
      <c r="CM625" s="72"/>
      <c r="CN625" s="72"/>
      <c r="CO625" s="72"/>
      <c r="CP625" s="72"/>
      <c r="CQ625" s="72"/>
      <c r="CR625" s="72"/>
    </row>
    <row r="626" spans="1:96" ht="12.75">
      <c r="B626" s="98" t="s">
        <v>191</v>
      </c>
      <c r="C626" s="2313"/>
      <c r="D626" s="2313"/>
      <c r="E626" s="2313"/>
      <c r="F626" s="2313"/>
      <c r="G626" s="2313"/>
      <c r="H626" s="2313"/>
      <c r="I626" s="2313"/>
      <c r="J626" s="2313"/>
      <c r="K626" s="2313"/>
      <c r="L626" s="2313"/>
      <c r="M626" s="2313"/>
      <c r="N626" s="2313"/>
      <c r="O626" s="2323"/>
      <c r="P626" s="2324"/>
      <c r="Q626" s="2325"/>
      <c r="R626" s="2326"/>
      <c r="S626" s="2320"/>
      <c r="T626" s="2321"/>
      <c r="U626" s="2322"/>
      <c r="V626" s="2324"/>
      <c r="W626" s="2325"/>
      <c r="X626" s="2325"/>
      <c r="Y626" s="2325"/>
      <c r="Z626" s="2325"/>
      <c r="AA626" s="2326"/>
      <c r="AB626" s="2427"/>
      <c r="AC626" s="2427"/>
      <c r="AD626" s="2427"/>
      <c r="AE626" s="2427"/>
      <c r="AF626" s="2427"/>
      <c r="AG626" s="2427"/>
      <c r="AH626" s="2427"/>
      <c r="AI626" s="2427"/>
      <c r="AJ626" s="2427"/>
      <c r="AK626" s="2427"/>
      <c r="AM626" s="72"/>
      <c r="AN626" s="72"/>
      <c r="AO626" s="72"/>
      <c r="AP626" s="72"/>
      <c r="AQ626" s="72"/>
      <c r="AR626" s="72"/>
      <c r="AS626" s="72"/>
      <c r="AT626" s="72"/>
      <c r="AU626" s="72"/>
      <c r="AV626" s="72"/>
      <c r="AW626" s="72"/>
      <c r="AX626" s="72"/>
      <c r="AY626" s="72"/>
      <c r="AZ626" s="72"/>
      <c r="BA626" s="2462">
        <f t="shared" si="16"/>
        <v>0</v>
      </c>
      <c r="BB626" s="2462"/>
      <c r="BC626" s="2462"/>
      <c r="BD626" s="2462"/>
      <c r="BE626" s="2462"/>
      <c r="BF626" s="2462">
        <f t="shared" si="17"/>
        <v>0</v>
      </c>
      <c r="BG626" s="2462"/>
      <c r="BH626" s="2462"/>
      <c r="BI626" s="2462"/>
      <c r="BJ626" s="2462"/>
      <c r="BK626" s="2462">
        <f t="shared" si="18"/>
        <v>0</v>
      </c>
      <c r="BL626" s="2462"/>
      <c r="BM626" s="2462"/>
      <c r="BN626" s="2462"/>
      <c r="BO626" s="2462"/>
      <c r="BP626" s="2462">
        <f t="shared" si="19"/>
        <v>0</v>
      </c>
      <c r="BQ626" s="2462"/>
      <c r="BR626" s="2462"/>
      <c r="BS626" s="2462"/>
      <c r="BT626" s="2462"/>
      <c r="BU626" s="2462">
        <f t="shared" si="20"/>
        <v>0</v>
      </c>
      <c r="BV626" s="2462"/>
      <c r="BW626" s="2462"/>
      <c r="BX626" s="2462"/>
      <c r="BY626" s="2462"/>
      <c r="BZ626" s="2462">
        <f t="shared" si="21"/>
        <v>0</v>
      </c>
      <c r="CA626" s="2462"/>
      <c r="CB626" s="2462"/>
      <c r="CC626" s="2462"/>
      <c r="CD626" s="2462"/>
      <c r="CE626" s="72"/>
      <c r="CF626" s="72"/>
      <c r="CG626" s="72"/>
      <c r="CH626" s="72"/>
      <c r="CI626" s="72"/>
      <c r="CJ626" s="72"/>
      <c r="CK626" s="72"/>
      <c r="CL626" s="72"/>
      <c r="CM626" s="72"/>
      <c r="CN626" s="72"/>
      <c r="CO626" s="72"/>
      <c r="CP626" s="72"/>
      <c r="CQ626" s="72"/>
      <c r="CR626" s="72"/>
    </row>
    <row r="627" spans="1:96" ht="12.75" customHeight="1">
      <c r="B627" s="98" t="s">
        <v>37</v>
      </c>
      <c r="C627" s="2313"/>
      <c r="D627" s="2313"/>
      <c r="E627" s="2313"/>
      <c r="F627" s="2313"/>
      <c r="G627" s="2313"/>
      <c r="H627" s="2313"/>
      <c r="I627" s="2313"/>
      <c r="J627" s="2313"/>
      <c r="K627" s="2313"/>
      <c r="L627" s="2313"/>
      <c r="M627" s="2313"/>
      <c r="N627" s="2313"/>
      <c r="O627" s="2323"/>
      <c r="P627" s="2324"/>
      <c r="Q627" s="2325"/>
      <c r="R627" s="2326"/>
      <c r="S627" s="2320"/>
      <c r="T627" s="2321"/>
      <c r="U627" s="2322"/>
      <c r="V627" s="2324"/>
      <c r="W627" s="2325"/>
      <c r="X627" s="2325"/>
      <c r="Y627" s="2325"/>
      <c r="Z627" s="2325"/>
      <c r="AA627" s="2326"/>
      <c r="AB627" s="2427"/>
      <c r="AC627" s="2427"/>
      <c r="AD627" s="2427"/>
      <c r="AE627" s="2427"/>
      <c r="AF627" s="2427"/>
      <c r="AG627" s="2427"/>
      <c r="AH627" s="2427"/>
      <c r="AI627" s="2427"/>
      <c r="AJ627" s="2427"/>
      <c r="AK627" s="2427"/>
      <c r="AM627" s="75"/>
      <c r="AN627" s="75"/>
      <c r="AO627" s="75"/>
      <c r="AP627" s="75"/>
      <c r="AQ627" s="75"/>
      <c r="AR627" s="75"/>
      <c r="AS627" s="75"/>
      <c r="AT627" s="75"/>
      <c r="AU627" s="75"/>
      <c r="AV627" s="75"/>
      <c r="AW627" s="75"/>
      <c r="AX627" s="75"/>
      <c r="AY627" s="75"/>
      <c r="AZ627" s="75"/>
      <c r="BA627" s="2462">
        <f t="shared" si="16"/>
        <v>0</v>
      </c>
      <c r="BB627" s="2462"/>
      <c r="BC627" s="2462"/>
      <c r="BD627" s="2462"/>
      <c r="BE627" s="2462"/>
      <c r="BF627" s="2462">
        <f t="shared" si="17"/>
        <v>0</v>
      </c>
      <c r="BG627" s="2462"/>
      <c r="BH627" s="2462"/>
      <c r="BI627" s="2462"/>
      <c r="BJ627" s="2462"/>
      <c r="BK627" s="2462">
        <f t="shared" si="18"/>
        <v>0</v>
      </c>
      <c r="BL627" s="2462"/>
      <c r="BM627" s="2462"/>
      <c r="BN627" s="2462"/>
      <c r="BO627" s="2462"/>
      <c r="BP627" s="2462">
        <f t="shared" si="19"/>
        <v>0</v>
      </c>
      <c r="BQ627" s="2462"/>
      <c r="BR627" s="2462"/>
      <c r="BS627" s="2462"/>
      <c r="BT627" s="2462"/>
      <c r="BU627" s="2462">
        <f t="shared" si="20"/>
        <v>0</v>
      </c>
      <c r="BV627" s="2462"/>
      <c r="BW627" s="2462"/>
      <c r="BX627" s="2462"/>
      <c r="BY627" s="2462"/>
      <c r="BZ627" s="2462">
        <f t="shared" si="21"/>
        <v>0</v>
      </c>
      <c r="CA627" s="2462"/>
      <c r="CB627" s="2462"/>
      <c r="CC627" s="2462"/>
      <c r="CD627" s="2462"/>
      <c r="CE627" s="72"/>
      <c r="CF627" s="72"/>
      <c r="CG627" s="72"/>
      <c r="CH627" s="72"/>
      <c r="CI627" s="72"/>
      <c r="CJ627" s="72"/>
      <c r="CK627" s="72"/>
      <c r="CL627" s="72"/>
      <c r="CM627" s="72"/>
      <c r="CN627" s="72"/>
      <c r="CO627" s="72"/>
      <c r="CP627" s="72"/>
      <c r="CQ627" s="72"/>
      <c r="CR627" s="72"/>
    </row>
    <row r="628" spans="1:96" ht="12.75" customHeight="1">
      <c r="B628" s="98" t="s">
        <v>38</v>
      </c>
      <c r="C628" s="2313"/>
      <c r="D628" s="2313"/>
      <c r="E628" s="2313"/>
      <c r="F628" s="2313"/>
      <c r="G628" s="2313"/>
      <c r="H628" s="2313"/>
      <c r="I628" s="2313"/>
      <c r="J628" s="2313"/>
      <c r="K628" s="2313"/>
      <c r="L628" s="2313"/>
      <c r="M628" s="2313"/>
      <c r="N628" s="2313"/>
      <c r="O628" s="2323"/>
      <c r="P628" s="2324"/>
      <c r="Q628" s="2325"/>
      <c r="R628" s="2326"/>
      <c r="S628" s="2320"/>
      <c r="T628" s="2321"/>
      <c r="U628" s="2322"/>
      <c r="V628" s="2324"/>
      <c r="W628" s="2325"/>
      <c r="X628" s="2325"/>
      <c r="Y628" s="2325"/>
      <c r="Z628" s="2325"/>
      <c r="AA628" s="2326"/>
      <c r="AB628" s="2427"/>
      <c r="AC628" s="2427"/>
      <c r="AD628" s="2427"/>
      <c r="AE628" s="2427"/>
      <c r="AF628" s="2427"/>
      <c r="AG628" s="2427"/>
      <c r="AH628" s="2427"/>
      <c r="AI628" s="2427"/>
      <c r="AJ628" s="2427"/>
      <c r="AK628" s="2427"/>
      <c r="AM628" s="75"/>
      <c r="AN628" s="75"/>
      <c r="AO628" s="75"/>
      <c r="AP628" s="75"/>
      <c r="AQ628" s="75"/>
      <c r="AR628" s="75"/>
      <c r="AS628" s="75"/>
      <c r="AT628" s="75"/>
      <c r="AU628" s="75"/>
      <c r="AV628" s="75"/>
      <c r="AW628" s="75"/>
      <c r="AX628" s="75"/>
      <c r="AY628" s="75"/>
      <c r="AZ628" s="75"/>
      <c r="BA628" s="2462">
        <f t="shared" si="16"/>
        <v>0</v>
      </c>
      <c r="BB628" s="2462"/>
      <c r="BC628" s="2462"/>
      <c r="BD628" s="2462"/>
      <c r="BE628" s="2462"/>
      <c r="BF628" s="2462">
        <f t="shared" si="17"/>
        <v>0</v>
      </c>
      <c r="BG628" s="2462"/>
      <c r="BH628" s="2462"/>
      <c r="BI628" s="2462"/>
      <c r="BJ628" s="2462"/>
      <c r="BK628" s="2462">
        <f t="shared" si="18"/>
        <v>0</v>
      </c>
      <c r="BL628" s="2462"/>
      <c r="BM628" s="2462"/>
      <c r="BN628" s="2462"/>
      <c r="BO628" s="2462"/>
      <c r="BP628" s="2462">
        <f t="shared" si="19"/>
        <v>0</v>
      </c>
      <c r="BQ628" s="2462"/>
      <c r="BR628" s="2462"/>
      <c r="BS628" s="2462"/>
      <c r="BT628" s="2462"/>
      <c r="BU628" s="2462">
        <f t="shared" si="20"/>
        <v>0</v>
      </c>
      <c r="BV628" s="2462"/>
      <c r="BW628" s="2462"/>
      <c r="BX628" s="2462"/>
      <c r="BY628" s="2462"/>
      <c r="BZ628" s="2462">
        <f t="shared" si="21"/>
        <v>0</v>
      </c>
      <c r="CA628" s="2462"/>
      <c r="CB628" s="2462"/>
      <c r="CC628" s="2462"/>
      <c r="CD628" s="2462"/>
      <c r="CE628" s="72"/>
      <c r="CF628" s="72"/>
      <c r="CG628" s="72"/>
      <c r="CH628" s="72"/>
      <c r="CI628" s="72"/>
      <c r="CJ628" s="72"/>
      <c r="CK628" s="72"/>
      <c r="CL628" s="72"/>
      <c r="CM628" s="72"/>
      <c r="CN628" s="72"/>
      <c r="CO628" s="72"/>
      <c r="CP628" s="72"/>
      <c r="CQ628" s="72"/>
      <c r="CR628" s="72"/>
    </row>
    <row r="629" spans="1:96" ht="12.75">
      <c r="B629" s="2327" t="s">
        <v>406</v>
      </c>
      <c r="C629" s="2327"/>
      <c r="D629" s="2327"/>
      <c r="E629" s="2327"/>
      <c r="F629" s="2327"/>
      <c r="G629" s="2327"/>
      <c r="H629" s="2327"/>
      <c r="I629" s="2327"/>
      <c r="J629" s="2327"/>
      <c r="K629" s="2327"/>
      <c r="L629" s="2327"/>
      <c r="M629" s="2327"/>
      <c r="N629" s="2327"/>
      <c r="O629" s="2327"/>
      <c r="P629" s="2327"/>
      <c r="Q629" s="2327"/>
      <c r="R629" s="2327"/>
      <c r="S629" s="2327"/>
      <c r="T629" s="2327"/>
      <c r="U629" s="2327"/>
      <c r="V629" s="2327"/>
      <c r="W629" s="2327"/>
      <c r="X629" s="2327"/>
      <c r="Y629" s="2327"/>
      <c r="Z629" s="2327"/>
      <c r="AA629" s="2327"/>
      <c r="AB629" s="2327"/>
      <c r="AC629" s="2327"/>
      <c r="AD629" s="2327"/>
      <c r="AE629" s="2327"/>
      <c r="AF629" s="2327"/>
      <c r="AG629" s="2360">
        <f>SUM(AG617:AK628)</f>
        <v>93422503</v>
      </c>
      <c r="AH629" s="2361"/>
      <c r="AI629" s="2361"/>
      <c r="AJ629" s="2361"/>
      <c r="AK629" s="2362"/>
      <c r="AM629" s="75"/>
      <c r="AN629" s="75"/>
      <c r="AO629" s="75"/>
      <c r="AP629" s="75"/>
      <c r="AQ629" s="75"/>
      <c r="AR629" s="75"/>
      <c r="AS629" s="75"/>
      <c r="AT629" s="75"/>
      <c r="AU629" s="75"/>
      <c r="AV629" s="75"/>
      <c r="AW629" s="75"/>
      <c r="AX629" s="75"/>
      <c r="AY629" s="75"/>
      <c r="AZ629" s="75"/>
      <c r="BA629" s="2462">
        <f t="shared" si="16"/>
        <v>0</v>
      </c>
      <c r="BB629" s="2462"/>
      <c r="BC629" s="2462"/>
      <c r="BD629" s="2462"/>
      <c r="BE629" s="2462"/>
      <c r="BF629" s="2462">
        <f t="shared" si="17"/>
        <v>0</v>
      </c>
      <c r="BG629" s="2462"/>
      <c r="BH629" s="2462"/>
      <c r="BI629" s="2462"/>
      <c r="BJ629" s="2462"/>
      <c r="BK629" s="2462">
        <f t="shared" si="18"/>
        <v>0</v>
      </c>
      <c r="BL629" s="2462"/>
      <c r="BM629" s="2462"/>
      <c r="BN629" s="2462"/>
      <c r="BO629" s="2462"/>
      <c r="BP629" s="2462">
        <f t="shared" si="19"/>
        <v>0</v>
      </c>
      <c r="BQ629" s="2462"/>
      <c r="BR629" s="2462"/>
      <c r="BS629" s="2462"/>
      <c r="BT629" s="2462"/>
      <c r="BU629" s="2462">
        <f t="shared" si="20"/>
        <v>0</v>
      </c>
      <c r="BV629" s="2462"/>
      <c r="BW629" s="2462"/>
      <c r="BX629" s="2462"/>
      <c r="BY629" s="2462"/>
      <c r="BZ629" s="2462">
        <f t="shared" si="21"/>
        <v>0</v>
      </c>
      <c r="CA629" s="2462"/>
      <c r="CB629" s="2462"/>
      <c r="CC629" s="2462"/>
      <c r="CD629" s="2462"/>
      <c r="CE629" s="72"/>
      <c r="CF629" s="72"/>
      <c r="CG629" s="72"/>
      <c r="CH629" s="72"/>
      <c r="CI629" s="72"/>
      <c r="CJ629" s="72"/>
      <c r="CK629" s="72"/>
      <c r="CL629" s="72"/>
      <c r="CM629" s="72"/>
      <c r="CN629" s="72"/>
      <c r="CO629" s="72"/>
      <c r="CP629" s="72"/>
      <c r="CQ629" s="72"/>
      <c r="CR629" s="72"/>
    </row>
    <row r="630" spans="1:96" ht="12.75">
      <c r="B630" s="2327" t="s">
        <v>407</v>
      </c>
      <c r="C630" s="2327"/>
      <c r="D630" s="2327"/>
      <c r="E630" s="2327"/>
      <c r="F630" s="2327"/>
      <c r="G630" s="2327"/>
      <c r="H630" s="2327"/>
      <c r="I630" s="2327"/>
      <c r="J630" s="2327"/>
      <c r="K630" s="2327"/>
      <c r="L630" s="2327"/>
      <c r="M630" s="2327"/>
      <c r="N630" s="2327"/>
      <c r="O630" s="2327"/>
      <c r="P630" s="2327"/>
      <c r="Q630" s="2327"/>
      <c r="R630" s="2327"/>
      <c r="S630" s="2327"/>
      <c r="T630" s="2327"/>
      <c r="U630" s="2327"/>
      <c r="V630" s="2327"/>
      <c r="W630" s="2327"/>
      <c r="X630" s="2327"/>
      <c r="Y630" s="2327"/>
      <c r="Z630" s="2327"/>
      <c r="AA630" s="2327"/>
      <c r="AB630" s="2327"/>
      <c r="AC630" s="2327"/>
      <c r="AD630" s="2327"/>
      <c r="AE630" s="2327"/>
      <c r="AF630" s="2327"/>
      <c r="AG630" s="2351">
        <f>'Basis &amp; Credits'!AB56+'Basis &amp; Credits'!AB77</f>
        <v>21249967</v>
      </c>
      <c r="AH630" s="2352"/>
      <c r="AI630" s="2352"/>
      <c r="AJ630" s="2352"/>
      <c r="AK630" s="2353"/>
      <c r="AM630" s="75"/>
      <c r="AN630" s="75"/>
      <c r="AO630" s="75"/>
      <c r="AP630" s="75"/>
      <c r="AQ630" s="75"/>
      <c r="AR630" s="75"/>
      <c r="AS630" s="75"/>
      <c r="AT630" s="75"/>
      <c r="AU630" s="75"/>
      <c r="AV630" s="75"/>
      <c r="AW630" s="75"/>
      <c r="AX630" s="75"/>
      <c r="AY630" s="75"/>
      <c r="AZ630" s="75"/>
      <c r="BA630" s="2462">
        <f t="shared" si="16"/>
        <v>0</v>
      </c>
      <c r="BB630" s="2462"/>
      <c r="BC630" s="2462"/>
      <c r="BD630" s="2462"/>
      <c r="BE630" s="2462"/>
      <c r="BF630" s="2462">
        <f t="shared" si="17"/>
        <v>0</v>
      </c>
      <c r="BG630" s="2462"/>
      <c r="BH630" s="2462"/>
      <c r="BI630" s="2462"/>
      <c r="BJ630" s="2462"/>
      <c r="BK630" s="2462">
        <f t="shared" si="18"/>
        <v>0</v>
      </c>
      <c r="BL630" s="2462"/>
      <c r="BM630" s="2462"/>
      <c r="BN630" s="2462"/>
      <c r="BO630" s="2462"/>
      <c r="BP630" s="2462">
        <f t="shared" si="19"/>
        <v>0</v>
      </c>
      <c r="BQ630" s="2462"/>
      <c r="BR630" s="2462"/>
      <c r="BS630" s="2462"/>
      <c r="BT630" s="2462"/>
      <c r="BU630" s="2462">
        <f t="shared" si="20"/>
        <v>0</v>
      </c>
      <c r="BV630" s="2462"/>
      <c r="BW630" s="2462"/>
      <c r="BX630" s="2462"/>
      <c r="BY630" s="2462"/>
      <c r="BZ630" s="2462">
        <f t="shared" si="21"/>
        <v>0</v>
      </c>
      <c r="CA630" s="2462"/>
      <c r="CB630" s="2462"/>
      <c r="CC630" s="2462"/>
      <c r="CD630" s="2462"/>
      <c r="CE630" s="72"/>
      <c r="CF630" s="72"/>
      <c r="CG630" s="72"/>
      <c r="CH630" s="72"/>
      <c r="CI630" s="72"/>
      <c r="CJ630" s="72"/>
      <c r="CK630" s="72"/>
      <c r="CL630" s="72"/>
      <c r="CM630" s="72"/>
      <c r="CN630" s="72"/>
      <c r="CO630" s="72"/>
      <c r="CP630" s="72"/>
      <c r="CQ630" s="72"/>
      <c r="CR630" s="72"/>
    </row>
    <row r="631" spans="1:96" ht="12.75">
      <c r="B631" s="2327" t="s">
        <v>1056</v>
      </c>
      <c r="C631" s="2327"/>
      <c r="D631" s="2327"/>
      <c r="E631" s="2327"/>
      <c r="F631" s="2327"/>
      <c r="G631" s="2327"/>
      <c r="H631" s="2327"/>
      <c r="I631" s="2327"/>
      <c r="J631" s="2327"/>
      <c r="K631" s="2327"/>
      <c r="L631" s="2327"/>
      <c r="M631" s="2327"/>
      <c r="N631" s="2327"/>
      <c r="O631" s="2327"/>
      <c r="P631" s="2327"/>
      <c r="Q631" s="2327"/>
      <c r="R631" s="2327"/>
      <c r="S631" s="2327"/>
      <c r="T631" s="2327"/>
      <c r="U631" s="2327"/>
      <c r="V631" s="2327"/>
      <c r="W631" s="2327"/>
      <c r="X631" s="2327"/>
      <c r="Y631" s="2327"/>
      <c r="Z631" s="2327"/>
      <c r="AA631" s="2327"/>
      <c r="AB631" s="2327"/>
      <c r="AC631" s="2327"/>
      <c r="AD631" s="2327"/>
      <c r="AE631" s="2327"/>
      <c r="AF631" s="2327"/>
      <c r="AG631" s="2360">
        <f>AG629+AG630</f>
        <v>114672470</v>
      </c>
      <c r="AH631" s="2361"/>
      <c r="AI631" s="2361"/>
      <c r="AJ631" s="2361"/>
      <c r="AK631" s="2362"/>
      <c r="AM631" s="75"/>
      <c r="AN631" s="75"/>
      <c r="AO631" s="75"/>
      <c r="AP631" s="75"/>
      <c r="AQ631" s="75"/>
      <c r="AR631" s="75"/>
      <c r="AS631" s="75"/>
      <c r="AT631" s="75"/>
      <c r="AU631" s="75"/>
      <c r="AV631" s="75"/>
      <c r="AW631" s="75"/>
      <c r="AX631" s="75"/>
      <c r="AY631" s="75"/>
      <c r="AZ631" s="75"/>
      <c r="BA631" s="2463">
        <f>SUM(BA621:BE630)</f>
        <v>396</v>
      </c>
      <c r="BB631" s="2464"/>
      <c r="BC631" s="2464"/>
      <c r="BD631" s="2464"/>
      <c r="BE631" s="2465"/>
      <c r="BF631" s="2463">
        <f>SUM(BF621:BJ630)</f>
        <v>0</v>
      </c>
      <c r="BG631" s="2464"/>
      <c r="BH631" s="2464"/>
      <c r="BI631" s="2464"/>
      <c r="BJ631" s="2465"/>
      <c r="BK631" s="2463">
        <f>SUM(BK621:BO630)</f>
        <v>0</v>
      </c>
      <c r="BL631" s="2464"/>
      <c r="BM631" s="2464"/>
      <c r="BN631" s="2464"/>
      <c r="BO631" s="2465"/>
      <c r="BP631" s="2463">
        <f>SUM(BP621:BT630)</f>
        <v>0</v>
      </c>
      <c r="BQ631" s="2464"/>
      <c r="BR631" s="2464"/>
      <c r="BS631" s="2464"/>
      <c r="BT631" s="2465"/>
      <c r="BU631" s="2463">
        <f>SUM(BU621:BY630)</f>
        <v>0</v>
      </c>
      <c r="BV631" s="2464"/>
      <c r="BW631" s="2464"/>
      <c r="BX631" s="2464"/>
      <c r="BY631" s="2465"/>
      <c r="BZ631" s="2463">
        <f>SUM(BZ621:CD630)</f>
        <v>0</v>
      </c>
      <c r="CA631" s="2464"/>
      <c r="CB631" s="2464"/>
      <c r="CC631" s="2464"/>
      <c r="CD631" s="2465"/>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396</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2514" t="str">
        <f>C617</f>
        <v>Housing &amp; Healthcare Finance, LLC</v>
      </c>
      <c r="H633" s="2514"/>
      <c r="I633" s="2514"/>
      <c r="J633" s="2514"/>
      <c r="K633" s="2514"/>
      <c r="L633" s="2514"/>
      <c r="M633" s="2514"/>
      <c r="N633" s="2514"/>
      <c r="O633" s="2514"/>
      <c r="P633" s="2514"/>
      <c r="Q633" s="2514"/>
      <c r="R633" s="2514"/>
      <c r="S633" s="18"/>
      <c r="T633" s="101" t="s">
        <v>1016</v>
      </c>
      <c r="U633" s="16" t="s">
        <v>92</v>
      </c>
      <c r="Z633" s="2514" t="str">
        <f>C618</f>
        <v>Global Premier Development, Inc.</v>
      </c>
      <c r="AA633" s="2514"/>
      <c r="AB633" s="2514"/>
      <c r="AC633" s="2514"/>
      <c r="AD633" s="2514"/>
      <c r="AE633" s="2514"/>
      <c r="AF633" s="2514"/>
      <c r="AG633" s="2514"/>
      <c r="AH633" s="2514"/>
      <c r="AI633" s="2514"/>
      <c r="AJ633" s="2514"/>
      <c r="AK633" s="2514"/>
      <c r="AM633" s="75"/>
      <c r="AN633" s="75"/>
      <c r="AO633" s="75"/>
      <c r="AP633" s="75"/>
      <c r="AQ633" s="75"/>
      <c r="AR633" s="75"/>
      <c r="AS633" s="75"/>
      <c r="AT633" s="75"/>
      <c r="AU633" s="75"/>
      <c r="AV633" s="75"/>
      <c r="AW633" s="75"/>
      <c r="AX633" s="75"/>
      <c r="AY633" s="75"/>
      <c r="AZ633" s="75"/>
      <c r="CC633" s="159" t="s">
        <v>1997</v>
      </c>
      <c r="CD633" s="772">
        <f>BE632+BJ632+BO632+BT632+BY632+CD632</f>
        <v>396</v>
      </c>
      <c r="CE633" s="72"/>
      <c r="CF633" s="72"/>
      <c r="CG633" s="72"/>
      <c r="CH633" s="72"/>
      <c r="CI633" s="72"/>
      <c r="CJ633" s="72"/>
      <c r="CK633" s="72"/>
      <c r="CL633" s="72"/>
      <c r="CM633" s="72"/>
      <c r="CN633" s="72"/>
      <c r="CO633" s="72"/>
      <c r="CP633" s="72"/>
      <c r="CQ633" s="72"/>
      <c r="CR633" s="72"/>
    </row>
    <row r="634" spans="1:96" ht="13.5" thickBot="1">
      <c r="A634" s="46"/>
      <c r="B634" s="16" t="s">
        <v>421</v>
      </c>
      <c r="G634" s="2312" t="s">
        <v>2747</v>
      </c>
      <c r="H634" s="2312"/>
      <c r="I634" s="2312"/>
      <c r="J634" s="2312"/>
      <c r="K634" s="2312"/>
      <c r="L634" s="2312"/>
      <c r="M634" s="2312"/>
      <c r="N634" s="2312"/>
      <c r="O634" s="2312"/>
      <c r="P634" s="2312"/>
      <c r="Q634" s="2312"/>
      <c r="R634" s="2312"/>
      <c r="S634" s="18"/>
      <c r="T634" s="46"/>
      <c r="U634" s="16" t="s">
        <v>421</v>
      </c>
      <c r="Z634" s="2312" t="s">
        <v>2710</v>
      </c>
      <c r="AA634" s="2312"/>
      <c r="AB634" s="2312"/>
      <c r="AC634" s="2312"/>
      <c r="AD634" s="2312"/>
      <c r="AE634" s="2312"/>
      <c r="AF634" s="2312"/>
      <c r="AG634" s="2312"/>
      <c r="AH634" s="2312"/>
      <c r="AI634" s="2312"/>
      <c r="AJ634" s="2312"/>
      <c r="AK634" s="2312"/>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2312" t="s">
        <v>2748</v>
      </c>
      <c r="H635" s="2312"/>
      <c r="I635" s="2312"/>
      <c r="J635" s="2312"/>
      <c r="K635" s="2312"/>
      <c r="L635" s="2312"/>
      <c r="M635" s="2312"/>
      <c r="N635" s="2312"/>
      <c r="O635" s="2312"/>
      <c r="P635" s="2312"/>
      <c r="Q635" s="2312"/>
      <c r="R635" s="2312"/>
      <c r="S635" s="102"/>
      <c r="T635" s="46"/>
      <c r="U635" s="16" t="s">
        <v>484</v>
      </c>
      <c r="Z635" s="2436" t="s">
        <v>2328</v>
      </c>
      <c r="AA635" s="2436"/>
      <c r="AB635" s="2436"/>
      <c r="AC635" s="2436"/>
      <c r="AD635" s="2436"/>
      <c r="AE635" s="2436"/>
      <c r="AF635" s="2436"/>
      <c r="AG635" s="2436"/>
      <c r="AH635" s="2436"/>
      <c r="AI635" s="2436"/>
      <c r="AJ635" s="2436"/>
      <c r="AK635" s="2436"/>
      <c r="AM635" s="75"/>
      <c r="AN635" s="75"/>
      <c r="AO635" s="75"/>
      <c r="AP635" s="75"/>
      <c r="AQ635" s="75"/>
      <c r="AR635" s="75"/>
      <c r="AS635" s="75"/>
      <c r="AT635" s="75"/>
      <c r="AU635" s="75"/>
      <c r="AV635" s="75"/>
      <c r="AW635" s="75"/>
      <c r="AX635" s="75"/>
      <c r="AY635" s="75"/>
      <c r="AZ635" s="75"/>
      <c r="CC635" s="159" t="s">
        <v>1999</v>
      </c>
      <c r="CD635" s="772">
        <f>CD633+CD614</f>
        <v>496</v>
      </c>
      <c r="CE635" s="72"/>
      <c r="CF635" s="72"/>
      <c r="CG635" s="72"/>
      <c r="CH635" s="72"/>
      <c r="CI635" s="72"/>
      <c r="CJ635" s="72"/>
      <c r="CK635" s="72"/>
      <c r="CL635" s="72"/>
      <c r="CM635" s="72"/>
      <c r="CN635" s="72"/>
      <c r="CO635" s="72"/>
      <c r="CP635" s="72"/>
      <c r="CQ635" s="72"/>
      <c r="CR635" s="72"/>
    </row>
    <row r="636" spans="1:96" ht="12.75">
      <c r="A636" s="46"/>
      <c r="B636" s="16" t="s">
        <v>924</v>
      </c>
      <c r="G636" s="2312" t="s">
        <v>2749</v>
      </c>
      <c r="H636" s="2312"/>
      <c r="I636" s="2312"/>
      <c r="J636" s="2312"/>
      <c r="K636" s="2312"/>
      <c r="L636" s="2312"/>
      <c r="M636" s="2312"/>
      <c r="N636" s="2312"/>
      <c r="O636" s="2312"/>
      <c r="P636" s="2312"/>
      <c r="Q636" s="2312"/>
      <c r="R636" s="2312"/>
      <c r="S636" s="18"/>
      <c r="T636" s="46"/>
      <c r="U636" s="16" t="s">
        <v>924</v>
      </c>
      <c r="Z636" s="2436" t="s">
        <v>2307</v>
      </c>
      <c r="AA636" s="2436"/>
      <c r="AB636" s="2436"/>
      <c r="AC636" s="2436"/>
      <c r="AD636" s="2436"/>
      <c r="AE636" s="2436"/>
      <c r="AF636" s="2436"/>
      <c r="AG636" s="2436"/>
      <c r="AH636" s="2436"/>
      <c r="AI636" s="2436"/>
      <c r="AJ636" s="2436"/>
      <c r="AK636" s="2436"/>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2316" t="s">
        <v>2750</v>
      </c>
      <c r="H637" s="2306"/>
      <c r="I637" s="2306"/>
      <c r="J637" s="2306"/>
      <c r="K637" s="2306"/>
      <c r="L637" s="2306"/>
      <c r="O637" s="161" t="s">
        <v>907</v>
      </c>
      <c r="P637" s="2313"/>
      <c r="Q637" s="2313"/>
      <c r="R637" s="2313"/>
      <c r="S637" s="20"/>
      <c r="T637" s="46"/>
      <c r="U637" s="16" t="s">
        <v>723</v>
      </c>
      <c r="Z637" s="2316" t="s">
        <v>2312</v>
      </c>
      <c r="AA637" s="2306"/>
      <c r="AB637" s="2306"/>
      <c r="AC637" s="2306"/>
      <c r="AD637" s="2306"/>
      <c r="AE637" s="2306"/>
      <c r="AH637" s="161" t="s">
        <v>907</v>
      </c>
      <c r="AI637" s="2313"/>
      <c r="AJ637" s="2313"/>
      <c r="AK637" s="2313"/>
      <c r="AM637" s="75"/>
      <c r="AN637" s="75"/>
      <c r="AO637" s="75"/>
      <c r="AP637" s="75"/>
      <c r="AQ637" s="75"/>
      <c r="AR637" s="75"/>
      <c r="AS637" s="75"/>
      <c r="AT637" s="75"/>
      <c r="AU637" s="75"/>
      <c r="AV637" s="75"/>
      <c r="AW637" s="75"/>
      <c r="AX637" s="75"/>
      <c r="AY637" s="75"/>
      <c r="AZ637" s="75"/>
      <c r="BA637" s="2463">
        <f>BA612+BA619+BA631</f>
        <v>499</v>
      </c>
      <c r="BB637" s="2464"/>
      <c r="BC637" s="2464"/>
      <c r="BD637" s="2464"/>
      <c r="BE637" s="2465"/>
      <c r="BF637" s="2463">
        <f>BF612+BF619+BF631</f>
        <v>0</v>
      </c>
      <c r="BG637" s="2464"/>
      <c r="BH637" s="2464"/>
      <c r="BI637" s="2464"/>
      <c r="BJ637" s="2465"/>
      <c r="BK637" s="2463">
        <f>BK612+BK619+BK631</f>
        <v>1</v>
      </c>
      <c r="BL637" s="2464"/>
      <c r="BM637" s="2464"/>
      <c r="BN637" s="2464"/>
      <c r="BO637" s="2465"/>
      <c r="BP637" s="2463">
        <f>BP612+BP619+BP631</f>
        <v>0</v>
      </c>
      <c r="BQ637" s="2464"/>
      <c r="BR637" s="2464"/>
      <c r="BS637" s="2464"/>
      <c r="BT637" s="2465"/>
      <c r="BU637" s="2463">
        <f>BU612+BU619+BU631</f>
        <v>0</v>
      </c>
      <c r="BV637" s="2464"/>
      <c r="BW637" s="2464"/>
      <c r="BX637" s="2464"/>
      <c r="BY637" s="2465"/>
      <c r="BZ637" s="2466">
        <f>BZ631+BZ619+BZ612</f>
        <v>0</v>
      </c>
      <c r="CA637" s="2753"/>
      <c r="CB637" s="2753"/>
      <c r="CC637" s="2753"/>
      <c r="CD637" s="2467"/>
      <c r="CE637" s="72"/>
      <c r="CF637" s="72"/>
      <c r="CG637" s="72"/>
      <c r="CH637" s="72"/>
      <c r="CI637" s="72"/>
      <c r="CJ637" s="72"/>
      <c r="CK637" s="72"/>
      <c r="CL637" s="72"/>
      <c r="CM637" s="72"/>
      <c r="CN637" s="72"/>
      <c r="CO637" s="72"/>
      <c r="CP637" s="72"/>
      <c r="CQ637" s="72"/>
      <c r="CR637" s="72"/>
    </row>
    <row r="638" spans="1:96" ht="12.75">
      <c r="A638" s="46"/>
      <c r="B638" s="16" t="s">
        <v>925</v>
      </c>
      <c r="H638" s="2312" t="s">
        <v>2651</v>
      </c>
      <c r="I638" s="2312"/>
      <c r="J638" s="2312"/>
      <c r="K638" s="2312"/>
      <c r="L638" s="2312"/>
      <c r="M638" s="2312"/>
      <c r="N638" s="2312"/>
      <c r="O638" s="2312"/>
      <c r="P638" s="2312"/>
      <c r="Q638" s="2312"/>
      <c r="R638" s="2312"/>
      <c r="S638" s="18"/>
      <c r="T638" s="46"/>
      <c r="U638" s="16" t="s">
        <v>925</v>
      </c>
      <c r="AA638" s="2312" t="s">
        <v>2711</v>
      </c>
      <c r="AB638" s="2312"/>
      <c r="AC638" s="2312"/>
      <c r="AD638" s="2312"/>
      <c r="AE638" s="2312"/>
      <c r="AF638" s="2312"/>
      <c r="AG638" s="2312"/>
      <c r="AH638" s="2312"/>
      <c r="AI638" s="2312"/>
      <c r="AJ638" s="2312"/>
      <c r="AK638" s="2312"/>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2343" t="s">
        <v>118</v>
      </c>
      <c r="O639" s="2343"/>
      <c r="T639" s="46"/>
      <c r="U639" s="16" t="s">
        <v>927</v>
      </c>
      <c r="AG639" s="2343" t="s">
        <v>118</v>
      </c>
      <c r="AH639" s="234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2514">
        <f>C619</f>
        <v>0</v>
      </c>
      <c r="H641" s="2514"/>
      <c r="I641" s="2514"/>
      <c r="J641" s="2514"/>
      <c r="K641" s="2514"/>
      <c r="L641" s="2514"/>
      <c r="M641" s="2514"/>
      <c r="N641" s="2514"/>
      <c r="O641" s="2514"/>
      <c r="P641" s="2514"/>
      <c r="Q641" s="2514"/>
      <c r="R641" s="2514"/>
      <c r="T641" s="101" t="s">
        <v>485</v>
      </c>
      <c r="U641" s="16" t="s">
        <v>92</v>
      </c>
      <c r="Z641" s="2514">
        <f>C620</f>
        <v>0</v>
      </c>
      <c r="AA641" s="2514"/>
      <c r="AB641" s="2514"/>
      <c r="AC641" s="2514"/>
      <c r="AD641" s="2514"/>
      <c r="AE641" s="2514"/>
      <c r="AF641" s="2514"/>
      <c r="AG641" s="2514"/>
      <c r="AH641" s="2514"/>
      <c r="AI641" s="2514"/>
      <c r="AJ641" s="2514"/>
      <c r="AK641" s="251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2309"/>
      <c r="H642" s="2312"/>
      <c r="I642" s="2312"/>
      <c r="J642" s="2312"/>
      <c r="K642" s="2312"/>
      <c r="L642" s="2312"/>
      <c r="M642" s="2312"/>
      <c r="N642" s="2312"/>
      <c r="O642" s="2312"/>
      <c r="P642" s="2312"/>
      <c r="Q642" s="2312"/>
      <c r="R642" s="2312"/>
      <c r="T642" s="46"/>
      <c r="U642" s="16" t="s">
        <v>421</v>
      </c>
      <c r="Z642" s="2312"/>
      <c r="AA642" s="2312"/>
      <c r="AB642" s="2312"/>
      <c r="AC642" s="2312"/>
      <c r="AD642" s="2312"/>
      <c r="AE642" s="2312"/>
      <c r="AF642" s="2312"/>
      <c r="AG642" s="2312"/>
      <c r="AH642" s="2312"/>
      <c r="AI642" s="2312"/>
      <c r="AJ642" s="2312"/>
      <c r="AK642" s="231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2502"/>
      <c r="H643" s="2436"/>
      <c r="I643" s="2436"/>
      <c r="J643" s="2436"/>
      <c r="K643" s="2436"/>
      <c r="L643" s="2436"/>
      <c r="M643" s="2436"/>
      <c r="N643" s="2436"/>
      <c r="O643" s="2436"/>
      <c r="P643" s="2436"/>
      <c r="Q643" s="2436"/>
      <c r="R643" s="2436"/>
      <c r="T643" s="46"/>
      <c r="U643" s="16" t="s">
        <v>484</v>
      </c>
      <c r="Z643" s="2436"/>
      <c r="AA643" s="2436"/>
      <c r="AB643" s="2436"/>
      <c r="AC643" s="2436"/>
      <c r="AD643" s="2436"/>
      <c r="AE643" s="2436"/>
      <c r="AF643" s="2436"/>
      <c r="AG643" s="2436"/>
      <c r="AH643" s="2436"/>
      <c r="AI643" s="2436"/>
      <c r="AJ643" s="2436"/>
      <c r="AK643" s="243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2502"/>
      <c r="H644" s="2436"/>
      <c r="I644" s="2436"/>
      <c r="J644" s="2436"/>
      <c r="K644" s="2436"/>
      <c r="L644" s="2436"/>
      <c r="M644" s="2436"/>
      <c r="N644" s="2436"/>
      <c r="O644" s="2436"/>
      <c r="P644" s="2436"/>
      <c r="Q644" s="2436"/>
      <c r="R644" s="2436"/>
      <c r="T644" s="46"/>
      <c r="U644" s="16" t="s">
        <v>924</v>
      </c>
      <c r="Z644" s="2436"/>
      <c r="AA644" s="2436"/>
      <c r="AB644" s="2436"/>
      <c r="AC644" s="2436"/>
      <c r="AD644" s="2436"/>
      <c r="AE644" s="2436"/>
      <c r="AF644" s="2436"/>
      <c r="AG644" s="2436"/>
      <c r="AH644" s="2436"/>
      <c r="AI644" s="2436"/>
      <c r="AJ644" s="2436"/>
      <c r="AK644" s="243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2306"/>
      <c r="H645" s="2306"/>
      <c r="I645" s="2306"/>
      <c r="J645" s="2306"/>
      <c r="K645" s="2306"/>
      <c r="L645" s="2306"/>
      <c r="O645" s="161" t="s">
        <v>907</v>
      </c>
      <c r="P645" s="2313"/>
      <c r="Q645" s="2313"/>
      <c r="R645" s="2313"/>
      <c r="T645" s="46"/>
      <c r="U645" s="16" t="s">
        <v>723</v>
      </c>
      <c r="Z645" s="2306"/>
      <c r="AA645" s="2306"/>
      <c r="AB645" s="2306"/>
      <c r="AC645" s="2306"/>
      <c r="AD645" s="2306"/>
      <c r="AE645" s="2306"/>
      <c r="AH645" s="161" t="s">
        <v>907</v>
      </c>
      <c r="AI645" s="2313"/>
      <c r="AJ645" s="2313"/>
      <c r="AK645" s="2313"/>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2309"/>
      <c r="I646" s="2312"/>
      <c r="J646" s="2312"/>
      <c r="K646" s="2312"/>
      <c r="L646" s="2312"/>
      <c r="M646" s="2312"/>
      <c r="N646" s="2312"/>
      <c r="O646" s="2312"/>
      <c r="P646" s="2312"/>
      <c r="Q646" s="2312"/>
      <c r="R646" s="2312"/>
      <c r="T646" s="46"/>
      <c r="U646" s="16" t="s">
        <v>925</v>
      </c>
      <c r="AA646" s="2312"/>
      <c r="AB646" s="2312"/>
      <c r="AC646" s="2312"/>
      <c r="AD646" s="2312"/>
      <c r="AE646" s="2312"/>
      <c r="AF646" s="2312"/>
      <c r="AG646" s="2312"/>
      <c r="AH646" s="2312"/>
      <c r="AI646" s="2312"/>
      <c r="AJ646" s="2312"/>
      <c r="AK646" s="2312"/>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2343" t="s">
        <v>536</v>
      </c>
      <c r="O647" s="2343"/>
      <c r="T647" s="46"/>
      <c r="U647" s="16" t="s">
        <v>927</v>
      </c>
      <c r="AG647" s="2343" t="s">
        <v>536</v>
      </c>
      <c r="AH647" s="234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2514">
        <f>C621</f>
        <v>0</v>
      </c>
      <c r="H649" s="2514"/>
      <c r="I649" s="2514"/>
      <c r="J649" s="2514"/>
      <c r="K649" s="2514"/>
      <c r="L649" s="2514"/>
      <c r="M649" s="2514"/>
      <c r="N649" s="2514"/>
      <c r="O649" s="2514"/>
      <c r="P649" s="2514"/>
      <c r="Q649" s="2514"/>
      <c r="R649" s="2514"/>
      <c r="T649" s="101" t="s">
        <v>488</v>
      </c>
      <c r="U649" s="16" t="s">
        <v>92</v>
      </c>
      <c r="Z649" s="2514">
        <f>C622</f>
        <v>0</v>
      </c>
      <c r="AA649" s="2514"/>
      <c r="AB649" s="2514"/>
      <c r="AC649" s="2514"/>
      <c r="AD649" s="2514"/>
      <c r="AE649" s="2514"/>
      <c r="AF649" s="2514"/>
      <c r="AG649" s="2514"/>
      <c r="AH649" s="2514"/>
      <c r="AI649" s="2514"/>
      <c r="AJ649" s="2514"/>
      <c r="AK649" s="251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2312"/>
      <c r="H650" s="2312"/>
      <c r="I650" s="2312"/>
      <c r="J650" s="2312"/>
      <c r="K650" s="2312"/>
      <c r="L650" s="2312"/>
      <c r="M650" s="2312"/>
      <c r="N650" s="2312"/>
      <c r="O650" s="2312"/>
      <c r="P650" s="2312"/>
      <c r="Q650" s="2312"/>
      <c r="R650" s="2312"/>
      <c r="T650" s="46"/>
      <c r="U650" s="16" t="s">
        <v>421</v>
      </c>
      <c r="Z650" s="2312"/>
      <c r="AA650" s="2312"/>
      <c r="AB650" s="2312"/>
      <c r="AC650" s="2312"/>
      <c r="AD650" s="2312"/>
      <c r="AE650" s="2312"/>
      <c r="AF650" s="2312"/>
      <c r="AG650" s="2312"/>
      <c r="AH650" s="2312"/>
      <c r="AI650" s="2312"/>
      <c r="AJ650" s="2312"/>
      <c r="AK650" s="231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2312"/>
      <c r="H651" s="2312"/>
      <c r="I651" s="2312"/>
      <c r="J651" s="2312"/>
      <c r="K651" s="2312"/>
      <c r="L651" s="2312"/>
      <c r="M651" s="2312"/>
      <c r="N651" s="2312"/>
      <c r="O651" s="2312"/>
      <c r="P651" s="2312"/>
      <c r="Q651" s="2312"/>
      <c r="R651" s="2312"/>
      <c r="T651" s="46"/>
      <c r="U651" s="16" t="s">
        <v>484</v>
      </c>
      <c r="Z651" s="2436"/>
      <c r="AA651" s="2436"/>
      <c r="AB651" s="2436"/>
      <c r="AC651" s="2436"/>
      <c r="AD651" s="2436"/>
      <c r="AE651" s="2436"/>
      <c r="AF651" s="2436"/>
      <c r="AG651" s="2436"/>
      <c r="AH651" s="2436"/>
      <c r="AI651" s="2436"/>
      <c r="AJ651" s="2436"/>
      <c r="AK651" s="243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2312"/>
      <c r="H652" s="2312"/>
      <c r="I652" s="2312"/>
      <c r="J652" s="2312"/>
      <c r="K652" s="2312"/>
      <c r="L652" s="2312"/>
      <c r="M652" s="2312"/>
      <c r="N652" s="2312"/>
      <c r="O652" s="2312"/>
      <c r="P652" s="2312"/>
      <c r="Q652" s="2312"/>
      <c r="R652" s="2312"/>
      <c r="T652" s="46"/>
      <c r="U652" s="16" t="s">
        <v>924</v>
      </c>
      <c r="Z652" s="2436"/>
      <c r="AA652" s="2436"/>
      <c r="AB652" s="2436"/>
      <c r="AC652" s="2436"/>
      <c r="AD652" s="2436"/>
      <c r="AE652" s="2436"/>
      <c r="AF652" s="2436"/>
      <c r="AG652" s="2436"/>
      <c r="AH652" s="2436"/>
      <c r="AI652" s="2436"/>
      <c r="AJ652" s="2436"/>
      <c r="AK652" s="243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2306"/>
      <c r="H653" s="2306"/>
      <c r="I653" s="2306"/>
      <c r="J653" s="2306"/>
      <c r="K653" s="2306"/>
      <c r="L653" s="2306"/>
      <c r="O653" s="161" t="s">
        <v>907</v>
      </c>
      <c r="P653" s="2313"/>
      <c r="Q653" s="2313"/>
      <c r="R653" s="2313"/>
      <c r="T653" s="46"/>
      <c r="U653" s="16" t="s">
        <v>723</v>
      </c>
      <c r="Z653" s="2306"/>
      <c r="AA653" s="2306"/>
      <c r="AB653" s="2306"/>
      <c r="AC653" s="2306"/>
      <c r="AD653" s="2306"/>
      <c r="AE653" s="2306"/>
      <c r="AH653" s="161" t="s">
        <v>907</v>
      </c>
      <c r="AI653" s="2313"/>
      <c r="AJ653" s="2313"/>
      <c r="AK653" s="2313"/>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2312"/>
      <c r="I654" s="2312"/>
      <c r="J654" s="2312"/>
      <c r="K654" s="2312"/>
      <c r="L654" s="2312"/>
      <c r="M654" s="2312"/>
      <c r="N654" s="2312"/>
      <c r="O654" s="2312"/>
      <c r="P654" s="2312"/>
      <c r="Q654" s="2312"/>
      <c r="R654" s="2312"/>
      <c r="T654" s="46"/>
      <c r="U654" s="16" t="s">
        <v>925</v>
      </c>
      <c r="AA654" s="2312"/>
      <c r="AB654" s="2312"/>
      <c r="AC654" s="2312"/>
      <c r="AD654" s="2312"/>
      <c r="AE654" s="2312"/>
      <c r="AF654" s="2312"/>
      <c r="AG654" s="2312"/>
      <c r="AH654" s="2312"/>
      <c r="AI654" s="2312"/>
      <c r="AJ654" s="2312"/>
      <c r="AK654" s="231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2343" t="s">
        <v>536</v>
      </c>
      <c r="O655" s="2343"/>
      <c r="T655" s="46"/>
      <c r="U655" s="16" t="s">
        <v>927</v>
      </c>
      <c r="AG655" s="2343" t="s">
        <v>536</v>
      </c>
      <c r="AH655" s="234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2514">
        <f>C623</f>
        <v>0</v>
      </c>
      <c r="H657" s="2514"/>
      <c r="I657" s="2514"/>
      <c r="J657" s="2514"/>
      <c r="K657" s="2514"/>
      <c r="L657" s="2514"/>
      <c r="M657" s="2514"/>
      <c r="N657" s="2514"/>
      <c r="O657" s="2514"/>
      <c r="P657" s="2514"/>
      <c r="Q657" s="2514"/>
      <c r="R657" s="2514"/>
      <c r="T657" s="101" t="s">
        <v>818</v>
      </c>
      <c r="U657" s="16" t="s">
        <v>92</v>
      </c>
      <c r="Z657" s="2514">
        <f>C624</f>
        <v>0</v>
      </c>
      <c r="AA657" s="2514"/>
      <c r="AB657" s="2514"/>
      <c r="AC657" s="2514"/>
      <c r="AD657" s="2514"/>
      <c r="AE657" s="2514"/>
      <c r="AF657" s="2514"/>
      <c r="AG657" s="2514"/>
      <c r="AH657" s="2514"/>
      <c r="AI657" s="2514"/>
      <c r="AJ657" s="2514"/>
      <c r="AK657" s="251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2312"/>
      <c r="H658" s="2312"/>
      <c r="I658" s="2312"/>
      <c r="J658" s="2312"/>
      <c r="K658" s="2312"/>
      <c r="L658" s="2312"/>
      <c r="M658" s="2312"/>
      <c r="N658" s="2312"/>
      <c r="O658" s="2312"/>
      <c r="P658" s="2312"/>
      <c r="Q658" s="2312"/>
      <c r="R658" s="2312"/>
      <c r="T658" s="46"/>
      <c r="U658" s="16" t="s">
        <v>421</v>
      </c>
      <c r="Z658" s="2312"/>
      <c r="AA658" s="2312"/>
      <c r="AB658" s="2312"/>
      <c r="AC658" s="2312"/>
      <c r="AD658" s="2312"/>
      <c r="AE658" s="2312"/>
      <c r="AF658" s="2312"/>
      <c r="AG658" s="2312"/>
      <c r="AH658" s="2312"/>
      <c r="AI658" s="2312"/>
      <c r="AJ658" s="2312"/>
      <c r="AK658" s="231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2312"/>
      <c r="H659" s="2312"/>
      <c r="I659" s="2312"/>
      <c r="J659" s="2312"/>
      <c r="K659" s="2312"/>
      <c r="L659" s="2312"/>
      <c r="M659" s="2312"/>
      <c r="N659" s="2312"/>
      <c r="O659" s="2312"/>
      <c r="P659" s="2312"/>
      <c r="Q659" s="2312"/>
      <c r="R659" s="2312"/>
      <c r="T659" s="46"/>
      <c r="U659" s="16" t="s">
        <v>484</v>
      </c>
      <c r="Z659" s="2436"/>
      <c r="AA659" s="2436"/>
      <c r="AB659" s="2436"/>
      <c r="AC659" s="2436"/>
      <c r="AD659" s="2436"/>
      <c r="AE659" s="2436"/>
      <c r="AF659" s="2436"/>
      <c r="AG659" s="2436"/>
      <c r="AH659" s="2436"/>
      <c r="AI659" s="2436"/>
      <c r="AJ659" s="2436"/>
      <c r="AK659" s="243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2312"/>
      <c r="H660" s="2312"/>
      <c r="I660" s="2312"/>
      <c r="J660" s="2312"/>
      <c r="K660" s="2312"/>
      <c r="L660" s="2312"/>
      <c r="M660" s="2312"/>
      <c r="N660" s="2312"/>
      <c r="O660" s="2312"/>
      <c r="P660" s="2312"/>
      <c r="Q660" s="2312"/>
      <c r="R660" s="2312"/>
      <c r="T660" s="46"/>
      <c r="U660" s="16" t="s">
        <v>924</v>
      </c>
      <c r="Z660" s="2436"/>
      <c r="AA660" s="2436"/>
      <c r="AB660" s="2436"/>
      <c r="AC660" s="2436"/>
      <c r="AD660" s="2436"/>
      <c r="AE660" s="2436"/>
      <c r="AF660" s="2436"/>
      <c r="AG660" s="2436"/>
      <c r="AH660" s="2436"/>
      <c r="AI660" s="2436"/>
      <c r="AJ660" s="2436"/>
      <c r="AK660" s="243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2306"/>
      <c r="H661" s="2306"/>
      <c r="I661" s="2306"/>
      <c r="J661" s="2306"/>
      <c r="K661" s="2306"/>
      <c r="L661" s="2306"/>
      <c r="O661" s="161" t="s">
        <v>907</v>
      </c>
      <c r="P661" s="2313"/>
      <c r="Q661" s="2313"/>
      <c r="R661" s="2313"/>
      <c r="T661" s="46"/>
      <c r="U661" s="16" t="s">
        <v>723</v>
      </c>
      <c r="Z661" s="2306"/>
      <c r="AA661" s="2306"/>
      <c r="AB661" s="2306"/>
      <c r="AC661" s="2306"/>
      <c r="AD661" s="2306"/>
      <c r="AE661" s="2306"/>
      <c r="AH661" s="161" t="s">
        <v>907</v>
      </c>
      <c r="AI661" s="2313"/>
      <c r="AJ661" s="2313"/>
      <c r="AK661" s="2313"/>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2312"/>
      <c r="I662" s="2312"/>
      <c r="J662" s="2312"/>
      <c r="K662" s="2312"/>
      <c r="L662" s="2312"/>
      <c r="M662" s="2312"/>
      <c r="N662" s="2312"/>
      <c r="O662" s="2312"/>
      <c r="P662" s="2312"/>
      <c r="Q662" s="2312"/>
      <c r="R662" s="2312"/>
      <c r="T662" s="46"/>
      <c r="U662" s="16" t="s">
        <v>925</v>
      </c>
      <c r="AA662" s="2312"/>
      <c r="AB662" s="2312"/>
      <c r="AC662" s="2312"/>
      <c r="AD662" s="2312"/>
      <c r="AE662" s="2312"/>
      <c r="AF662" s="2312"/>
      <c r="AG662" s="2312"/>
      <c r="AH662" s="2312"/>
      <c r="AI662" s="2312"/>
      <c r="AJ662" s="2312"/>
      <c r="AK662" s="231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2343" t="s">
        <v>536</v>
      </c>
      <c r="O663" s="2343"/>
      <c r="T663" s="46"/>
      <c r="U663" s="16" t="s">
        <v>927</v>
      </c>
      <c r="AG663" s="2343" t="s">
        <v>536</v>
      </c>
      <c r="AH663" s="234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2514">
        <f>C625</f>
        <v>0</v>
      </c>
      <c r="H665" s="2514"/>
      <c r="I665" s="2514"/>
      <c r="J665" s="2514"/>
      <c r="K665" s="2514"/>
      <c r="L665" s="2514"/>
      <c r="M665" s="2514"/>
      <c r="N665" s="2514"/>
      <c r="O665" s="2514"/>
      <c r="P665" s="2514"/>
      <c r="Q665" s="2514"/>
      <c r="R665" s="2514"/>
      <c r="T665" s="101" t="s">
        <v>191</v>
      </c>
      <c r="U665" s="16" t="s">
        <v>92</v>
      </c>
      <c r="Z665" s="2514">
        <f>C626</f>
        <v>0</v>
      </c>
      <c r="AA665" s="2514"/>
      <c r="AB665" s="2514"/>
      <c r="AC665" s="2514"/>
      <c r="AD665" s="2514"/>
      <c r="AE665" s="2514"/>
      <c r="AF665" s="2514"/>
      <c r="AG665" s="2514"/>
      <c r="AH665" s="2514"/>
      <c r="AI665" s="2514"/>
      <c r="AJ665" s="2514"/>
      <c r="AK665" s="251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2312"/>
      <c r="H666" s="2312"/>
      <c r="I666" s="2312"/>
      <c r="J666" s="2312"/>
      <c r="K666" s="2312"/>
      <c r="L666" s="2312"/>
      <c r="M666" s="2312"/>
      <c r="N666" s="2312"/>
      <c r="O666" s="2312"/>
      <c r="P666" s="2312"/>
      <c r="Q666" s="2312"/>
      <c r="R666" s="2312"/>
      <c r="T666" s="46"/>
      <c r="U666" s="16" t="s">
        <v>421</v>
      </c>
      <c r="Z666" s="2312"/>
      <c r="AA666" s="2312"/>
      <c r="AB666" s="2312"/>
      <c r="AC666" s="2312"/>
      <c r="AD666" s="2312"/>
      <c r="AE666" s="2312"/>
      <c r="AF666" s="2312"/>
      <c r="AG666" s="2312"/>
      <c r="AH666" s="2312"/>
      <c r="AI666" s="2312"/>
      <c r="AJ666" s="2312"/>
      <c r="AK666" s="231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2312"/>
      <c r="H667" s="2312"/>
      <c r="I667" s="2312"/>
      <c r="J667" s="2312"/>
      <c r="K667" s="2312"/>
      <c r="L667" s="2312"/>
      <c r="M667" s="2312"/>
      <c r="N667" s="2312"/>
      <c r="O667" s="2312"/>
      <c r="P667" s="2312"/>
      <c r="Q667" s="2312"/>
      <c r="R667" s="2312"/>
      <c r="T667" s="46"/>
      <c r="U667" s="16" t="s">
        <v>484</v>
      </c>
      <c r="Z667" s="2436"/>
      <c r="AA667" s="2436"/>
      <c r="AB667" s="2436"/>
      <c r="AC667" s="2436"/>
      <c r="AD667" s="2436"/>
      <c r="AE667" s="2436"/>
      <c r="AF667" s="2436"/>
      <c r="AG667" s="2436"/>
      <c r="AH667" s="2436"/>
      <c r="AI667" s="2436"/>
      <c r="AJ667" s="2436"/>
      <c r="AK667" s="243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2312"/>
      <c r="H668" s="2312"/>
      <c r="I668" s="2312"/>
      <c r="J668" s="2312"/>
      <c r="K668" s="2312"/>
      <c r="L668" s="2312"/>
      <c r="M668" s="2312"/>
      <c r="N668" s="2312"/>
      <c r="O668" s="2312"/>
      <c r="P668" s="2312"/>
      <c r="Q668" s="2312"/>
      <c r="R668" s="2312"/>
      <c r="T668" s="46"/>
      <c r="U668" s="16" t="s">
        <v>924</v>
      </c>
      <c r="Z668" s="2436"/>
      <c r="AA668" s="2436"/>
      <c r="AB668" s="2436"/>
      <c r="AC668" s="2436"/>
      <c r="AD668" s="2436"/>
      <c r="AE668" s="2436"/>
      <c r="AF668" s="2436"/>
      <c r="AG668" s="2436"/>
      <c r="AH668" s="2436"/>
      <c r="AI668" s="2436"/>
      <c r="AJ668" s="2436"/>
      <c r="AK668" s="243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2306"/>
      <c r="H669" s="2306"/>
      <c r="I669" s="2306"/>
      <c r="J669" s="2306"/>
      <c r="K669" s="2306"/>
      <c r="L669" s="2306"/>
      <c r="O669" s="161" t="s">
        <v>907</v>
      </c>
      <c r="P669" s="2313"/>
      <c r="Q669" s="2313"/>
      <c r="R669" s="2313"/>
      <c r="T669" s="46"/>
      <c r="U669" s="16" t="s">
        <v>723</v>
      </c>
      <c r="Z669" s="2306"/>
      <c r="AA669" s="2306"/>
      <c r="AB669" s="2306"/>
      <c r="AC669" s="2306"/>
      <c r="AD669" s="2306"/>
      <c r="AE669" s="2306"/>
      <c r="AH669" s="161" t="s">
        <v>907</v>
      </c>
      <c r="AI669" s="2313"/>
      <c r="AJ669" s="2313"/>
      <c r="AK669" s="2313"/>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2312"/>
      <c r="I670" s="2312"/>
      <c r="J670" s="2312"/>
      <c r="K670" s="2312"/>
      <c r="L670" s="2312"/>
      <c r="M670" s="2312"/>
      <c r="N670" s="2312"/>
      <c r="O670" s="2312"/>
      <c r="P670" s="2312"/>
      <c r="Q670" s="2312"/>
      <c r="R670" s="2312"/>
      <c r="T670" s="46"/>
      <c r="U670" s="16" t="s">
        <v>925</v>
      </c>
      <c r="AA670" s="2312"/>
      <c r="AB670" s="2312"/>
      <c r="AC670" s="2312"/>
      <c r="AD670" s="2312"/>
      <c r="AE670" s="2312"/>
      <c r="AF670" s="2312"/>
      <c r="AG670" s="2312"/>
      <c r="AH670" s="2312"/>
      <c r="AI670" s="2312"/>
      <c r="AJ670" s="2312"/>
      <c r="AK670" s="2312"/>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2343" t="s">
        <v>536</v>
      </c>
      <c r="O671" s="2343"/>
      <c r="T671" s="46"/>
      <c r="U671" s="16" t="s">
        <v>927</v>
      </c>
      <c r="AG671" s="2343" t="s">
        <v>536</v>
      </c>
      <c r="AH671" s="2343"/>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2514">
        <f>C627</f>
        <v>0</v>
      </c>
      <c r="H673" s="2514"/>
      <c r="I673" s="2514"/>
      <c r="J673" s="2514"/>
      <c r="K673" s="2514"/>
      <c r="L673" s="2514"/>
      <c r="M673" s="2514"/>
      <c r="N673" s="2514"/>
      <c r="O673" s="2514"/>
      <c r="P673" s="2514"/>
      <c r="Q673" s="2514"/>
      <c r="R673" s="2514"/>
      <c r="T673" s="101" t="s">
        <v>38</v>
      </c>
      <c r="U673" s="16" t="s">
        <v>92</v>
      </c>
      <c r="Z673" s="2514">
        <f>C628</f>
        <v>0</v>
      </c>
      <c r="AA673" s="2514"/>
      <c r="AB673" s="2514"/>
      <c r="AC673" s="2514"/>
      <c r="AD673" s="2514"/>
      <c r="AE673" s="2514"/>
      <c r="AF673" s="2514"/>
      <c r="AG673" s="2514"/>
      <c r="AH673" s="2514"/>
      <c r="AI673" s="2514"/>
      <c r="AJ673" s="2514"/>
      <c r="AK673" s="2514"/>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2312"/>
      <c r="H674" s="2312"/>
      <c r="I674" s="2312"/>
      <c r="J674" s="2312"/>
      <c r="K674" s="2312"/>
      <c r="L674" s="2312"/>
      <c r="M674" s="2312"/>
      <c r="N674" s="2312"/>
      <c r="O674" s="2312"/>
      <c r="P674" s="2312"/>
      <c r="Q674" s="2312"/>
      <c r="R674" s="2312"/>
      <c r="T674" s="46"/>
      <c r="U674" s="16" t="s">
        <v>421</v>
      </c>
      <c r="Z674" s="2312"/>
      <c r="AA674" s="2312"/>
      <c r="AB674" s="2312"/>
      <c r="AC674" s="2312"/>
      <c r="AD674" s="2312"/>
      <c r="AE674" s="2312"/>
      <c r="AF674" s="2312"/>
      <c r="AG674" s="2312"/>
      <c r="AH674" s="2312"/>
      <c r="AI674" s="2312"/>
      <c r="AJ674" s="2312"/>
      <c r="AK674" s="2312"/>
      <c r="AM674" s="75"/>
      <c r="AN674" s="75">
        <f t="shared" ref="AN674:AN698" si="22">IF($G691=0,"N/A",VLOOKUP($T$196,TC_Rent,(MATCH($B691,bedrooms,FALSE))))</f>
        <v>2242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2312"/>
      <c r="H675" s="2312"/>
      <c r="I675" s="2312"/>
      <c r="J675" s="2312"/>
      <c r="K675" s="2312"/>
      <c r="L675" s="2312"/>
      <c r="M675" s="2312"/>
      <c r="N675" s="2312"/>
      <c r="O675" s="2312"/>
      <c r="P675" s="2312"/>
      <c r="Q675" s="2312"/>
      <c r="R675" s="2312"/>
      <c r="U675" s="16" t="s">
        <v>484</v>
      </c>
      <c r="Z675" s="2436"/>
      <c r="AA675" s="2436"/>
      <c r="AB675" s="2436"/>
      <c r="AC675" s="2436"/>
      <c r="AD675" s="2436"/>
      <c r="AE675" s="2436"/>
      <c r="AF675" s="2436"/>
      <c r="AG675" s="2436"/>
      <c r="AH675" s="2436"/>
      <c r="AI675" s="2436"/>
      <c r="AJ675" s="2436"/>
      <c r="AK675" s="2436"/>
      <c r="AM675" s="75"/>
      <c r="AN675" s="75">
        <f t="shared" si="22"/>
        <v>2242</v>
      </c>
      <c r="AO675" s="75"/>
      <c r="AP675" s="75"/>
      <c r="AQ675" s="75"/>
      <c r="AR675" s="75"/>
      <c r="AS675" s="75"/>
      <c r="AT675" s="737">
        <f t="shared" ref="AT675:AT699" si="23">G691</f>
        <v>10</v>
      </c>
      <c r="AU675" s="750">
        <f>AT675/$AT$700</f>
        <v>0.1</v>
      </c>
      <c r="AV675" s="752">
        <f t="shared" ref="AV675:AV699" si="24">IF(AU675=0," ",AU675*AD691)</f>
        <v>0.03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2312"/>
      <c r="H676" s="2312"/>
      <c r="I676" s="2312"/>
      <c r="J676" s="2312"/>
      <c r="K676" s="2312"/>
      <c r="L676" s="2312"/>
      <c r="M676" s="2312"/>
      <c r="N676" s="2312"/>
      <c r="O676" s="2312"/>
      <c r="P676" s="2312"/>
      <c r="Q676" s="2312"/>
      <c r="R676" s="2312"/>
      <c r="U676" s="16" t="s">
        <v>924</v>
      </c>
      <c r="Z676" s="2436"/>
      <c r="AA676" s="2436"/>
      <c r="AB676" s="2436"/>
      <c r="AC676" s="2436"/>
      <c r="AD676" s="2436"/>
      <c r="AE676" s="2436"/>
      <c r="AF676" s="2436"/>
      <c r="AG676" s="2436"/>
      <c r="AH676" s="2436"/>
      <c r="AI676" s="2436"/>
      <c r="AJ676" s="2436"/>
      <c r="AK676" s="2436"/>
      <c r="AM676" s="75"/>
      <c r="AN676" s="75">
        <f t="shared" si="22"/>
        <v>2242</v>
      </c>
      <c r="AO676" s="75"/>
      <c r="AP676" s="75"/>
      <c r="AQ676" s="75"/>
      <c r="AR676" s="75"/>
      <c r="AS676" s="75"/>
      <c r="AT676" s="738">
        <f t="shared" si="23"/>
        <v>32</v>
      </c>
      <c r="AU676" s="750">
        <f t="shared" ref="AU676:AU699" si="25">AT676/$AT$700</f>
        <v>0.32</v>
      </c>
      <c r="AV676" s="752">
        <f t="shared" si="24"/>
        <v>0.128</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2306"/>
      <c r="H677" s="2306"/>
      <c r="I677" s="2306"/>
      <c r="J677" s="2306"/>
      <c r="K677" s="2306"/>
      <c r="L677" s="2306"/>
      <c r="O677" s="161" t="s">
        <v>907</v>
      </c>
      <c r="P677" s="2313"/>
      <c r="Q677" s="2313"/>
      <c r="R677" s="2313"/>
      <c r="U677" s="16" t="s">
        <v>723</v>
      </c>
      <c r="Z677" s="2306"/>
      <c r="AA677" s="2306"/>
      <c r="AB677" s="2306"/>
      <c r="AC677" s="2306"/>
      <c r="AD677" s="2306"/>
      <c r="AE677" s="2306"/>
      <c r="AH677" s="161" t="s">
        <v>907</v>
      </c>
      <c r="AI677" s="2313"/>
      <c r="AJ677" s="2313"/>
      <c r="AK677" s="2313"/>
      <c r="AM677" s="72"/>
      <c r="AN677" s="75">
        <f t="shared" si="22"/>
        <v>2242</v>
      </c>
      <c r="AO677" s="72"/>
      <c r="AP677" s="72"/>
      <c r="AQ677" s="72"/>
      <c r="AR677" s="72"/>
      <c r="AS677" s="72"/>
      <c r="AT677" s="738">
        <f t="shared" si="23"/>
        <v>31</v>
      </c>
      <c r="AU677" s="750">
        <f t="shared" si="25"/>
        <v>0.31</v>
      </c>
      <c r="AV677" s="752">
        <f t="shared" si="24"/>
        <v>0.155</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2312"/>
      <c r="I678" s="2312"/>
      <c r="J678" s="2312"/>
      <c r="K678" s="2312"/>
      <c r="L678" s="2312"/>
      <c r="M678" s="2312"/>
      <c r="N678" s="2312"/>
      <c r="O678" s="2312"/>
      <c r="P678" s="2312"/>
      <c r="Q678" s="2312"/>
      <c r="R678" s="2312"/>
      <c r="U678" s="16" t="s">
        <v>925</v>
      </c>
      <c r="AA678" s="2312"/>
      <c r="AB678" s="2312"/>
      <c r="AC678" s="2312"/>
      <c r="AD678" s="2312"/>
      <c r="AE678" s="2312"/>
      <c r="AF678" s="2312"/>
      <c r="AG678" s="2312"/>
      <c r="AH678" s="2312"/>
      <c r="AI678" s="2312"/>
      <c r="AJ678" s="2312"/>
      <c r="AK678" s="2312"/>
      <c r="AM678" s="72"/>
      <c r="AN678" s="75">
        <f t="shared" si="22"/>
        <v>2242</v>
      </c>
      <c r="AO678" s="72"/>
      <c r="AP678" s="72"/>
      <c r="AQ678" s="72"/>
      <c r="AR678" s="72"/>
      <c r="AS678" s="72"/>
      <c r="AT678" s="738">
        <f t="shared" si="23"/>
        <v>10</v>
      </c>
      <c r="AU678" s="750">
        <f t="shared" si="25"/>
        <v>0.1</v>
      </c>
      <c r="AV678" s="752">
        <f t="shared" si="24"/>
        <v>0.06</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2343" t="s">
        <v>536</v>
      </c>
      <c r="O679" s="2343"/>
      <c r="U679" s="16" t="s">
        <v>927</v>
      </c>
      <c r="AG679" s="2343" t="s">
        <v>536</v>
      </c>
      <c r="AH679" s="2343"/>
      <c r="AM679" s="72"/>
      <c r="AN679" s="75">
        <f t="shared" si="22"/>
        <v>2242</v>
      </c>
      <c r="AO679" s="72"/>
      <c r="AP679" s="72"/>
      <c r="AQ679" s="72"/>
      <c r="AR679" s="72"/>
      <c r="AS679" s="72"/>
      <c r="AT679" s="738">
        <f t="shared" si="23"/>
        <v>9</v>
      </c>
      <c r="AU679" s="750">
        <f t="shared" si="25"/>
        <v>0.09</v>
      </c>
      <c r="AV679" s="752">
        <f t="shared" si="24"/>
        <v>6.3E-2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8</v>
      </c>
      <c r="AU680" s="750">
        <f t="shared" si="25"/>
        <v>0.08</v>
      </c>
      <c r="AV680" s="752">
        <f t="shared" si="24"/>
        <v>6.4000000000000001E-2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2401" t="s">
        <v>138</v>
      </c>
      <c r="B682" s="2401"/>
      <c r="C682" s="2401"/>
      <c r="D682" s="2401"/>
      <c r="E682" s="2401"/>
      <c r="F682" s="2401"/>
      <c r="G682" s="2401"/>
      <c r="H682" s="2401"/>
      <c r="I682" s="2401"/>
      <c r="J682" s="2401"/>
      <c r="K682" s="2401"/>
      <c r="L682" s="2401"/>
      <c r="M682" s="2401"/>
      <c r="N682" s="2401"/>
      <c r="O682" s="2401"/>
      <c r="P682" s="2401"/>
      <c r="Q682" s="2401"/>
      <c r="R682" s="2401"/>
      <c r="S682" s="2401"/>
      <c r="T682" s="2401"/>
      <c r="U682" s="2401"/>
      <c r="V682" s="2401"/>
      <c r="W682" s="2401"/>
      <c r="X682" s="2401"/>
      <c r="Y682" s="2401"/>
      <c r="Z682" s="2401"/>
      <c r="AA682" s="2401"/>
      <c r="AB682" s="2401"/>
      <c r="AC682" s="2401"/>
      <c r="AD682" s="2401"/>
      <c r="AE682" s="2401"/>
      <c r="AF682" s="2401"/>
      <c r="AG682" s="2401"/>
      <c r="AH682" s="2401"/>
      <c r="AI682" s="2401"/>
      <c r="AJ682" s="2401"/>
      <c r="AK682" s="2401"/>
      <c r="AL682" s="2401"/>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2401"/>
      <c r="B683" s="2401"/>
      <c r="C683" s="2401"/>
      <c r="D683" s="2401"/>
      <c r="E683" s="2401"/>
      <c r="F683" s="2401"/>
      <c r="G683" s="2401"/>
      <c r="H683" s="2401"/>
      <c r="I683" s="2401"/>
      <c r="J683" s="2401"/>
      <c r="K683" s="2401"/>
      <c r="L683" s="2401"/>
      <c r="M683" s="2401"/>
      <c r="N683" s="2401"/>
      <c r="O683" s="2401"/>
      <c r="P683" s="2401"/>
      <c r="Q683" s="2401"/>
      <c r="R683" s="2401"/>
      <c r="S683" s="2401"/>
      <c r="T683" s="2401"/>
      <c r="U683" s="2401"/>
      <c r="V683" s="2401"/>
      <c r="W683" s="2401"/>
      <c r="X683" s="2401"/>
      <c r="Y683" s="2401"/>
      <c r="Z683" s="2401"/>
      <c r="AA683" s="2401"/>
      <c r="AB683" s="2401"/>
      <c r="AC683" s="2401"/>
      <c r="AD683" s="2401"/>
      <c r="AE683" s="2401"/>
      <c r="AF683" s="2401"/>
      <c r="AG683" s="2401"/>
      <c r="AH683" s="2401"/>
      <c r="AI683" s="2401"/>
      <c r="AJ683" s="2401"/>
      <c r="AK683" s="2401"/>
      <c r="AL683" s="240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2472" t="s">
        <v>58</v>
      </c>
      <c r="C687" s="2473"/>
      <c r="D687" s="2473"/>
      <c r="E687" s="2473"/>
      <c r="F687" s="2474"/>
      <c r="G687" s="2472" t="s">
        <v>284</v>
      </c>
      <c r="H687" s="2473"/>
      <c r="I687" s="2473"/>
      <c r="J687" s="2474"/>
      <c r="K687" s="2472" t="s">
        <v>662</v>
      </c>
      <c r="L687" s="2473"/>
      <c r="M687" s="2473"/>
      <c r="N687" s="2473"/>
      <c r="O687" s="2474"/>
      <c r="P687" s="2472" t="s">
        <v>285</v>
      </c>
      <c r="Q687" s="2473"/>
      <c r="R687" s="2473"/>
      <c r="S687" s="2473"/>
      <c r="T687" s="2474"/>
      <c r="U687" s="2472" t="s">
        <v>286</v>
      </c>
      <c r="V687" s="2473"/>
      <c r="W687" s="2473"/>
      <c r="X687" s="2474"/>
      <c r="Y687" s="2472" t="s">
        <v>287</v>
      </c>
      <c r="Z687" s="2473"/>
      <c r="AA687" s="2473"/>
      <c r="AB687" s="2473"/>
      <c r="AC687" s="2474"/>
      <c r="AD687" s="2472" t="s">
        <v>335</v>
      </c>
      <c r="AE687" s="2473"/>
      <c r="AF687" s="2473"/>
      <c r="AG687" s="2473"/>
      <c r="AH687" s="2474"/>
      <c r="AI687" s="2472" t="s">
        <v>336</v>
      </c>
      <c r="AJ687" s="2473"/>
      <c r="AK687" s="2474"/>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2475"/>
      <c r="C688" s="2476"/>
      <c r="D688" s="2476"/>
      <c r="E688" s="2476"/>
      <c r="F688" s="2477"/>
      <c r="G688" s="2475"/>
      <c r="H688" s="2476"/>
      <c r="I688" s="2476"/>
      <c r="J688" s="2477"/>
      <c r="K688" s="2475"/>
      <c r="L688" s="2476"/>
      <c r="M688" s="2476"/>
      <c r="N688" s="2476"/>
      <c r="O688" s="2477"/>
      <c r="P688" s="2475"/>
      <c r="Q688" s="2476"/>
      <c r="R688" s="2476"/>
      <c r="S688" s="2476"/>
      <c r="T688" s="2477"/>
      <c r="U688" s="2475"/>
      <c r="V688" s="2476"/>
      <c r="W688" s="2476"/>
      <c r="X688" s="2477"/>
      <c r="Y688" s="2475"/>
      <c r="Z688" s="2476"/>
      <c r="AA688" s="2476"/>
      <c r="AB688" s="2476"/>
      <c r="AC688" s="2477"/>
      <c r="AD688" s="2475"/>
      <c r="AE688" s="2476"/>
      <c r="AF688" s="2476"/>
      <c r="AG688" s="2476"/>
      <c r="AH688" s="2477"/>
      <c r="AI688" s="2475"/>
      <c r="AJ688" s="2476"/>
      <c r="AK688" s="2477"/>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2475"/>
      <c r="C689" s="2476"/>
      <c r="D689" s="2476"/>
      <c r="E689" s="2476"/>
      <c r="F689" s="2477"/>
      <c r="G689" s="2475"/>
      <c r="H689" s="2476"/>
      <c r="I689" s="2476"/>
      <c r="J689" s="2477"/>
      <c r="K689" s="2475"/>
      <c r="L689" s="2476"/>
      <c r="M689" s="2476"/>
      <c r="N689" s="2476"/>
      <c r="O689" s="2477"/>
      <c r="P689" s="2475"/>
      <c r="Q689" s="2476"/>
      <c r="R689" s="2476"/>
      <c r="S689" s="2476"/>
      <c r="T689" s="2477"/>
      <c r="U689" s="2475"/>
      <c r="V689" s="2476"/>
      <c r="W689" s="2476"/>
      <c r="X689" s="2477"/>
      <c r="Y689" s="2475"/>
      <c r="Z689" s="2476"/>
      <c r="AA689" s="2476"/>
      <c r="AB689" s="2476"/>
      <c r="AC689" s="2477"/>
      <c r="AD689" s="2475"/>
      <c r="AE689" s="2476"/>
      <c r="AF689" s="2476"/>
      <c r="AG689" s="2476"/>
      <c r="AH689" s="2477"/>
      <c r="AI689" s="2475"/>
      <c r="AJ689" s="2476"/>
      <c r="AK689" s="2477"/>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2478"/>
      <c r="C690" s="2479"/>
      <c r="D690" s="2479"/>
      <c r="E690" s="2479"/>
      <c r="F690" s="2480"/>
      <c r="G690" s="2478"/>
      <c r="H690" s="2479"/>
      <c r="I690" s="2479"/>
      <c r="J690" s="2480"/>
      <c r="K690" s="2478"/>
      <c r="L690" s="2479"/>
      <c r="M690" s="2479"/>
      <c r="N690" s="2479"/>
      <c r="O690" s="2480"/>
      <c r="P690" s="2478"/>
      <c r="Q690" s="2479"/>
      <c r="R690" s="2479"/>
      <c r="S690" s="2479"/>
      <c r="T690" s="2480"/>
      <c r="U690" s="2478"/>
      <c r="V690" s="2479"/>
      <c r="W690" s="2479"/>
      <c r="X690" s="2480"/>
      <c r="Y690" s="2478"/>
      <c r="Z690" s="2479"/>
      <c r="AA690" s="2479"/>
      <c r="AB690" s="2479"/>
      <c r="AC690" s="2480"/>
      <c r="AD690" s="2478"/>
      <c r="AE690" s="2479"/>
      <c r="AF690" s="2479"/>
      <c r="AG690" s="2479"/>
      <c r="AH690" s="2480"/>
      <c r="AI690" s="2478"/>
      <c r="AJ690" s="2479"/>
      <c r="AK690" s="2480"/>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2383" t="s">
        <v>495</v>
      </c>
      <c r="C691" s="2384"/>
      <c r="D691" s="2384"/>
      <c r="E691" s="2384"/>
      <c r="F691" s="2385"/>
      <c r="G691" s="2469">
        <f>'Applicant Notes'!D20</f>
        <v>10</v>
      </c>
      <c r="H691" s="2470"/>
      <c r="I691" s="2470"/>
      <c r="J691" s="2471"/>
      <c r="K691" s="2328">
        <f>'Applicant Notes'!I20</f>
        <v>636</v>
      </c>
      <c r="L691" s="2329"/>
      <c r="M691" s="2329"/>
      <c r="N691" s="2329"/>
      <c r="O691" s="2330"/>
      <c r="P691" s="2331">
        <f t="shared" ref="P691:P715" si="26">G691*K691</f>
        <v>6360</v>
      </c>
      <c r="Q691" s="2332"/>
      <c r="R691" s="2332"/>
      <c r="S691" s="2332"/>
      <c r="T691" s="2333"/>
      <c r="U691" s="2328">
        <f>'Applicant Notes'!G20</f>
        <v>36</v>
      </c>
      <c r="V691" s="2329"/>
      <c r="W691" s="2329"/>
      <c r="X691" s="2330"/>
      <c r="Y691" s="2331">
        <f>K691+U691</f>
        <v>672</v>
      </c>
      <c r="Z691" s="2332"/>
      <c r="AA691" s="2332"/>
      <c r="AB691" s="2332"/>
      <c r="AC691" s="2333"/>
      <c r="AD691" s="2337">
        <f>'Applicant Notes'!C20</f>
        <v>0.3</v>
      </c>
      <c r="AE691" s="2338"/>
      <c r="AF691" s="2338"/>
      <c r="AG691" s="2338"/>
      <c r="AH691" s="2339"/>
      <c r="AI691" s="2334">
        <f t="shared" ref="AI691:AI715" si="27">IF($AD691&gt;0,($Y691/$AN674), " ")</f>
        <v>0.29973238180196254</v>
      </c>
      <c r="AJ691" s="2335"/>
      <c r="AK691" s="233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2383" t="s">
        <v>495</v>
      </c>
      <c r="C692" s="2384"/>
      <c r="D692" s="2384"/>
      <c r="E692" s="2384"/>
      <c r="F692" s="2385"/>
      <c r="G692" s="2469">
        <f>'Applicant Notes'!D21</f>
        <v>32</v>
      </c>
      <c r="H692" s="2470"/>
      <c r="I692" s="2470"/>
      <c r="J692" s="2471"/>
      <c r="K692" s="2328">
        <f>'Applicant Notes'!I21</f>
        <v>861</v>
      </c>
      <c r="L692" s="2329"/>
      <c r="M692" s="2329"/>
      <c r="N692" s="2329"/>
      <c r="O692" s="2330"/>
      <c r="P692" s="2331">
        <f t="shared" si="26"/>
        <v>27552</v>
      </c>
      <c r="Q692" s="2332"/>
      <c r="R692" s="2332"/>
      <c r="S692" s="2332"/>
      <c r="T692" s="2333"/>
      <c r="U692" s="2328">
        <f>'Applicant Notes'!G21</f>
        <v>36</v>
      </c>
      <c r="V692" s="2329"/>
      <c r="W692" s="2329"/>
      <c r="X692" s="2330"/>
      <c r="Y692" s="2331">
        <f t="shared" ref="Y692:Y715" si="28">K692+U692</f>
        <v>897</v>
      </c>
      <c r="Z692" s="2332"/>
      <c r="AA692" s="2332"/>
      <c r="AB692" s="2332"/>
      <c r="AC692" s="2333"/>
      <c r="AD692" s="2337">
        <f>'Applicant Notes'!C21</f>
        <v>0.4</v>
      </c>
      <c r="AE692" s="2338"/>
      <c r="AF692" s="2338"/>
      <c r="AG692" s="2338"/>
      <c r="AH692" s="2339"/>
      <c r="AI692" s="2334">
        <f t="shared" si="27"/>
        <v>0.4000892060660125</v>
      </c>
      <c r="AJ692" s="2335"/>
      <c r="AK692" s="233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2383" t="s">
        <v>495</v>
      </c>
      <c r="C693" s="2384"/>
      <c r="D693" s="2384"/>
      <c r="E693" s="2384"/>
      <c r="F693" s="2385"/>
      <c r="G693" s="2469">
        <f>'Applicant Notes'!D22</f>
        <v>31</v>
      </c>
      <c r="H693" s="2470"/>
      <c r="I693" s="2470"/>
      <c r="J693" s="2471"/>
      <c r="K693" s="2328">
        <f>'Applicant Notes'!I22</f>
        <v>1085</v>
      </c>
      <c r="L693" s="2329"/>
      <c r="M693" s="2329"/>
      <c r="N693" s="2329"/>
      <c r="O693" s="2330"/>
      <c r="P693" s="2331">
        <f t="shared" si="26"/>
        <v>33635</v>
      </c>
      <c r="Q693" s="2332"/>
      <c r="R693" s="2332"/>
      <c r="S693" s="2332"/>
      <c r="T693" s="2333"/>
      <c r="U693" s="2328">
        <f>'Applicant Notes'!G22</f>
        <v>36</v>
      </c>
      <c r="V693" s="2329"/>
      <c r="W693" s="2329"/>
      <c r="X693" s="2330"/>
      <c r="Y693" s="2331">
        <f t="shared" si="28"/>
        <v>1121</v>
      </c>
      <c r="Z693" s="2332"/>
      <c r="AA693" s="2332"/>
      <c r="AB693" s="2332"/>
      <c r="AC693" s="2333"/>
      <c r="AD693" s="2337">
        <f>'Applicant Notes'!C22</f>
        <v>0.5</v>
      </c>
      <c r="AE693" s="2338"/>
      <c r="AF693" s="2338"/>
      <c r="AG693" s="2338"/>
      <c r="AH693" s="2339"/>
      <c r="AI693" s="2334">
        <f t="shared" si="27"/>
        <v>0.5</v>
      </c>
      <c r="AJ693" s="2335"/>
      <c r="AK693" s="233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2383" t="s">
        <v>495</v>
      </c>
      <c r="C694" s="2384"/>
      <c r="D694" s="2384"/>
      <c r="E694" s="2384"/>
      <c r="F694" s="2385"/>
      <c r="G694" s="2469">
        <f>'Applicant Notes'!D23</f>
        <v>10</v>
      </c>
      <c r="H694" s="2470"/>
      <c r="I694" s="2470"/>
      <c r="J694" s="2471"/>
      <c r="K694" s="2328">
        <f>'Applicant Notes'!I23</f>
        <v>1309</v>
      </c>
      <c r="L694" s="2329"/>
      <c r="M694" s="2329"/>
      <c r="N694" s="2329"/>
      <c r="O694" s="2330"/>
      <c r="P694" s="2331">
        <f t="shared" si="26"/>
        <v>13090</v>
      </c>
      <c r="Q694" s="2332"/>
      <c r="R694" s="2332"/>
      <c r="S694" s="2332"/>
      <c r="T694" s="2333"/>
      <c r="U694" s="2328">
        <f>'Applicant Notes'!G23</f>
        <v>36</v>
      </c>
      <c r="V694" s="2329"/>
      <c r="W694" s="2329"/>
      <c r="X694" s="2330"/>
      <c r="Y694" s="2331">
        <f t="shared" si="28"/>
        <v>1345</v>
      </c>
      <c r="Z694" s="2332"/>
      <c r="AA694" s="2332"/>
      <c r="AB694" s="2332"/>
      <c r="AC694" s="2333"/>
      <c r="AD694" s="2337">
        <f>'Applicant Notes'!C23</f>
        <v>0.6</v>
      </c>
      <c r="AE694" s="2338"/>
      <c r="AF694" s="2338"/>
      <c r="AG694" s="2338"/>
      <c r="AH694" s="2339"/>
      <c r="AI694" s="2334">
        <f t="shared" si="27"/>
        <v>0.5999107939339875</v>
      </c>
      <c r="AJ694" s="2335"/>
      <c r="AK694" s="233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2383" t="s">
        <v>495</v>
      </c>
      <c r="C695" s="2384"/>
      <c r="D695" s="2384"/>
      <c r="E695" s="2384"/>
      <c r="F695" s="2385"/>
      <c r="G695" s="2469">
        <f>'Applicant Notes'!D24</f>
        <v>9</v>
      </c>
      <c r="H695" s="2470"/>
      <c r="I695" s="2470"/>
      <c r="J695" s="2471"/>
      <c r="K695" s="2328">
        <f>'Applicant Notes'!I24</f>
        <v>1533</v>
      </c>
      <c r="L695" s="2329"/>
      <c r="M695" s="2329"/>
      <c r="N695" s="2329"/>
      <c r="O695" s="2330"/>
      <c r="P695" s="2331">
        <f t="shared" si="26"/>
        <v>13797</v>
      </c>
      <c r="Q695" s="2332"/>
      <c r="R695" s="2332"/>
      <c r="S695" s="2332"/>
      <c r="T695" s="2333"/>
      <c r="U695" s="2328">
        <f>'Applicant Notes'!G24</f>
        <v>36</v>
      </c>
      <c r="V695" s="2329"/>
      <c r="W695" s="2329"/>
      <c r="X695" s="2330"/>
      <c r="Y695" s="2331">
        <f t="shared" si="28"/>
        <v>1569</v>
      </c>
      <c r="Z695" s="2332"/>
      <c r="AA695" s="2332"/>
      <c r="AB695" s="2332"/>
      <c r="AC695" s="2333"/>
      <c r="AD695" s="2337">
        <f>'Applicant Notes'!C24</f>
        <v>0.7</v>
      </c>
      <c r="AE695" s="2338"/>
      <c r="AF695" s="2338"/>
      <c r="AG695" s="2338"/>
      <c r="AH695" s="2339"/>
      <c r="AI695" s="2334">
        <f t="shared" si="27"/>
        <v>0.69982158786797499</v>
      </c>
      <c r="AJ695" s="2335"/>
      <c r="AK695" s="233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2383" t="s">
        <v>495</v>
      </c>
      <c r="C696" s="2384"/>
      <c r="D696" s="2384"/>
      <c r="E696" s="2384"/>
      <c r="F696" s="2385"/>
      <c r="G696" s="2469">
        <f>'Applicant Notes'!D25</f>
        <v>8</v>
      </c>
      <c r="H696" s="2470"/>
      <c r="I696" s="2470"/>
      <c r="J696" s="2471"/>
      <c r="K696" s="2328">
        <f>'Applicant Notes'!I25</f>
        <v>1540</v>
      </c>
      <c r="L696" s="2329"/>
      <c r="M696" s="2329"/>
      <c r="N696" s="2329"/>
      <c r="O696" s="2330"/>
      <c r="P696" s="2331">
        <f t="shared" si="26"/>
        <v>12320</v>
      </c>
      <c r="Q696" s="2332"/>
      <c r="R696" s="2332"/>
      <c r="S696" s="2332"/>
      <c r="T696" s="2333"/>
      <c r="U696" s="2328">
        <f>'Applicant Notes'!G25</f>
        <v>36</v>
      </c>
      <c r="V696" s="2329"/>
      <c r="W696" s="2329"/>
      <c r="X696" s="2330"/>
      <c r="Y696" s="2331">
        <f t="shared" si="28"/>
        <v>1576</v>
      </c>
      <c r="Z696" s="2332"/>
      <c r="AA696" s="2332"/>
      <c r="AB696" s="2332"/>
      <c r="AC696" s="2333"/>
      <c r="AD696" s="2337">
        <f>'Applicant Notes'!C25</f>
        <v>0.8</v>
      </c>
      <c r="AE696" s="2338"/>
      <c r="AF696" s="2338"/>
      <c r="AG696" s="2338"/>
      <c r="AH696" s="2339"/>
      <c r="AI696" s="2334">
        <f t="shared" si="27"/>
        <v>0.70294380017841218</v>
      </c>
      <c r="AJ696" s="2335"/>
      <c r="AK696" s="233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2383"/>
      <c r="C697" s="2384"/>
      <c r="D697" s="2384"/>
      <c r="E697" s="2384"/>
      <c r="F697" s="2385"/>
      <c r="G697" s="2469"/>
      <c r="H697" s="2470"/>
      <c r="I697" s="2470"/>
      <c r="J697" s="2471"/>
      <c r="K697" s="2328"/>
      <c r="L697" s="2329"/>
      <c r="M697" s="2329"/>
      <c r="N697" s="2329"/>
      <c r="O697" s="2330"/>
      <c r="P697" s="2331">
        <f t="shared" si="26"/>
        <v>0</v>
      </c>
      <c r="Q697" s="2332"/>
      <c r="R697" s="2332"/>
      <c r="S697" s="2332"/>
      <c r="T697" s="2333"/>
      <c r="U697" s="2328"/>
      <c r="V697" s="2329"/>
      <c r="W697" s="2329"/>
      <c r="X697" s="2330"/>
      <c r="Y697" s="2331">
        <f t="shared" si="28"/>
        <v>0</v>
      </c>
      <c r="Z697" s="2332"/>
      <c r="AA697" s="2332"/>
      <c r="AB697" s="2332"/>
      <c r="AC697" s="2333"/>
      <c r="AD697" s="2337"/>
      <c r="AE697" s="2338"/>
      <c r="AF697" s="2338"/>
      <c r="AG697" s="2338"/>
      <c r="AH697" s="2339"/>
      <c r="AI697" s="2334" t="str">
        <f t="shared" si="27"/>
        <v xml:space="preserve"> </v>
      </c>
      <c r="AJ697" s="2335"/>
      <c r="AK697" s="233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2383"/>
      <c r="C698" s="2384"/>
      <c r="D698" s="2384"/>
      <c r="E698" s="2384"/>
      <c r="F698" s="2385"/>
      <c r="G698" s="2469"/>
      <c r="H698" s="2470"/>
      <c r="I698" s="2470"/>
      <c r="J698" s="2471"/>
      <c r="K698" s="2328"/>
      <c r="L698" s="2329"/>
      <c r="M698" s="2329"/>
      <c r="N698" s="2329"/>
      <c r="O698" s="2330"/>
      <c r="P698" s="2331">
        <f t="shared" si="26"/>
        <v>0</v>
      </c>
      <c r="Q698" s="2332"/>
      <c r="R698" s="2332"/>
      <c r="S698" s="2332"/>
      <c r="T698" s="2333"/>
      <c r="U698" s="2328"/>
      <c r="V698" s="2329"/>
      <c r="W698" s="2329"/>
      <c r="X698" s="2330"/>
      <c r="Y698" s="2331">
        <f t="shared" si="28"/>
        <v>0</v>
      </c>
      <c r="Z698" s="2332"/>
      <c r="AA698" s="2332"/>
      <c r="AB698" s="2332"/>
      <c r="AC698" s="2333"/>
      <c r="AD698" s="2337"/>
      <c r="AE698" s="2338"/>
      <c r="AF698" s="2338"/>
      <c r="AG698" s="2338"/>
      <c r="AH698" s="2339"/>
      <c r="AI698" s="2334" t="str">
        <f t="shared" si="27"/>
        <v xml:space="preserve"> </v>
      </c>
      <c r="AJ698" s="2335"/>
      <c r="AK698" s="233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2383"/>
      <c r="C699" s="2384"/>
      <c r="D699" s="2384"/>
      <c r="E699" s="2384"/>
      <c r="F699" s="2385"/>
      <c r="G699" s="2469"/>
      <c r="H699" s="2470"/>
      <c r="I699" s="2470"/>
      <c r="J699" s="2471"/>
      <c r="K699" s="2328"/>
      <c r="L699" s="2329"/>
      <c r="M699" s="2329"/>
      <c r="N699" s="2329"/>
      <c r="O699" s="2330"/>
      <c r="P699" s="2331">
        <f t="shared" si="26"/>
        <v>0</v>
      </c>
      <c r="Q699" s="2332"/>
      <c r="R699" s="2332"/>
      <c r="S699" s="2332"/>
      <c r="T699" s="2333"/>
      <c r="U699" s="2328"/>
      <c r="V699" s="2329"/>
      <c r="W699" s="2329"/>
      <c r="X699" s="2330"/>
      <c r="Y699" s="2331">
        <f t="shared" si="28"/>
        <v>0</v>
      </c>
      <c r="Z699" s="2332"/>
      <c r="AA699" s="2332"/>
      <c r="AB699" s="2332"/>
      <c r="AC699" s="2333"/>
      <c r="AD699" s="2337"/>
      <c r="AE699" s="2338"/>
      <c r="AF699" s="2338"/>
      <c r="AG699" s="2338"/>
      <c r="AH699" s="2339"/>
      <c r="AI699" s="2334" t="str">
        <f t="shared" si="27"/>
        <v xml:space="preserve"> </v>
      </c>
      <c r="AJ699" s="2335"/>
      <c r="AK699" s="233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2383"/>
      <c r="C700" s="2384"/>
      <c r="D700" s="2384"/>
      <c r="E700" s="2384"/>
      <c r="F700" s="2385"/>
      <c r="G700" s="2469"/>
      <c r="H700" s="2470"/>
      <c r="I700" s="2470"/>
      <c r="J700" s="2471"/>
      <c r="K700" s="2328"/>
      <c r="L700" s="2329"/>
      <c r="M700" s="2329"/>
      <c r="N700" s="2329"/>
      <c r="O700" s="2330"/>
      <c r="P700" s="2331">
        <f t="shared" si="26"/>
        <v>0</v>
      </c>
      <c r="Q700" s="2332"/>
      <c r="R700" s="2332"/>
      <c r="S700" s="2332"/>
      <c r="T700" s="2333"/>
      <c r="U700" s="2328"/>
      <c r="V700" s="2329"/>
      <c r="W700" s="2329"/>
      <c r="X700" s="2330"/>
      <c r="Y700" s="2331">
        <f t="shared" si="28"/>
        <v>0</v>
      </c>
      <c r="Z700" s="2332"/>
      <c r="AA700" s="2332"/>
      <c r="AB700" s="2332"/>
      <c r="AC700" s="2333"/>
      <c r="AD700" s="2337"/>
      <c r="AE700" s="2338"/>
      <c r="AF700" s="2338"/>
      <c r="AG700" s="2338"/>
      <c r="AH700" s="2339"/>
      <c r="AI700" s="2334" t="str">
        <f t="shared" si="27"/>
        <v xml:space="preserve"> </v>
      </c>
      <c r="AJ700" s="2335"/>
      <c r="AK700" s="2336"/>
      <c r="AL700" s="72"/>
      <c r="AM700" s="72"/>
      <c r="AN700" s="72"/>
      <c r="AO700" s="72"/>
      <c r="AP700" s="72"/>
      <c r="AQ700" s="72"/>
      <c r="AR700" s="161"/>
      <c r="AS700" s="159" t="s">
        <v>983</v>
      </c>
      <c r="AT700" s="753">
        <f>SUM(AT675:AT699)</f>
        <v>100</v>
      </c>
      <c r="AU700" s="754">
        <f>SUM(AU675:AU699)</f>
        <v>0.99999999999999989</v>
      </c>
      <c r="AV700" s="754">
        <f>SUM(AV675:AV699)</f>
        <v>0.5</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2383"/>
      <c r="C701" s="2384"/>
      <c r="D701" s="2384"/>
      <c r="E701" s="2384"/>
      <c r="F701" s="2385"/>
      <c r="G701" s="2469"/>
      <c r="H701" s="2470"/>
      <c r="I701" s="2470"/>
      <c r="J701" s="2471"/>
      <c r="K701" s="2328"/>
      <c r="L701" s="2329"/>
      <c r="M701" s="2329"/>
      <c r="N701" s="2329"/>
      <c r="O701" s="2330"/>
      <c r="P701" s="2331">
        <f t="shared" si="26"/>
        <v>0</v>
      </c>
      <c r="Q701" s="2332"/>
      <c r="R701" s="2332"/>
      <c r="S701" s="2332"/>
      <c r="T701" s="2333"/>
      <c r="U701" s="2328"/>
      <c r="V701" s="2329"/>
      <c r="W701" s="2329"/>
      <c r="X701" s="2330"/>
      <c r="Y701" s="2331">
        <f t="shared" si="28"/>
        <v>0</v>
      </c>
      <c r="Z701" s="2332"/>
      <c r="AA701" s="2332"/>
      <c r="AB701" s="2332"/>
      <c r="AC701" s="2333"/>
      <c r="AD701" s="2337"/>
      <c r="AE701" s="2338"/>
      <c r="AF701" s="2338"/>
      <c r="AG701" s="2338"/>
      <c r="AH701" s="2339"/>
      <c r="AI701" s="2334" t="str">
        <f t="shared" si="27"/>
        <v xml:space="preserve"> </v>
      </c>
      <c r="AJ701" s="2335"/>
      <c r="AK701" s="2336"/>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2383"/>
      <c r="C702" s="2384"/>
      <c r="D702" s="2384"/>
      <c r="E702" s="2384"/>
      <c r="F702" s="2385"/>
      <c r="G702" s="2469"/>
      <c r="H702" s="2470"/>
      <c r="I702" s="2470"/>
      <c r="J702" s="2471"/>
      <c r="K702" s="2328"/>
      <c r="L702" s="2329"/>
      <c r="M702" s="2329"/>
      <c r="N702" s="2329"/>
      <c r="O702" s="2330"/>
      <c r="P702" s="2331">
        <f t="shared" si="26"/>
        <v>0</v>
      </c>
      <c r="Q702" s="2332"/>
      <c r="R702" s="2332"/>
      <c r="S702" s="2332"/>
      <c r="T702" s="2333"/>
      <c r="U702" s="2328"/>
      <c r="V702" s="2329"/>
      <c r="W702" s="2329"/>
      <c r="X702" s="2330"/>
      <c r="Y702" s="2331">
        <f t="shared" si="28"/>
        <v>0</v>
      </c>
      <c r="Z702" s="2332"/>
      <c r="AA702" s="2332"/>
      <c r="AB702" s="2332"/>
      <c r="AC702" s="2333"/>
      <c r="AD702" s="2337"/>
      <c r="AE702" s="2338"/>
      <c r="AF702" s="2338"/>
      <c r="AG702" s="2338"/>
      <c r="AH702" s="2339"/>
      <c r="AI702" s="2334" t="str">
        <f t="shared" si="27"/>
        <v xml:space="preserve"> </v>
      </c>
      <c r="AJ702" s="2335"/>
      <c r="AK702" s="2336"/>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2383"/>
      <c r="C703" s="2384"/>
      <c r="D703" s="2384"/>
      <c r="E703" s="2384"/>
      <c r="F703" s="2385"/>
      <c r="G703" s="2469"/>
      <c r="H703" s="2470"/>
      <c r="I703" s="2470"/>
      <c r="J703" s="2471"/>
      <c r="K703" s="2328"/>
      <c r="L703" s="2329"/>
      <c r="M703" s="2329"/>
      <c r="N703" s="2329"/>
      <c r="O703" s="2330"/>
      <c r="P703" s="2331">
        <f t="shared" si="26"/>
        <v>0</v>
      </c>
      <c r="Q703" s="2332"/>
      <c r="R703" s="2332"/>
      <c r="S703" s="2332"/>
      <c r="T703" s="2333"/>
      <c r="U703" s="2328"/>
      <c r="V703" s="2329"/>
      <c r="W703" s="2329"/>
      <c r="X703" s="2330"/>
      <c r="Y703" s="2331">
        <f t="shared" si="28"/>
        <v>0</v>
      </c>
      <c r="Z703" s="2332"/>
      <c r="AA703" s="2332"/>
      <c r="AB703" s="2332"/>
      <c r="AC703" s="2333"/>
      <c r="AD703" s="2337"/>
      <c r="AE703" s="2338"/>
      <c r="AF703" s="2338"/>
      <c r="AG703" s="2338"/>
      <c r="AH703" s="2339"/>
      <c r="AI703" s="2334" t="str">
        <f t="shared" si="27"/>
        <v xml:space="preserve"> </v>
      </c>
      <c r="AJ703" s="2335"/>
      <c r="AK703" s="2336"/>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2383"/>
      <c r="C704" s="2384"/>
      <c r="D704" s="2384"/>
      <c r="E704" s="2384"/>
      <c r="F704" s="2385"/>
      <c r="G704" s="2469"/>
      <c r="H704" s="2470"/>
      <c r="I704" s="2470"/>
      <c r="J704" s="2471"/>
      <c r="K704" s="2382"/>
      <c r="L704" s="2382"/>
      <c r="M704" s="2382"/>
      <c r="N704" s="2382"/>
      <c r="O704" s="2382"/>
      <c r="P704" s="2340">
        <f t="shared" si="26"/>
        <v>0</v>
      </c>
      <c r="Q704" s="2340"/>
      <c r="R704" s="2340"/>
      <c r="S704" s="2340"/>
      <c r="T704" s="2340"/>
      <c r="U704" s="2328"/>
      <c r="V704" s="2329"/>
      <c r="W704" s="2329"/>
      <c r="X704" s="2330"/>
      <c r="Y704" s="2340">
        <f t="shared" si="28"/>
        <v>0</v>
      </c>
      <c r="Z704" s="2340"/>
      <c r="AA704" s="2340"/>
      <c r="AB704" s="2340"/>
      <c r="AC704" s="2340"/>
      <c r="AD704" s="2337"/>
      <c r="AE704" s="2338"/>
      <c r="AF704" s="2338"/>
      <c r="AG704" s="2338"/>
      <c r="AH704" s="2339"/>
      <c r="AI704" s="2334" t="str">
        <f t="shared" si="27"/>
        <v xml:space="preserve"> </v>
      </c>
      <c r="AJ704" s="2335"/>
      <c r="AK704" s="2336"/>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2383"/>
      <c r="C705" s="2384"/>
      <c r="D705" s="2384"/>
      <c r="E705" s="2384"/>
      <c r="F705" s="2385"/>
      <c r="G705" s="2469"/>
      <c r="H705" s="2470"/>
      <c r="I705" s="2470"/>
      <c r="J705" s="2471"/>
      <c r="K705" s="2382"/>
      <c r="L705" s="2382"/>
      <c r="M705" s="2382"/>
      <c r="N705" s="2382"/>
      <c r="O705" s="2382"/>
      <c r="P705" s="2340">
        <f t="shared" si="26"/>
        <v>0</v>
      </c>
      <c r="Q705" s="2340"/>
      <c r="R705" s="2340"/>
      <c r="S705" s="2340"/>
      <c r="T705" s="2340"/>
      <c r="U705" s="2328"/>
      <c r="V705" s="2329"/>
      <c r="W705" s="2329"/>
      <c r="X705" s="2330"/>
      <c r="Y705" s="2340">
        <f t="shared" si="28"/>
        <v>0</v>
      </c>
      <c r="Z705" s="2340"/>
      <c r="AA705" s="2340"/>
      <c r="AB705" s="2340"/>
      <c r="AC705" s="2340"/>
      <c r="AD705" s="2337"/>
      <c r="AE705" s="2338"/>
      <c r="AF705" s="2338"/>
      <c r="AG705" s="2338"/>
      <c r="AH705" s="2339"/>
      <c r="AI705" s="2334" t="str">
        <f t="shared" si="27"/>
        <v xml:space="preserve"> </v>
      </c>
      <c r="AJ705" s="2335"/>
      <c r="AK705" s="2336"/>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2383"/>
      <c r="C706" s="2384"/>
      <c r="D706" s="2384"/>
      <c r="E706" s="2384"/>
      <c r="F706" s="2385"/>
      <c r="G706" s="2469"/>
      <c r="H706" s="2470"/>
      <c r="I706" s="2470"/>
      <c r="J706" s="2471"/>
      <c r="K706" s="2382"/>
      <c r="L706" s="2382"/>
      <c r="M706" s="2382"/>
      <c r="N706" s="2382"/>
      <c r="O706" s="2382"/>
      <c r="P706" s="2340">
        <f t="shared" si="26"/>
        <v>0</v>
      </c>
      <c r="Q706" s="2340"/>
      <c r="R706" s="2340"/>
      <c r="S706" s="2340"/>
      <c r="T706" s="2340"/>
      <c r="U706" s="2328"/>
      <c r="V706" s="2329"/>
      <c r="W706" s="2329"/>
      <c r="X706" s="2330"/>
      <c r="Y706" s="2340">
        <f>K706+U706</f>
        <v>0</v>
      </c>
      <c r="Z706" s="2340"/>
      <c r="AA706" s="2340"/>
      <c r="AB706" s="2340"/>
      <c r="AC706" s="2340"/>
      <c r="AD706" s="2337"/>
      <c r="AE706" s="2338"/>
      <c r="AF706" s="2338"/>
      <c r="AG706" s="2338"/>
      <c r="AH706" s="2339"/>
      <c r="AI706" s="2334" t="str">
        <f t="shared" si="27"/>
        <v xml:space="preserve"> </v>
      </c>
      <c r="AJ706" s="2335"/>
      <c r="AK706" s="2336"/>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2383"/>
      <c r="C707" s="2384"/>
      <c r="D707" s="2384"/>
      <c r="E707" s="2384"/>
      <c r="F707" s="2385"/>
      <c r="G707" s="2469"/>
      <c r="H707" s="2470"/>
      <c r="I707" s="2470"/>
      <c r="J707" s="2471"/>
      <c r="K707" s="2382"/>
      <c r="L707" s="2382"/>
      <c r="M707" s="2382"/>
      <c r="N707" s="2382"/>
      <c r="O707" s="2382"/>
      <c r="P707" s="2340">
        <f t="shared" si="26"/>
        <v>0</v>
      </c>
      <c r="Q707" s="2340"/>
      <c r="R707" s="2340"/>
      <c r="S707" s="2340"/>
      <c r="T707" s="2340"/>
      <c r="U707" s="2328"/>
      <c r="V707" s="2329"/>
      <c r="W707" s="2329"/>
      <c r="X707" s="2330"/>
      <c r="Y707" s="2340">
        <f>K707+U707</f>
        <v>0</v>
      </c>
      <c r="Z707" s="2340"/>
      <c r="AA707" s="2340"/>
      <c r="AB707" s="2340"/>
      <c r="AC707" s="2340"/>
      <c r="AD707" s="2337"/>
      <c r="AE707" s="2338"/>
      <c r="AF707" s="2338"/>
      <c r="AG707" s="2338"/>
      <c r="AH707" s="2339"/>
      <c r="AI707" s="2334" t="str">
        <f t="shared" si="27"/>
        <v xml:space="preserve"> </v>
      </c>
      <c r="AJ707" s="2335"/>
      <c r="AK707" s="2336"/>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2383"/>
      <c r="C708" s="2384"/>
      <c r="D708" s="2384"/>
      <c r="E708" s="2384"/>
      <c r="F708" s="2385"/>
      <c r="G708" s="2469"/>
      <c r="H708" s="2470"/>
      <c r="I708" s="2470"/>
      <c r="J708" s="2471"/>
      <c r="K708" s="2382"/>
      <c r="L708" s="2382"/>
      <c r="M708" s="2382"/>
      <c r="N708" s="2382"/>
      <c r="O708" s="2382"/>
      <c r="P708" s="2340">
        <f t="shared" si="26"/>
        <v>0</v>
      </c>
      <c r="Q708" s="2340"/>
      <c r="R708" s="2340"/>
      <c r="S708" s="2340"/>
      <c r="T708" s="2340"/>
      <c r="U708" s="2328"/>
      <c r="V708" s="2329"/>
      <c r="W708" s="2329"/>
      <c r="X708" s="2330"/>
      <c r="Y708" s="2340">
        <f>K708+U708</f>
        <v>0</v>
      </c>
      <c r="Z708" s="2340"/>
      <c r="AA708" s="2340"/>
      <c r="AB708" s="2340"/>
      <c r="AC708" s="2340"/>
      <c r="AD708" s="2337"/>
      <c r="AE708" s="2338"/>
      <c r="AF708" s="2338"/>
      <c r="AG708" s="2338"/>
      <c r="AH708" s="2339"/>
      <c r="AI708" s="2334" t="str">
        <f t="shared" si="27"/>
        <v xml:space="preserve"> </v>
      </c>
      <c r="AJ708" s="2335"/>
      <c r="AK708" s="2336"/>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2383"/>
      <c r="C709" s="2384"/>
      <c r="D709" s="2384"/>
      <c r="E709" s="2384"/>
      <c r="F709" s="2385"/>
      <c r="G709" s="2469"/>
      <c r="H709" s="2470"/>
      <c r="I709" s="2470"/>
      <c r="J709" s="2471"/>
      <c r="K709" s="2382"/>
      <c r="L709" s="2382"/>
      <c r="M709" s="2382"/>
      <c r="N709" s="2382"/>
      <c r="O709" s="2382"/>
      <c r="P709" s="2340">
        <f t="shared" si="26"/>
        <v>0</v>
      </c>
      <c r="Q709" s="2340"/>
      <c r="R709" s="2340"/>
      <c r="S709" s="2340"/>
      <c r="T709" s="2340"/>
      <c r="U709" s="2328"/>
      <c r="V709" s="2329"/>
      <c r="W709" s="2329"/>
      <c r="X709" s="2330"/>
      <c r="Y709" s="2340">
        <f>K709+U709</f>
        <v>0</v>
      </c>
      <c r="Z709" s="2340"/>
      <c r="AA709" s="2340"/>
      <c r="AB709" s="2340"/>
      <c r="AC709" s="2340"/>
      <c r="AD709" s="2337"/>
      <c r="AE709" s="2338"/>
      <c r="AF709" s="2338"/>
      <c r="AG709" s="2338"/>
      <c r="AH709" s="2339"/>
      <c r="AI709" s="2334" t="str">
        <f t="shared" si="27"/>
        <v xml:space="preserve"> </v>
      </c>
      <c r="AJ709" s="2335"/>
      <c r="AK709" s="2336"/>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2383"/>
      <c r="C710" s="2384"/>
      <c r="D710" s="2384"/>
      <c r="E710" s="2384"/>
      <c r="F710" s="2385"/>
      <c r="G710" s="2469"/>
      <c r="H710" s="2470"/>
      <c r="I710" s="2470"/>
      <c r="J710" s="2471"/>
      <c r="K710" s="2382"/>
      <c r="L710" s="2382"/>
      <c r="M710" s="2382"/>
      <c r="N710" s="2382"/>
      <c r="O710" s="2382"/>
      <c r="P710" s="2340">
        <f t="shared" si="26"/>
        <v>0</v>
      </c>
      <c r="Q710" s="2340"/>
      <c r="R710" s="2340"/>
      <c r="S710" s="2340"/>
      <c r="T710" s="2340"/>
      <c r="U710" s="2328"/>
      <c r="V710" s="2329"/>
      <c r="W710" s="2329"/>
      <c r="X710" s="2330"/>
      <c r="Y710" s="2340">
        <f>K710+U710</f>
        <v>0</v>
      </c>
      <c r="Z710" s="2340"/>
      <c r="AA710" s="2340"/>
      <c r="AB710" s="2340"/>
      <c r="AC710" s="2340"/>
      <c r="AD710" s="2337"/>
      <c r="AE710" s="2338"/>
      <c r="AF710" s="2338"/>
      <c r="AG710" s="2338"/>
      <c r="AH710" s="2339"/>
      <c r="AI710" s="2334" t="str">
        <f t="shared" si="27"/>
        <v xml:space="preserve"> </v>
      </c>
      <c r="AJ710" s="2335"/>
      <c r="AK710" s="2336"/>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2383"/>
      <c r="C711" s="2384"/>
      <c r="D711" s="2384"/>
      <c r="E711" s="2384"/>
      <c r="F711" s="2385"/>
      <c r="G711" s="2469"/>
      <c r="H711" s="2470"/>
      <c r="I711" s="2470"/>
      <c r="J711" s="2471"/>
      <c r="K711" s="2382"/>
      <c r="L711" s="2382"/>
      <c r="M711" s="2382"/>
      <c r="N711" s="2382"/>
      <c r="O711" s="2382"/>
      <c r="P711" s="2340">
        <f t="shared" si="26"/>
        <v>0</v>
      </c>
      <c r="Q711" s="2340"/>
      <c r="R711" s="2340"/>
      <c r="S711" s="2340"/>
      <c r="T711" s="2340"/>
      <c r="U711" s="2328"/>
      <c r="V711" s="2329"/>
      <c r="W711" s="2329"/>
      <c r="X711" s="2330"/>
      <c r="Y711" s="2340">
        <f t="shared" si="28"/>
        <v>0</v>
      </c>
      <c r="Z711" s="2340"/>
      <c r="AA711" s="2340"/>
      <c r="AB711" s="2340"/>
      <c r="AC711" s="2340"/>
      <c r="AD711" s="2337"/>
      <c r="AE711" s="2338"/>
      <c r="AF711" s="2338"/>
      <c r="AG711" s="2338"/>
      <c r="AH711" s="2339"/>
      <c r="AI711" s="2334" t="str">
        <f t="shared" si="27"/>
        <v xml:space="preserve"> </v>
      </c>
      <c r="AJ711" s="2335"/>
      <c r="AK711" s="2336"/>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2383"/>
      <c r="C712" s="2384"/>
      <c r="D712" s="2384"/>
      <c r="E712" s="2384"/>
      <c r="F712" s="2385"/>
      <c r="G712" s="2469"/>
      <c r="H712" s="2470"/>
      <c r="I712" s="2470"/>
      <c r="J712" s="2471"/>
      <c r="K712" s="2382"/>
      <c r="L712" s="2382"/>
      <c r="M712" s="2382"/>
      <c r="N712" s="2382"/>
      <c r="O712" s="2382"/>
      <c r="P712" s="2340">
        <f t="shared" si="26"/>
        <v>0</v>
      </c>
      <c r="Q712" s="2340"/>
      <c r="R712" s="2340"/>
      <c r="S712" s="2340"/>
      <c r="T712" s="2340"/>
      <c r="U712" s="2328"/>
      <c r="V712" s="2329"/>
      <c r="W712" s="2329"/>
      <c r="X712" s="2330"/>
      <c r="Y712" s="2340">
        <f t="shared" si="28"/>
        <v>0</v>
      </c>
      <c r="Z712" s="2340"/>
      <c r="AA712" s="2340"/>
      <c r="AB712" s="2340"/>
      <c r="AC712" s="2340"/>
      <c r="AD712" s="2337"/>
      <c r="AE712" s="2338"/>
      <c r="AF712" s="2338"/>
      <c r="AG712" s="2338"/>
      <c r="AH712" s="2339"/>
      <c r="AI712" s="2334" t="str">
        <f t="shared" si="27"/>
        <v xml:space="preserve"> </v>
      </c>
      <c r="AJ712" s="2335"/>
      <c r="AK712" s="2336"/>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2383"/>
      <c r="C713" s="2384"/>
      <c r="D713" s="2384"/>
      <c r="E713" s="2384"/>
      <c r="F713" s="2385"/>
      <c r="G713" s="2469"/>
      <c r="H713" s="2470"/>
      <c r="I713" s="2470"/>
      <c r="J713" s="2471"/>
      <c r="K713" s="2382"/>
      <c r="L713" s="2382"/>
      <c r="M713" s="2382"/>
      <c r="N713" s="2382"/>
      <c r="O713" s="2382"/>
      <c r="P713" s="2340">
        <f t="shared" si="26"/>
        <v>0</v>
      </c>
      <c r="Q713" s="2340"/>
      <c r="R713" s="2340"/>
      <c r="S713" s="2340"/>
      <c r="T713" s="2340"/>
      <c r="U713" s="2328"/>
      <c r="V713" s="2329"/>
      <c r="W713" s="2329"/>
      <c r="X713" s="2330"/>
      <c r="Y713" s="2340">
        <f t="shared" si="28"/>
        <v>0</v>
      </c>
      <c r="Z713" s="2340"/>
      <c r="AA713" s="2340"/>
      <c r="AB713" s="2340"/>
      <c r="AC713" s="2340"/>
      <c r="AD713" s="2337"/>
      <c r="AE713" s="2338"/>
      <c r="AF713" s="2338"/>
      <c r="AG713" s="2338"/>
      <c r="AH713" s="2339"/>
      <c r="AI713" s="2334" t="str">
        <f t="shared" si="27"/>
        <v xml:space="preserve"> </v>
      </c>
      <c r="AJ713" s="2335"/>
      <c r="AK713" s="2336"/>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2383"/>
      <c r="C714" s="2384"/>
      <c r="D714" s="2384"/>
      <c r="E714" s="2384"/>
      <c r="F714" s="2385"/>
      <c r="G714" s="2469"/>
      <c r="H714" s="2470"/>
      <c r="I714" s="2470"/>
      <c r="J714" s="2471"/>
      <c r="K714" s="2382"/>
      <c r="L714" s="2382"/>
      <c r="M714" s="2382"/>
      <c r="N714" s="2382"/>
      <c r="O714" s="2382"/>
      <c r="P714" s="2340">
        <f t="shared" si="26"/>
        <v>0</v>
      </c>
      <c r="Q714" s="2340"/>
      <c r="R714" s="2340"/>
      <c r="S714" s="2340"/>
      <c r="T714" s="2340"/>
      <c r="U714" s="2328"/>
      <c r="V714" s="2329"/>
      <c r="W714" s="2329"/>
      <c r="X714" s="2330"/>
      <c r="Y714" s="2340">
        <f t="shared" si="28"/>
        <v>0</v>
      </c>
      <c r="Z714" s="2340"/>
      <c r="AA714" s="2340"/>
      <c r="AB714" s="2340"/>
      <c r="AC714" s="2340"/>
      <c r="AD714" s="2337"/>
      <c r="AE714" s="2338"/>
      <c r="AF714" s="2338"/>
      <c r="AG714" s="2338"/>
      <c r="AH714" s="2339"/>
      <c r="AI714" s="2334" t="str">
        <f t="shared" si="27"/>
        <v xml:space="preserve"> </v>
      </c>
      <c r="AJ714" s="2335"/>
      <c r="AK714" s="2336"/>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2383"/>
      <c r="C715" s="2384"/>
      <c r="D715" s="2384"/>
      <c r="E715" s="2384"/>
      <c r="F715" s="2385"/>
      <c r="G715" s="2670"/>
      <c r="H715" s="2671"/>
      <c r="I715" s="2671"/>
      <c r="J715" s="2672"/>
      <c r="K715" s="2382"/>
      <c r="L715" s="2382"/>
      <c r="M715" s="2382"/>
      <c r="N715" s="2382"/>
      <c r="O715" s="2382"/>
      <c r="P715" s="2340">
        <f t="shared" si="26"/>
        <v>0</v>
      </c>
      <c r="Q715" s="2340"/>
      <c r="R715" s="2340"/>
      <c r="S715" s="2340"/>
      <c r="T715" s="2340"/>
      <c r="U715" s="2328"/>
      <c r="V715" s="2329"/>
      <c r="W715" s="2329"/>
      <c r="X715" s="2330"/>
      <c r="Y715" s="2340">
        <f t="shared" si="28"/>
        <v>0</v>
      </c>
      <c r="Z715" s="2340"/>
      <c r="AA715" s="2340"/>
      <c r="AB715" s="2340"/>
      <c r="AC715" s="2340"/>
      <c r="AD715" s="2337"/>
      <c r="AE715" s="2338"/>
      <c r="AF715" s="2338"/>
      <c r="AG715" s="2338"/>
      <c r="AH715" s="2339"/>
      <c r="AI715" s="2775" t="str">
        <f t="shared" si="27"/>
        <v xml:space="preserve"> </v>
      </c>
      <c r="AJ715" s="2776"/>
      <c r="AK715" s="2777"/>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2344" t="s">
        <v>985</v>
      </c>
      <c r="C716" s="2345"/>
      <c r="D716" s="2345"/>
      <c r="E716" s="2345"/>
      <c r="F716" s="2345"/>
      <c r="G716" s="2750">
        <f>SUM(G691:J715)</f>
        <v>100</v>
      </c>
      <c r="H716" s="2751"/>
      <c r="I716" s="2751"/>
      <c r="J716" s="2752"/>
      <c r="K716" s="2344" t="s">
        <v>984</v>
      </c>
      <c r="L716" s="2345"/>
      <c r="M716" s="2345"/>
      <c r="N716" s="2345"/>
      <c r="O716" s="2346"/>
      <c r="P716" s="2331">
        <f>SUM(P691:T715)</f>
        <v>106754</v>
      </c>
      <c r="Q716" s="2332"/>
      <c r="R716" s="2332"/>
      <c r="S716" s="2332"/>
      <c r="T716" s="2333"/>
      <c r="U716" s="521"/>
      <c r="Y716" s="2344" t="s">
        <v>1288</v>
      </c>
      <c r="Z716" s="2345"/>
      <c r="AA716" s="2345"/>
      <c r="AB716" s="2345"/>
      <c r="AC716" s="2346"/>
      <c r="AD716" s="2764">
        <f>AV700</f>
        <v>0.5</v>
      </c>
      <c r="AE716" s="2690"/>
      <c r="AF716" s="2690"/>
      <c r="AG716" s="2690"/>
      <c r="AH716" s="2691"/>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763" t="s">
        <v>135</v>
      </c>
      <c r="AG718" s="2763"/>
      <c r="AH718" s="2763"/>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773" t="s">
        <v>1741</v>
      </c>
      <c r="D723" s="2773"/>
      <c r="E723" s="2773"/>
      <c r="F723" s="2773"/>
      <c r="G723" s="2773"/>
      <c r="H723" s="2773"/>
      <c r="I723" s="2773"/>
      <c r="J723" s="2773"/>
      <c r="K723" s="2773"/>
      <c r="L723" s="2773"/>
      <c r="M723" s="2773"/>
      <c r="N723" s="2773"/>
      <c r="O723" s="2773"/>
      <c r="P723" s="2773"/>
      <c r="Q723" s="2773"/>
      <c r="R723" s="2773"/>
      <c r="S723" s="2773"/>
      <c r="T723" s="2773"/>
      <c r="U723" s="2773"/>
      <c r="V723" s="2773"/>
      <c r="W723" s="2773"/>
      <c r="X723" s="2773"/>
      <c r="Y723" s="2773"/>
      <c r="Z723" s="2773"/>
      <c r="AA723" s="2773"/>
      <c r="AB723" s="2773"/>
      <c r="AC723" s="2773"/>
      <c r="AD723" s="2773"/>
      <c r="AE723" s="2773"/>
      <c r="AF723" s="2773"/>
      <c r="AG723" s="2773"/>
      <c r="AH723" s="2773"/>
      <c r="AI723" s="2773"/>
      <c r="AJ723" s="2773"/>
      <c r="AK723" s="2773"/>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773"/>
      <c r="D724" s="2773"/>
      <c r="E724" s="2773"/>
      <c r="F724" s="2773"/>
      <c r="G724" s="2773"/>
      <c r="H724" s="2773"/>
      <c r="I724" s="2773"/>
      <c r="J724" s="2773"/>
      <c r="K724" s="2773"/>
      <c r="L724" s="2773"/>
      <c r="M724" s="2773"/>
      <c r="N724" s="2773"/>
      <c r="O724" s="2773"/>
      <c r="P724" s="2773"/>
      <c r="Q724" s="2773"/>
      <c r="R724" s="2773"/>
      <c r="S724" s="2773"/>
      <c r="T724" s="2773"/>
      <c r="U724" s="2773"/>
      <c r="V724" s="2773"/>
      <c r="W724" s="2773"/>
      <c r="X724" s="2773"/>
      <c r="Y724" s="2773"/>
      <c r="Z724" s="2773"/>
      <c r="AA724" s="2773"/>
      <c r="AB724" s="2773"/>
      <c r="AC724" s="2773"/>
      <c r="AD724" s="2773"/>
      <c r="AE724" s="2773"/>
      <c r="AF724" s="2773"/>
      <c r="AG724" s="2773"/>
      <c r="AH724" s="2773"/>
      <c r="AI724" s="2773"/>
      <c r="AJ724" s="2773"/>
      <c r="AK724" s="2773"/>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773"/>
      <c r="D725" s="2773"/>
      <c r="E725" s="2773"/>
      <c r="F725" s="2773"/>
      <c r="G725" s="2773"/>
      <c r="H725" s="2773"/>
      <c r="I725" s="2773"/>
      <c r="J725" s="2773"/>
      <c r="K725" s="2773"/>
      <c r="L725" s="2773"/>
      <c r="M725" s="2773"/>
      <c r="N725" s="2773"/>
      <c r="O725" s="2773"/>
      <c r="P725" s="2773"/>
      <c r="Q725" s="2773"/>
      <c r="R725" s="2773"/>
      <c r="S725" s="2773"/>
      <c r="T725" s="2773"/>
      <c r="U725" s="2773"/>
      <c r="V725" s="2773"/>
      <c r="W725" s="2773"/>
      <c r="X725" s="2773"/>
      <c r="Y725" s="2773"/>
      <c r="Z725" s="2773"/>
      <c r="AA725" s="2773"/>
      <c r="AB725" s="2773"/>
      <c r="AC725" s="2773"/>
      <c r="AD725" s="2773"/>
      <c r="AE725" s="2773"/>
      <c r="AF725" s="2773"/>
      <c r="AG725" s="2773"/>
      <c r="AH725" s="2773"/>
      <c r="AI725" s="2773"/>
      <c r="AJ725" s="2773"/>
      <c r="AK725" s="2773"/>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773"/>
      <c r="D726" s="2773"/>
      <c r="E726" s="2773"/>
      <c r="F726" s="2773"/>
      <c r="G726" s="2773"/>
      <c r="H726" s="2773"/>
      <c r="I726" s="2773"/>
      <c r="J726" s="2773"/>
      <c r="K726" s="2773"/>
      <c r="L726" s="2773"/>
      <c r="M726" s="2773"/>
      <c r="N726" s="2773"/>
      <c r="O726" s="2773"/>
      <c r="P726" s="2773"/>
      <c r="Q726" s="2773"/>
      <c r="R726" s="2773"/>
      <c r="S726" s="2773"/>
      <c r="T726" s="2773"/>
      <c r="U726" s="2773"/>
      <c r="V726" s="2773"/>
      <c r="W726" s="2773"/>
      <c r="X726" s="2773"/>
      <c r="Y726" s="2773"/>
      <c r="Z726" s="2773"/>
      <c r="AA726" s="2773"/>
      <c r="AB726" s="2773"/>
      <c r="AC726" s="2773"/>
      <c r="AD726" s="2773"/>
      <c r="AE726" s="2773"/>
      <c r="AF726" s="2773"/>
      <c r="AG726" s="2773"/>
      <c r="AH726" s="2773"/>
      <c r="AI726" s="2773"/>
      <c r="AJ726" s="2773"/>
      <c r="AK726" s="2773"/>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773"/>
      <c r="D727" s="2773"/>
      <c r="E727" s="2773"/>
      <c r="F727" s="2773"/>
      <c r="G727" s="2773"/>
      <c r="H727" s="2773"/>
      <c r="I727" s="2773"/>
      <c r="J727" s="2773"/>
      <c r="K727" s="2773"/>
      <c r="L727" s="2773"/>
      <c r="M727" s="2773"/>
      <c r="N727" s="2773"/>
      <c r="O727" s="2773"/>
      <c r="P727" s="2773"/>
      <c r="Q727" s="2773"/>
      <c r="R727" s="2773"/>
      <c r="S727" s="2773"/>
      <c r="T727" s="2773"/>
      <c r="U727" s="2773"/>
      <c r="V727" s="2773"/>
      <c r="W727" s="2773"/>
      <c r="X727" s="2773"/>
      <c r="Y727" s="2773"/>
      <c r="Z727" s="2773"/>
      <c r="AA727" s="2773"/>
      <c r="AB727" s="2773"/>
      <c r="AC727" s="2773"/>
      <c r="AD727" s="2773"/>
      <c r="AE727" s="2773"/>
      <c r="AF727" s="2773"/>
      <c r="AG727" s="2773"/>
      <c r="AH727" s="2773"/>
      <c r="AI727" s="2773"/>
      <c r="AJ727" s="2773"/>
      <c r="AK727" s="2773"/>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773"/>
      <c r="D728" s="2773"/>
      <c r="E728" s="2773"/>
      <c r="F728" s="2773"/>
      <c r="G728" s="2773"/>
      <c r="H728" s="2773"/>
      <c r="I728" s="2773"/>
      <c r="J728" s="2773"/>
      <c r="K728" s="2773"/>
      <c r="L728" s="2773"/>
      <c r="M728" s="2773"/>
      <c r="N728" s="2773"/>
      <c r="O728" s="2773"/>
      <c r="P728" s="2773"/>
      <c r="Q728" s="2773"/>
      <c r="R728" s="2773"/>
      <c r="S728" s="2773"/>
      <c r="T728" s="2773"/>
      <c r="U728" s="2773"/>
      <c r="V728" s="2773"/>
      <c r="W728" s="2773"/>
      <c r="X728" s="2773"/>
      <c r="Y728" s="2773"/>
      <c r="Z728" s="2773"/>
      <c r="AA728" s="2773"/>
      <c r="AB728" s="2773"/>
      <c r="AC728" s="2773"/>
      <c r="AD728" s="2773"/>
      <c r="AE728" s="2773"/>
      <c r="AF728" s="2773"/>
      <c r="AG728" s="2773"/>
      <c r="AH728" s="2773"/>
      <c r="AI728" s="2773"/>
      <c r="AJ728" s="2773"/>
      <c r="AK728" s="2773"/>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773"/>
      <c r="D729" s="2773"/>
      <c r="E729" s="2773"/>
      <c r="F729" s="2773"/>
      <c r="G729" s="2773"/>
      <c r="H729" s="2773"/>
      <c r="I729" s="2773"/>
      <c r="J729" s="2773"/>
      <c r="K729" s="2773"/>
      <c r="L729" s="2773"/>
      <c r="M729" s="2773"/>
      <c r="N729" s="2773"/>
      <c r="O729" s="2773"/>
      <c r="P729" s="2773"/>
      <c r="Q729" s="2773"/>
      <c r="R729" s="2773"/>
      <c r="S729" s="2773"/>
      <c r="T729" s="2773"/>
      <c r="U729" s="2773"/>
      <c r="V729" s="2773"/>
      <c r="W729" s="2773"/>
      <c r="X729" s="2773"/>
      <c r="Y729" s="2773"/>
      <c r="Z729" s="2773"/>
      <c r="AA729" s="2773"/>
      <c r="AB729" s="2773"/>
      <c r="AC729" s="2773"/>
      <c r="AD729" s="2773"/>
      <c r="AE729" s="2773"/>
      <c r="AF729" s="2773"/>
      <c r="AG729" s="2773"/>
      <c r="AH729" s="2773"/>
      <c r="AI729" s="2773"/>
      <c r="AJ729" s="2773"/>
      <c r="AK729" s="2773"/>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773"/>
      <c r="D730" s="2773"/>
      <c r="E730" s="2773"/>
      <c r="F730" s="2773"/>
      <c r="G730" s="2773"/>
      <c r="H730" s="2773"/>
      <c r="I730" s="2773"/>
      <c r="J730" s="2773"/>
      <c r="K730" s="2773"/>
      <c r="L730" s="2773"/>
      <c r="M730" s="2773"/>
      <c r="N730" s="2773"/>
      <c r="O730" s="2773"/>
      <c r="P730" s="2773"/>
      <c r="Q730" s="2773"/>
      <c r="R730" s="2773"/>
      <c r="S730" s="2773"/>
      <c r="T730" s="2773"/>
      <c r="U730" s="2773"/>
      <c r="V730" s="2773"/>
      <c r="W730" s="2773"/>
      <c r="X730" s="2773"/>
      <c r="Y730" s="2773"/>
      <c r="Z730" s="2773"/>
      <c r="AA730" s="2773"/>
      <c r="AB730" s="2773"/>
      <c r="AC730" s="2773"/>
      <c r="AD730" s="2773"/>
      <c r="AE730" s="2773"/>
      <c r="AF730" s="2773"/>
      <c r="AG730" s="2773"/>
      <c r="AH730" s="2773"/>
      <c r="AI730" s="2773"/>
      <c r="AJ730" s="2773"/>
      <c r="AK730" s="2773"/>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773"/>
      <c r="D731" s="2773"/>
      <c r="E731" s="2773"/>
      <c r="F731" s="2773"/>
      <c r="G731" s="2773"/>
      <c r="H731" s="2773"/>
      <c r="I731" s="2773"/>
      <c r="J731" s="2773"/>
      <c r="K731" s="2773"/>
      <c r="L731" s="2773"/>
      <c r="M731" s="2773"/>
      <c r="N731" s="2773"/>
      <c r="O731" s="2773"/>
      <c r="P731" s="2773"/>
      <c r="Q731" s="2773"/>
      <c r="R731" s="2773"/>
      <c r="S731" s="2773"/>
      <c r="T731" s="2773"/>
      <c r="U731" s="2773"/>
      <c r="V731" s="2773"/>
      <c r="W731" s="2773"/>
      <c r="X731" s="2773"/>
      <c r="Y731" s="2773"/>
      <c r="Z731" s="2773"/>
      <c r="AA731" s="2773"/>
      <c r="AB731" s="2773"/>
      <c r="AC731" s="2773"/>
      <c r="AD731" s="2773"/>
      <c r="AE731" s="2773"/>
      <c r="AF731" s="2773"/>
      <c r="AG731" s="2773"/>
      <c r="AH731" s="2773"/>
      <c r="AI731" s="2773"/>
      <c r="AJ731" s="2773"/>
      <c r="AK731" s="2773"/>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2472" t="s">
        <v>58</v>
      </c>
      <c r="K733" s="2473"/>
      <c r="L733" s="2473"/>
      <c r="M733" s="2473"/>
      <c r="N733" s="2474"/>
      <c r="O733" s="2669" t="s">
        <v>284</v>
      </c>
      <c r="P733" s="2669"/>
      <c r="Q733" s="2669"/>
      <c r="R733" s="2669"/>
      <c r="S733" s="2669"/>
      <c r="T733" s="2669" t="s">
        <v>662</v>
      </c>
      <c r="U733" s="2669"/>
      <c r="V733" s="2669"/>
      <c r="W733" s="2669"/>
      <c r="X733" s="2669"/>
      <c r="Y733" s="2669" t="s">
        <v>285</v>
      </c>
      <c r="Z733" s="2669"/>
      <c r="AA733" s="2669"/>
      <c r="AB733" s="2669"/>
      <c r="AC733" s="266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2475"/>
      <c r="K734" s="2476"/>
      <c r="L734" s="2476"/>
      <c r="M734" s="2476"/>
      <c r="N734" s="2477"/>
      <c r="O734" s="2669"/>
      <c r="P734" s="2669"/>
      <c r="Q734" s="2669"/>
      <c r="R734" s="2669"/>
      <c r="S734" s="2669"/>
      <c r="T734" s="2669"/>
      <c r="U734" s="2669"/>
      <c r="V734" s="2669"/>
      <c r="W734" s="2669"/>
      <c r="X734" s="2669"/>
      <c r="Y734" s="2669"/>
      <c r="Z734" s="2669"/>
      <c r="AA734" s="2669"/>
      <c r="AB734" s="2669"/>
      <c r="AC734" s="266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2475"/>
      <c r="K735" s="2476"/>
      <c r="L735" s="2476"/>
      <c r="M735" s="2476"/>
      <c r="N735" s="2477"/>
      <c r="O735" s="2669"/>
      <c r="P735" s="2669"/>
      <c r="Q735" s="2669"/>
      <c r="R735" s="2669"/>
      <c r="S735" s="2669"/>
      <c r="T735" s="2669"/>
      <c r="U735" s="2669"/>
      <c r="V735" s="2669"/>
      <c r="W735" s="2669"/>
      <c r="X735" s="2669"/>
      <c r="Y735" s="2669"/>
      <c r="Z735" s="2669"/>
      <c r="AA735" s="2669"/>
      <c r="AB735" s="2669"/>
      <c r="AC735" s="266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2478"/>
      <c r="K736" s="2479"/>
      <c r="L736" s="2479"/>
      <c r="M736" s="2479"/>
      <c r="N736" s="2480"/>
      <c r="O736" s="2669"/>
      <c r="P736" s="2669"/>
      <c r="Q736" s="2669"/>
      <c r="R736" s="2669"/>
      <c r="S736" s="2669"/>
      <c r="T736" s="2669"/>
      <c r="U736" s="2669"/>
      <c r="V736" s="2669"/>
      <c r="W736" s="2669"/>
      <c r="X736" s="2669"/>
      <c r="Y736" s="2669"/>
      <c r="Z736" s="2669"/>
      <c r="AA736" s="2669"/>
      <c r="AB736" s="2669"/>
      <c r="AC736" s="266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2383" t="s">
        <v>495</v>
      </c>
      <c r="K737" s="2384"/>
      <c r="L737" s="2384"/>
      <c r="M737" s="2384"/>
      <c r="N737" s="2385"/>
      <c r="O737" s="2381">
        <f>'Applicant Notes'!D30</f>
        <v>3</v>
      </c>
      <c r="P737" s="2381"/>
      <c r="Q737" s="2381"/>
      <c r="R737" s="2381"/>
      <c r="S737" s="2381"/>
      <c r="T737" s="2382"/>
      <c r="U737" s="2382"/>
      <c r="V737" s="2382"/>
      <c r="W737" s="2382"/>
      <c r="X737" s="2382"/>
      <c r="Y737" s="2340">
        <f>T737*O737</f>
        <v>0</v>
      </c>
      <c r="Z737" s="2340"/>
      <c r="AA737" s="2340"/>
      <c r="AB737" s="2340"/>
      <c r="AC737" s="234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2383" t="s">
        <v>860</v>
      </c>
      <c r="K738" s="2384"/>
      <c r="L738" s="2384"/>
      <c r="M738" s="2384"/>
      <c r="N738" s="2385"/>
      <c r="O738" s="2381">
        <f>'Applicant Notes'!D31</f>
        <v>1</v>
      </c>
      <c r="P738" s="2381"/>
      <c r="Q738" s="2381"/>
      <c r="R738" s="2381"/>
      <c r="S738" s="2381"/>
      <c r="T738" s="2382"/>
      <c r="U738" s="2382"/>
      <c r="V738" s="2382"/>
      <c r="W738" s="2382"/>
      <c r="X738" s="2382"/>
      <c r="Y738" s="2340">
        <f>T738*O738</f>
        <v>0</v>
      </c>
      <c r="Z738" s="2340"/>
      <c r="AA738" s="2340"/>
      <c r="AB738" s="2340"/>
      <c r="AC738" s="234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2383"/>
      <c r="K739" s="2384"/>
      <c r="L739" s="2384"/>
      <c r="M739" s="2384"/>
      <c r="N739" s="2385"/>
      <c r="O739" s="2381"/>
      <c r="P739" s="2381"/>
      <c r="Q739" s="2381"/>
      <c r="R739" s="2381"/>
      <c r="S739" s="2381"/>
      <c r="T739" s="2382"/>
      <c r="U739" s="2382"/>
      <c r="V739" s="2382"/>
      <c r="W739" s="2382"/>
      <c r="X739" s="2382"/>
      <c r="Y739" s="2340">
        <f>T739*O739</f>
        <v>0</v>
      </c>
      <c r="Z739" s="2340"/>
      <c r="AA739" s="2340"/>
      <c r="AB739" s="2340"/>
      <c r="AC739" s="234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2383"/>
      <c r="K740" s="2384"/>
      <c r="L740" s="2384"/>
      <c r="M740" s="2384"/>
      <c r="N740" s="2385"/>
      <c r="O740" s="2381"/>
      <c r="P740" s="2381"/>
      <c r="Q740" s="2381"/>
      <c r="R740" s="2381"/>
      <c r="S740" s="2381"/>
      <c r="T740" s="2382"/>
      <c r="U740" s="2382"/>
      <c r="V740" s="2382"/>
      <c r="W740" s="2382"/>
      <c r="X740" s="2382"/>
      <c r="Y740" s="2340">
        <f>T740*O740</f>
        <v>0</v>
      </c>
      <c r="Z740" s="2340"/>
      <c r="AA740" s="2340"/>
      <c r="AB740" s="2340"/>
      <c r="AC740" s="234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2344" t="s">
        <v>985</v>
      </c>
      <c r="K741" s="2345"/>
      <c r="L741" s="2345"/>
      <c r="M741" s="2345"/>
      <c r="N741" s="2346"/>
      <c r="O741" s="2754">
        <f>SUM(O737:S740)</f>
        <v>4</v>
      </c>
      <c r="P741" s="2755"/>
      <c r="Q741" s="2755"/>
      <c r="R741" s="2755"/>
      <c r="S741" s="2756"/>
      <c r="T741" s="2348" t="s">
        <v>984</v>
      </c>
      <c r="U741" s="2349"/>
      <c r="V741" s="2349"/>
      <c r="W741" s="2349"/>
      <c r="X741" s="2350"/>
      <c r="Y741" s="2331">
        <f>SUM(Y737:AC740)</f>
        <v>0</v>
      </c>
      <c r="Z741" s="2341"/>
      <c r="AA741" s="2341"/>
      <c r="AB741" s="2341"/>
      <c r="AC741" s="234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2520" t="s">
        <v>536</v>
      </c>
      <c r="K743" s="2520"/>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2472" t="s">
        <v>58</v>
      </c>
      <c r="K747" s="2473"/>
      <c r="L747" s="2473"/>
      <c r="M747" s="2473"/>
      <c r="N747" s="2474"/>
      <c r="O747" s="2669" t="s">
        <v>284</v>
      </c>
      <c r="P747" s="2669"/>
      <c r="Q747" s="2669"/>
      <c r="R747" s="2669"/>
      <c r="S747" s="2669"/>
      <c r="T747" s="2669" t="s">
        <v>662</v>
      </c>
      <c r="U747" s="2669"/>
      <c r="V747" s="2669"/>
      <c r="W747" s="2669"/>
      <c r="X747" s="2669"/>
      <c r="Y747" s="2669" t="s">
        <v>285</v>
      </c>
      <c r="Z747" s="2669"/>
      <c r="AA747" s="2669"/>
      <c r="AB747" s="2669"/>
      <c r="AC747" s="266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2475"/>
      <c r="K748" s="2476"/>
      <c r="L748" s="2476"/>
      <c r="M748" s="2476"/>
      <c r="N748" s="2477"/>
      <c r="O748" s="2669"/>
      <c r="P748" s="2669"/>
      <c r="Q748" s="2669"/>
      <c r="R748" s="2669"/>
      <c r="S748" s="2669"/>
      <c r="T748" s="2669"/>
      <c r="U748" s="2669"/>
      <c r="V748" s="2669"/>
      <c r="W748" s="2669"/>
      <c r="X748" s="2669"/>
      <c r="Y748" s="2669"/>
      <c r="Z748" s="2669"/>
      <c r="AA748" s="2669"/>
      <c r="AB748" s="2669"/>
      <c r="AC748" s="266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2475"/>
      <c r="K749" s="2476"/>
      <c r="L749" s="2476"/>
      <c r="M749" s="2476"/>
      <c r="N749" s="2477"/>
      <c r="O749" s="2669"/>
      <c r="P749" s="2669"/>
      <c r="Q749" s="2669"/>
      <c r="R749" s="2669"/>
      <c r="S749" s="2669"/>
      <c r="T749" s="2669"/>
      <c r="U749" s="2669"/>
      <c r="V749" s="2669"/>
      <c r="W749" s="2669"/>
      <c r="X749" s="2669"/>
      <c r="Y749" s="2669"/>
      <c r="Z749" s="2669"/>
      <c r="AA749" s="2669"/>
      <c r="AB749" s="2669"/>
      <c r="AC749" s="26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2478"/>
      <c r="K750" s="2479"/>
      <c r="L750" s="2479"/>
      <c r="M750" s="2479"/>
      <c r="N750" s="2480"/>
      <c r="O750" s="2669"/>
      <c r="P750" s="2669"/>
      <c r="Q750" s="2669"/>
      <c r="R750" s="2669"/>
      <c r="S750" s="2669"/>
      <c r="T750" s="2669"/>
      <c r="U750" s="2669"/>
      <c r="V750" s="2669"/>
      <c r="W750" s="2669"/>
      <c r="X750" s="2669"/>
      <c r="Y750" s="2669"/>
      <c r="Z750" s="2669"/>
      <c r="AA750" s="2669"/>
      <c r="AB750" s="2669"/>
      <c r="AC750" s="266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2383" t="s">
        <v>495</v>
      </c>
      <c r="K751" s="2384"/>
      <c r="L751" s="2384"/>
      <c r="M751" s="2384"/>
      <c r="N751" s="2385"/>
      <c r="O751" s="2381">
        <f>'Applicant Notes'!D37</f>
        <v>307</v>
      </c>
      <c r="P751" s="2381"/>
      <c r="Q751" s="2381"/>
      <c r="R751" s="2381"/>
      <c r="S751" s="2381"/>
      <c r="T751" s="2382">
        <f>'Applicant Notes'!I37</f>
        <v>1533</v>
      </c>
      <c r="U751" s="2382"/>
      <c r="V751" s="2382"/>
      <c r="W751" s="2382"/>
      <c r="X751" s="2382"/>
      <c r="Y751" s="2340">
        <f>T751*O751</f>
        <v>470631</v>
      </c>
      <c r="Z751" s="2340"/>
      <c r="AA751" s="2340"/>
      <c r="AB751" s="2340"/>
      <c r="AC751" s="234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2383" t="s">
        <v>495</v>
      </c>
      <c r="K752" s="2384"/>
      <c r="L752" s="2384"/>
      <c r="M752" s="2384"/>
      <c r="N752" s="2385"/>
      <c r="O752" s="2381">
        <f>'Applicant Notes'!D38</f>
        <v>89</v>
      </c>
      <c r="P752" s="2381"/>
      <c r="Q752" s="2381"/>
      <c r="R752" s="2381"/>
      <c r="S752" s="2381"/>
      <c r="T752" s="2382">
        <f>'Applicant Notes'!I38</f>
        <v>1540</v>
      </c>
      <c r="U752" s="2382"/>
      <c r="V752" s="2382"/>
      <c r="W752" s="2382"/>
      <c r="X752" s="2382"/>
      <c r="Y752" s="2340">
        <f t="shared" ref="Y752:Y760" si="29">T752*O752</f>
        <v>137060</v>
      </c>
      <c r="Z752" s="2340"/>
      <c r="AA752" s="2340"/>
      <c r="AB752" s="2340"/>
      <c r="AC752" s="23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2383"/>
      <c r="K753" s="2384"/>
      <c r="L753" s="2384"/>
      <c r="M753" s="2384"/>
      <c r="N753" s="2385"/>
      <c r="O753" s="2381"/>
      <c r="P753" s="2381"/>
      <c r="Q753" s="2381"/>
      <c r="R753" s="2381"/>
      <c r="S753" s="2381"/>
      <c r="T753" s="2382"/>
      <c r="U753" s="2382"/>
      <c r="V753" s="2382"/>
      <c r="W753" s="2382"/>
      <c r="X753" s="2382"/>
      <c r="Y753" s="2340">
        <f t="shared" si="29"/>
        <v>0</v>
      </c>
      <c r="Z753" s="2340"/>
      <c r="AA753" s="2340"/>
      <c r="AB753" s="2340"/>
      <c r="AC753" s="23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2383"/>
      <c r="K754" s="2384"/>
      <c r="L754" s="2384"/>
      <c r="M754" s="2384"/>
      <c r="N754" s="2385"/>
      <c r="O754" s="2381"/>
      <c r="P754" s="2381"/>
      <c r="Q754" s="2381"/>
      <c r="R754" s="2381"/>
      <c r="S754" s="2381"/>
      <c r="T754" s="2382"/>
      <c r="U754" s="2382"/>
      <c r="V754" s="2382"/>
      <c r="W754" s="2382"/>
      <c r="X754" s="2382"/>
      <c r="Y754" s="2340">
        <f t="shared" si="29"/>
        <v>0</v>
      </c>
      <c r="Z754" s="2340"/>
      <c r="AA754" s="2340"/>
      <c r="AB754" s="2340"/>
      <c r="AC754" s="234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2383"/>
      <c r="K755" s="2384"/>
      <c r="L755" s="2384"/>
      <c r="M755" s="2384"/>
      <c r="N755" s="2385"/>
      <c r="O755" s="2381"/>
      <c r="P755" s="2381"/>
      <c r="Q755" s="2381"/>
      <c r="R755" s="2381"/>
      <c r="S755" s="2381"/>
      <c r="T755" s="2382"/>
      <c r="U755" s="2382"/>
      <c r="V755" s="2382"/>
      <c r="W755" s="2382"/>
      <c r="X755" s="2382"/>
      <c r="Y755" s="2340">
        <f t="shared" si="29"/>
        <v>0</v>
      </c>
      <c r="Z755" s="2340"/>
      <c r="AA755" s="2340"/>
      <c r="AB755" s="2340"/>
      <c r="AC755" s="234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2383"/>
      <c r="K756" s="2384"/>
      <c r="L756" s="2384"/>
      <c r="M756" s="2384"/>
      <c r="N756" s="2385"/>
      <c r="O756" s="2381"/>
      <c r="P756" s="2381"/>
      <c r="Q756" s="2381"/>
      <c r="R756" s="2381"/>
      <c r="S756" s="2381"/>
      <c r="T756" s="2382"/>
      <c r="U756" s="2382"/>
      <c r="V756" s="2382"/>
      <c r="W756" s="2382"/>
      <c r="X756" s="2382"/>
      <c r="Y756" s="2340">
        <f t="shared" si="29"/>
        <v>0</v>
      </c>
      <c r="Z756" s="2340"/>
      <c r="AA756" s="2340"/>
      <c r="AB756" s="2340"/>
      <c r="AC756" s="234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2383"/>
      <c r="K757" s="2384"/>
      <c r="L757" s="2384"/>
      <c r="M757" s="2384"/>
      <c r="N757" s="2385"/>
      <c r="O757" s="2381"/>
      <c r="P757" s="2381"/>
      <c r="Q757" s="2381"/>
      <c r="R757" s="2381"/>
      <c r="S757" s="2381"/>
      <c r="T757" s="2382"/>
      <c r="U757" s="2382"/>
      <c r="V757" s="2382"/>
      <c r="W757" s="2382"/>
      <c r="X757" s="2382"/>
      <c r="Y757" s="2340">
        <f t="shared" si="29"/>
        <v>0</v>
      </c>
      <c r="Z757" s="2340"/>
      <c r="AA757" s="2340"/>
      <c r="AB757" s="2340"/>
      <c r="AC757" s="234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2383"/>
      <c r="K758" s="2384"/>
      <c r="L758" s="2384"/>
      <c r="M758" s="2384"/>
      <c r="N758" s="2385"/>
      <c r="O758" s="2381"/>
      <c r="P758" s="2381"/>
      <c r="Q758" s="2381"/>
      <c r="R758" s="2381"/>
      <c r="S758" s="2381"/>
      <c r="T758" s="2382"/>
      <c r="U758" s="2382"/>
      <c r="V758" s="2382"/>
      <c r="W758" s="2382"/>
      <c r="X758" s="2382"/>
      <c r="Y758" s="2340">
        <f t="shared" si="29"/>
        <v>0</v>
      </c>
      <c r="Z758" s="2340"/>
      <c r="AA758" s="2340"/>
      <c r="AB758" s="2340"/>
      <c r="AC758" s="234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2383"/>
      <c r="K759" s="2384"/>
      <c r="L759" s="2384"/>
      <c r="M759" s="2384"/>
      <c r="N759" s="2385"/>
      <c r="O759" s="2381"/>
      <c r="P759" s="2381"/>
      <c r="Q759" s="2381"/>
      <c r="R759" s="2381"/>
      <c r="S759" s="2381"/>
      <c r="T759" s="2382"/>
      <c r="U759" s="2382"/>
      <c r="V759" s="2382"/>
      <c r="W759" s="2382"/>
      <c r="X759" s="2382"/>
      <c r="Y759" s="2340">
        <f t="shared" si="29"/>
        <v>0</v>
      </c>
      <c r="Z759" s="2340"/>
      <c r="AA759" s="2340"/>
      <c r="AB759" s="2340"/>
      <c r="AC759" s="234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2383"/>
      <c r="K760" s="2384"/>
      <c r="L760" s="2384"/>
      <c r="M760" s="2384"/>
      <c r="N760" s="2385"/>
      <c r="O760" s="2381"/>
      <c r="P760" s="2381"/>
      <c r="Q760" s="2381"/>
      <c r="R760" s="2381"/>
      <c r="S760" s="2381"/>
      <c r="T760" s="2382"/>
      <c r="U760" s="2382"/>
      <c r="V760" s="2382"/>
      <c r="W760" s="2382"/>
      <c r="X760" s="2382"/>
      <c r="Y760" s="2340">
        <f t="shared" si="29"/>
        <v>0</v>
      </c>
      <c r="Z760" s="2340"/>
      <c r="AA760" s="2340"/>
      <c r="AB760" s="2340"/>
      <c r="AC760" s="234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2344" t="s">
        <v>985</v>
      </c>
      <c r="K761" s="2345"/>
      <c r="L761" s="2345"/>
      <c r="M761" s="2345"/>
      <c r="N761" s="2346"/>
      <c r="O761" s="2347">
        <f>SUM(O751:S760)</f>
        <v>396</v>
      </c>
      <c r="P761" s="2347"/>
      <c r="Q761" s="2347"/>
      <c r="R761" s="2347"/>
      <c r="S761" s="2347"/>
      <c r="T761" s="2348" t="s">
        <v>984</v>
      </c>
      <c r="U761" s="2349"/>
      <c r="V761" s="2349"/>
      <c r="W761" s="2349"/>
      <c r="X761" s="2350"/>
      <c r="Y761" s="2331">
        <f>SUM(Y751:AC760)</f>
        <v>607691</v>
      </c>
      <c r="Z761" s="2332"/>
      <c r="AA761" s="2332"/>
      <c r="AB761" s="2332"/>
      <c r="AC761" s="2333"/>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2366">
        <f>P716+Y741+Y761</f>
        <v>714445</v>
      </c>
      <c r="Z763" s="2366"/>
      <c r="AA763" s="2366"/>
      <c r="AB763" s="2366"/>
      <c r="AC763" s="236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2366">
        <f>(P716+Y741+Y761)*12</f>
        <v>8573340</v>
      </c>
      <c r="Z764" s="2366"/>
      <c r="AA764" s="2366"/>
      <c r="AB764" s="2366"/>
      <c r="AC764" s="236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2608"/>
      <c r="AA769" s="2609"/>
      <c r="AB769" s="2609"/>
      <c r="AC769" s="2609"/>
      <c r="AD769" s="2609"/>
      <c r="AE769" s="261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774">
        <v>0</v>
      </c>
      <c r="AA770" s="2609"/>
      <c r="AB770" s="2609"/>
      <c r="AC770" s="2609"/>
      <c r="AD770" s="2609"/>
      <c r="AE770" s="261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762">
        <v>0</v>
      </c>
      <c r="AA771" s="2529"/>
      <c r="AB771" s="2529"/>
      <c r="AC771" s="2529"/>
      <c r="AD771" s="2529"/>
      <c r="AE771" s="261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363">
        <f>'Subsidy Contract Calculation'!I30</f>
        <v>0</v>
      </c>
      <c r="AA772" s="2364"/>
      <c r="AB772" s="2364"/>
      <c r="AC772" s="2364"/>
      <c r="AD772" s="2364"/>
      <c r="AE772" s="236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2351">
        <f>'Applicant Notes'!AH7</f>
        <v>42000</v>
      </c>
      <c r="AA776" s="2352"/>
      <c r="AB776" s="2352"/>
      <c r="AC776" s="2352"/>
      <c r="AD776" s="2352"/>
      <c r="AE776" s="2353"/>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2351">
        <f>'Applicant Notes'!AH8</f>
        <v>12000</v>
      </c>
      <c r="AA777" s="2352"/>
      <c r="AB777" s="2352"/>
      <c r="AC777" s="2352"/>
      <c r="AD777" s="2352"/>
      <c r="AE777" s="2353"/>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2351"/>
      <c r="AA778" s="2352"/>
      <c r="AB778" s="2352"/>
      <c r="AC778" s="2352"/>
      <c r="AD778" s="2352"/>
      <c r="AE778" s="2353"/>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2367" t="s">
        <v>629</v>
      </c>
      <c r="Q779" s="2368"/>
      <c r="R779" s="2368"/>
      <c r="S779" s="2368"/>
      <c r="T779" s="2368"/>
      <c r="U779" s="2368"/>
      <c r="V779" s="2368"/>
      <c r="W779" s="2368"/>
      <c r="X779" s="2368"/>
      <c r="Y779" s="2369"/>
      <c r="Z779" s="2351"/>
      <c r="AA779" s="2352"/>
      <c r="AB779" s="2352"/>
      <c r="AC779" s="2352"/>
      <c r="AD779" s="2352"/>
      <c r="AE779" s="2353"/>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2360">
        <f>SUM(Z776:AE779)</f>
        <v>54000</v>
      </c>
      <c r="AA780" s="2361"/>
      <c r="AB780" s="2361"/>
      <c r="AC780" s="2361"/>
      <c r="AD780" s="2361"/>
      <c r="AE780" s="236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2360">
        <f>Z780+Y764+Z772</f>
        <v>8627340</v>
      </c>
      <c r="AA781" s="2361"/>
      <c r="AB781" s="2361"/>
      <c r="AC781" s="2361"/>
      <c r="AD781" s="2361"/>
      <c r="AE781" s="236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758" t="s">
        <v>986</v>
      </c>
      <c r="N786" s="2758"/>
      <c r="O786" s="2758"/>
      <c r="P786" s="2759"/>
      <c r="Q786" s="2487" t="s">
        <v>291</v>
      </c>
      <c r="R786" s="2487"/>
      <c r="S786" s="2487"/>
      <c r="T786" s="2487"/>
      <c r="U786" s="2487" t="s">
        <v>292</v>
      </c>
      <c r="V786" s="2487"/>
      <c r="W786" s="2487"/>
      <c r="X786" s="2487"/>
      <c r="Y786" s="2487" t="s">
        <v>293</v>
      </c>
      <c r="Z786" s="2487"/>
      <c r="AA786" s="2487"/>
      <c r="AB786" s="2487"/>
      <c r="AC786" s="2487" t="s">
        <v>36</v>
      </c>
      <c r="AD786" s="2487"/>
      <c r="AE786" s="2487"/>
      <c r="AF786" s="2487"/>
      <c r="AG786" s="2757" t="s">
        <v>630</v>
      </c>
      <c r="AH786" s="2757"/>
      <c r="AI786" s="2757"/>
      <c r="AJ786" s="275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760"/>
      <c r="N787" s="2760"/>
      <c r="O787" s="2760"/>
      <c r="P787" s="2761"/>
      <c r="Q787" s="2487"/>
      <c r="R787" s="2487"/>
      <c r="S787" s="2487"/>
      <c r="T787" s="2487"/>
      <c r="U787" s="2487"/>
      <c r="V787" s="2487"/>
      <c r="W787" s="2487"/>
      <c r="X787" s="2487"/>
      <c r="Y787" s="2487"/>
      <c r="Z787" s="2487"/>
      <c r="AA787" s="2487"/>
      <c r="AB787" s="2487"/>
      <c r="AC787" s="2487"/>
      <c r="AD787" s="2487"/>
      <c r="AE787" s="2487"/>
      <c r="AF787" s="2487"/>
      <c r="AG787" s="2757"/>
      <c r="AH787" s="2757"/>
      <c r="AI787" s="2757"/>
      <c r="AJ787" s="275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2541" t="s">
        <v>767</v>
      </c>
      <c r="D788" s="2542"/>
      <c r="E788" s="2542"/>
      <c r="F788" s="2542"/>
      <c r="G788" s="2542"/>
      <c r="H788" s="2542"/>
      <c r="I788" s="94"/>
      <c r="J788" s="94"/>
      <c r="K788" s="94"/>
      <c r="L788" s="95"/>
      <c r="M788" s="2483">
        <f>MAX('Applicant Notes'!C76:C77)</f>
        <v>9</v>
      </c>
      <c r="N788" s="2483"/>
      <c r="O788" s="2483"/>
      <c r="P788" s="2483"/>
      <c r="Q788" s="2483"/>
      <c r="R788" s="2483"/>
      <c r="S788" s="2483"/>
      <c r="T788" s="2483"/>
      <c r="U788" s="2483"/>
      <c r="V788" s="2483"/>
      <c r="W788" s="2483"/>
      <c r="X788" s="2483"/>
      <c r="Y788" s="2483"/>
      <c r="Z788" s="2483"/>
      <c r="AA788" s="2483"/>
      <c r="AB788" s="2483"/>
      <c r="AC788" s="2484"/>
      <c r="AD788" s="2485"/>
      <c r="AE788" s="2485"/>
      <c r="AF788" s="2486"/>
      <c r="AG788" s="2484"/>
      <c r="AH788" s="2485"/>
      <c r="AI788" s="2485"/>
      <c r="AJ788" s="248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2481" t="s">
        <v>768</v>
      </c>
      <c r="D789" s="2482"/>
      <c r="E789" s="2482"/>
      <c r="F789" s="2482"/>
      <c r="G789" s="2482"/>
      <c r="H789" s="2482"/>
      <c r="I789" s="91"/>
      <c r="J789" s="91"/>
      <c r="K789" s="91"/>
      <c r="L789" s="92"/>
      <c r="M789" s="2483">
        <f>MAX('Applicant Notes'!C80:C81)</f>
        <v>5</v>
      </c>
      <c r="N789" s="2483"/>
      <c r="O789" s="2483"/>
      <c r="P789" s="2483"/>
      <c r="Q789" s="2483"/>
      <c r="R789" s="2483"/>
      <c r="S789" s="2483"/>
      <c r="T789" s="2483"/>
      <c r="U789" s="2483"/>
      <c r="V789" s="2483"/>
      <c r="W789" s="2483"/>
      <c r="X789" s="2483"/>
      <c r="Y789" s="2483"/>
      <c r="Z789" s="2483"/>
      <c r="AA789" s="2483"/>
      <c r="AB789" s="2483"/>
      <c r="AC789" s="2484"/>
      <c r="AD789" s="2485"/>
      <c r="AE789" s="2485"/>
      <c r="AF789" s="2486"/>
      <c r="AG789" s="2484"/>
      <c r="AH789" s="2485"/>
      <c r="AI789" s="2485"/>
      <c r="AJ789" s="248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2481" t="s">
        <v>77</v>
      </c>
      <c r="D790" s="2482"/>
      <c r="E790" s="2482"/>
      <c r="F790" s="2482"/>
      <c r="G790" s="2482"/>
      <c r="H790" s="2482"/>
      <c r="I790" s="110"/>
      <c r="J790" s="110"/>
      <c r="K790" s="110"/>
      <c r="L790" s="111"/>
      <c r="M790" s="2483">
        <f>MAX('Applicant Notes'!C78:C79)</f>
        <v>3</v>
      </c>
      <c r="N790" s="2483"/>
      <c r="O790" s="2483"/>
      <c r="P790" s="2483"/>
      <c r="Q790" s="2483"/>
      <c r="R790" s="2483"/>
      <c r="S790" s="2483"/>
      <c r="T790" s="2483"/>
      <c r="U790" s="2483"/>
      <c r="V790" s="2483"/>
      <c r="W790" s="2483"/>
      <c r="X790" s="2483"/>
      <c r="Y790" s="2483"/>
      <c r="Z790" s="2483"/>
      <c r="AA790" s="2483"/>
      <c r="AB790" s="2483"/>
      <c r="AC790" s="2484"/>
      <c r="AD790" s="2485"/>
      <c r="AE790" s="2485"/>
      <c r="AF790" s="2486"/>
      <c r="AG790" s="2484"/>
      <c r="AH790" s="2485"/>
      <c r="AI790" s="2485"/>
      <c r="AJ790" s="248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2481" t="s">
        <v>195</v>
      </c>
      <c r="D791" s="2482"/>
      <c r="E791" s="2482"/>
      <c r="F791" s="2482"/>
      <c r="G791" s="2482"/>
      <c r="H791" s="2482"/>
      <c r="I791" s="110"/>
      <c r="J791" s="110"/>
      <c r="K791" s="110"/>
      <c r="L791" s="111"/>
      <c r="M791" s="2483"/>
      <c r="N791" s="2483"/>
      <c r="O791" s="2483"/>
      <c r="P791" s="2483"/>
      <c r="Q791" s="2483"/>
      <c r="R791" s="2483"/>
      <c r="S791" s="2483"/>
      <c r="T791" s="2483"/>
      <c r="U791" s="2483"/>
      <c r="V791" s="2483"/>
      <c r="W791" s="2483"/>
      <c r="X791" s="2483"/>
      <c r="Y791" s="2483"/>
      <c r="Z791" s="2483"/>
      <c r="AA791" s="2483"/>
      <c r="AB791" s="2483"/>
      <c r="AC791" s="2484"/>
      <c r="AD791" s="2485"/>
      <c r="AE791" s="2485"/>
      <c r="AF791" s="2486"/>
      <c r="AG791" s="2484"/>
      <c r="AH791" s="2485"/>
      <c r="AI791" s="2485"/>
      <c r="AJ791" s="248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2481" t="s">
        <v>873</v>
      </c>
      <c r="D792" s="2482"/>
      <c r="E792" s="2482"/>
      <c r="F792" s="2482"/>
      <c r="G792" s="2482"/>
      <c r="H792" s="2482"/>
      <c r="I792" s="110"/>
      <c r="J792" s="110"/>
      <c r="K792" s="110"/>
      <c r="L792" s="111"/>
      <c r="M792" s="2483">
        <f>'Applicant Notes'!C84</f>
        <v>15</v>
      </c>
      <c r="N792" s="2483"/>
      <c r="O792" s="2483"/>
      <c r="P792" s="2483"/>
      <c r="Q792" s="2483"/>
      <c r="R792" s="2483"/>
      <c r="S792" s="2483"/>
      <c r="T792" s="2483"/>
      <c r="U792" s="2483"/>
      <c r="V792" s="2483"/>
      <c r="W792" s="2483"/>
      <c r="X792" s="2483"/>
      <c r="Y792" s="2483"/>
      <c r="Z792" s="2483"/>
      <c r="AA792" s="2483"/>
      <c r="AB792" s="2483"/>
      <c r="AC792" s="2484"/>
      <c r="AD792" s="2485"/>
      <c r="AE792" s="2485"/>
      <c r="AF792" s="2486"/>
      <c r="AG792" s="2484"/>
      <c r="AH792" s="2485"/>
      <c r="AI792" s="2485"/>
      <c r="AJ792" s="248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2494" t="s">
        <v>1059</v>
      </c>
      <c r="D793" s="2482"/>
      <c r="E793" s="2482"/>
      <c r="F793" s="2482"/>
      <c r="G793" s="2482"/>
      <c r="H793" s="2482"/>
      <c r="I793" s="110"/>
      <c r="J793" s="110"/>
      <c r="K793" s="110"/>
      <c r="L793" s="111"/>
      <c r="M793" s="2483"/>
      <c r="N793" s="2483"/>
      <c r="O793" s="2483"/>
      <c r="P793" s="2483"/>
      <c r="Q793" s="2483"/>
      <c r="R793" s="2483"/>
      <c r="S793" s="2483"/>
      <c r="T793" s="2483"/>
      <c r="U793" s="2483"/>
      <c r="V793" s="2483"/>
      <c r="W793" s="2483"/>
      <c r="X793" s="2483"/>
      <c r="Y793" s="2483"/>
      <c r="Z793" s="2483"/>
      <c r="AA793" s="2483"/>
      <c r="AB793" s="2483"/>
      <c r="AC793" s="2484"/>
      <c r="AD793" s="2485"/>
      <c r="AE793" s="2485"/>
      <c r="AF793" s="2486"/>
      <c r="AG793" s="2484"/>
      <c r="AH793" s="2485"/>
      <c r="AI793" s="2485"/>
      <c r="AJ793" s="24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2668" t="s">
        <v>2739</v>
      </c>
      <c r="G794" s="2376"/>
      <c r="H794" s="2376"/>
      <c r="I794" s="2376"/>
      <c r="J794" s="2376"/>
      <c r="K794" s="2376"/>
      <c r="L794" s="2377"/>
      <c r="M794" s="2483">
        <f>'Applicant Notes'!C85+'Applicant Notes'!C82+'Applicant Notes'!C83</f>
        <v>4</v>
      </c>
      <c r="N794" s="2483"/>
      <c r="O794" s="2483"/>
      <c r="P794" s="2483"/>
      <c r="Q794" s="2483"/>
      <c r="R794" s="2483"/>
      <c r="S794" s="2483"/>
      <c r="T794" s="2483"/>
      <c r="U794" s="2483"/>
      <c r="V794" s="2483"/>
      <c r="W794" s="2483"/>
      <c r="X794" s="2483"/>
      <c r="Y794" s="2483"/>
      <c r="Z794" s="2483"/>
      <c r="AA794" s="2483"/>
      <c r="AB794" s="2483"/>
      <c r="AC794" s="2484"/>
      <c r="AD794" s="2485"/>
      <c r="AE794" s="2485"/>
      <c r="AF794" s="2486"/>
      <c r="AG794" s="2484"/>
      <c r="AH794" s="2485"/>
      <c r="AI794" s="2485"/>
      <c r="AJ794" s="24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2344" t="s">
        <v>984</v>
      </c>
      <c r="D795" s="2345"/>
      <c r="E795" s="2345"/>
      <c r="F795" s="2345"/>
      <c r="G795" s="2345"/>
      <c r="H795" s="2345"/>
      <c r="I795" s="2345"/>
      <c r="J795" s="2345"/>
      <c r="K795" s="2345"/>
      <c r="L795" s="2346"/>
      <c r="M795" s="2495">
        <f>SUM(M788:P794)</f>
        <v>36</v>
      </c>
      <c r="N795" s="2495"/>
      <c r="O795" s="2495"/>
      <c r="P795" s="2495"/>
      <c r="Q795" s="2495">
        <f>SUM(Q788:T794)</f>
        <v>0</v>
      </c>
      <c r="R795" s="2495"/>
      <c r="S795" s="2495"/>
      <c r="T795" s="2495"/>
      <c r="U795" s="2495">
        <f>SUM(U788:X794)</f>
        <v>0</v>
      </c>
      <c r="V795" s="2495"/>
      <c r="W795" s="2495"/>
      <c r="X795" s="2495"/>
      <c r="Y795" s="2495">
        <f>SUM(Y788:AB794)</f>
        <v>0</v>
      </c>
      <c r="Z795" s="2495"/>
      <c r="AA795" s="2495"/>
      <c r="AB795" s="2495"/>
      <c r="AC795" s="2495">
        <f>SUM(AC788:AF794)</f>
        <v>0</v>
      </c>
      <c r="AD795" s="2495"/>
      <c r="AE795" s="2495"/>
      <c r="AF795" s="2495"/>
      <c r="AG795" s="2495">
        <f>SUM(AG788:AJ794)</f>
        <v>0</v>
      </c>
      <c r="AH795" s="2495"/>
      <c r="AI795" s="2495"/>
      <c r="AJ795" s="249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765" t="s">
        <v>2740</v>
      </c>
      <c r="D800" s="2766"/>
      <c r="E800" s="2766"/>
      <c r="F800" s="2766"/>
      <c r="G800" s="2766"/>
      <c r="H800" s="2766"/>
      <c r="I800" s="2766"/>
      <c r="J800" s="2766"/>
      <c r="K800" s="2766"/>
      <c r="L800" s="2766"/>
      <c r="M800" s="2766"/>
      <c r="N800" s="2766"/>
      <c r="O800" s="2766"/>
      <c r="P800" s="2766"/>
      <c r="Q800" s="2766"/>
      <c r="R800" s="2766"/>
      <c r="S800" s="2766"/>
      <c r="T800" s="2766"/>
      <c r="U800" s="2766"/>
      <c r="V800" s="2766"/>
      <c r="W800" s="2766"/>
      <c r="X800" s="2766"/>
      <c r="Y800" s="2766"/>
      <c r="Z800" s="2766"/>
      <c r="AA800" s="2766"/>
      <c r="AB800" s="2766"/>
      <c r="AC800" s="2766"/>
      <c r="AD800" s="2766"/>
      <c r="AE800" s="2766"/>
      <c r="AF800" s="2766"/>
      <c r="AG800" s="2766"/>
      <c r="AH800" s="2766"/>
      <c r="AI800" s="2766"/>
      <c r="AJ800" s="276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2492" t="s">
        <v>417</v>
      </c>
      <c r="BB803" s="2493"/>
      <c r="BC803" s="72"/>
      <c r="BD803" s="72"/>
      <c r="BE803" s="72"/>
      <c r="BF803" s="65" t="s">
        <v>474</v>
      </c>
      <c r="BG803" s="65"/>
      <c r="BH803" s="65"/>
      <c r="BI803" s="65"/>
      <c r="BJ803" s="65"/>
      <c r="BK803" s="65"/>
      <c r="BL803" s="65"/>
      <c r="BM803" s="65"/>
      <c r="BN803" s="65"/>
      <c r="BO803" s="2489" t="str">
        <f>T196</f>
        <v>Orange</v>
      </c>
      <c r="BP803" s="2490"/>
      <c r="BQ803" s="2490"/>
      <c r="BR803" s="2490"/>
      <c r="BS803" s="2490"/>
      <c r="BT803" s="2490"/>
      <c r="BU803" s="249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2427">
        <f>'Applicant Notes'!AH33</f>
        <v>18000</v>
      </c>
      <c r="X805" s="2427"/>
      <c r="Y805" s="2427"/>
      <c r="Z805" s="2427"/>
      <c r="AA805" s="2427"/>
      <c r="AB805" s="2427"/>
      <c r="AC805" s="2427"/>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2427">
        <f>'Applicant Notes'!AH34</f>
        <v>12000</v>
      </c>
      <c r="X806" s="2427"/>
      <c r="Y806" s="2427"/>
      <c r="Z806" s="2427"/>
      <c r="AA806" s="2427"/>
      <c r="AB806" s="2427"/>
      <c r="AC806" s="242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2427">
        <f>'Applicant Notes'!AH35</f>
        <v>24000</v>
      </c>
      <c r="X807" s="2427"/>
      <c r="Y807" s="2427"/>
      <c r="Z807" s="2427"/>
      <c r="AA807" s="2427"/>
      <c r="AB807" s="2427"/>
      <c r="AC807" s="2427"/>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2427">
        <f>'Applicant Notes'!AH36</f>
        <v>12000</v>
      </c>
      <c r="X808" s="2427"/>
      <c r="Y808" s="2427"/>
      <c r="Z808" s="2427"/>
      <c r="AA808" s="2427"/>
      <c r="AB808" s="2427"/>
      <c r="AC808" s="242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2375" t="str">
        <f>'Applicant Notes'!AB32</f>
        <v>Other Administrative</v>
      </c>
      <c r="N809" s="2376"/>
      <c r="O809" s="2376"/>
      <c r="P809" s="2376"/>
      <c r="Q809" s="2376"/>
      <c r="R809" s="2376"/>
      <c r="S809" s="2376"/>
      <c r="T809" s="2376"/>
      <c r="U809" s="2376"/>
      <c r="V809" s="2377"/>
      <c r="W809" s="2427">
        <f>'Applicant Notes'!AH32</f>
        <v>128100</v>
      </c>
      <c r="X809" s="2427"/>
      <c r="Y809" s="2427"/>
      <c r="Z809" s="2427"/>
      <c r="AA809" s="2427"/>
      <c r="AB809" s="2427"/>
      <c r="AC809" s="2427"/>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2360">
        <f>SUM(W805:AC809)</f>
        <v>194100</v>
      </c>
      <c r="X810" s="2361"/>
      <c r="Y810" s="2361"/>
      <c r="Z810" s="2361"/>
      <c r="AA810" s="2361"/>
      <c r="AB810" s="2361"/>
      <c r="AC810" s="236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2344" t="s">
        <v>523</v>
      </c>
      <c r="K812" s="2345"/>
      <c r="L812" s="2345"/>
      <c r="M812" s="2345"/>
      <c r="N812" s="2345"/>
      <c r="O812" s="2345"/>
      <c r="P812" s="2345"/>
      <c r="Q812" s="2345"/>
      <c r="R812" s="2345"/>
      <c r="S812" s="2345"/>
      <c r="T812" s="2345"/>
      <c r="U812" s="2345"/>
      <c r="V812" s="2346"/>
      <c r="W812" s="2351">
        <f>'Applicant Notes'!AH39</f>
        <v>327840</v>
      </c>
      <c r="X812" s="2352"/>
      <c r="Y812" s="2352"/>
      <c r="Z812" s="2352"/>
      <c r="AA812" s="2352"/>
      <c r="AB812" s="2352"/>
      <c r="AC812" s="2353"/>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2429">
        <v>0</v>
      </c>
      <c r="X814" s="2429"/>
      <c r="Y814" s="2429"/>
      <c r="Z814" s="2429"/>
      <c r="AA814" s="2429"/>
      <c r="AB814" s="2429"/>
      <c r="AC814" s="242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2429">
        <f>'Applicant Notes'!AH40</f>
        <v>42000</v>
      </c>
      <c r="X815" s="2429"/>
      <c r="Y815" s="2429"/>
      <c r="Z815" s="2429"/>
      <c r="AA815" s="2429"/>
      <c r="AB815" s="2429"/>
      <c r="AC815" s="242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2429">
        <f>'Applicant Notes'!AH41</f>
        <v>252000</v>
      </c>
      <c r="X816" s="2429"/>
      <c r="Y816" s="2429"/>
      <c r="Z816" s="2429"/>
      <c r="AA816" s="2429"/>
      <c r="AB816" s="2429"/>
      <c r="AC816" s="242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2429">
        <f>'Applicant Notes'!AH42</f>
        <v>228000</v>
      </c>
      <c r="X817" s="2429"/>
      <c r="Y817" s="2429"/>
      <c r="Z817" s="2429"/>
      <c r="AA817" s="2429"/>
      <c r="AB817" s="2429"/>
      <c r="AC817" s="2429"/>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428">
        <f>SUM(W814:AC817)</f>
        <v>522000</v>
      </c>
      <c r="X818" s="2428"/>
      <c r="Y818" s="2428"/>
      <c r="Z818" s="2428"/>
      <c r="AA818" s="2428"/>
      <c r="AB818" s="2428"/>
      <c r="AC818" s="2428"/>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499">
        <f>'Applicant Notes'!AH44</f>
        <v>141600</v>
      </c>
      <c r="X820" s="2500"/>
      <c r="Y820" s="2500"/>
      <c r="Z820" s="2500"/>
      <c r="AA820" s="2500"/>
      <c r="AB820" s="2500"/>
      <c r="AC820" s="2501"/>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2499">
        <f>'Applicant Notes'!AH45+'Applicant Notes'!AH46</f>
        <v>278400</v>
      </c>
      <c r="X821" s="2500"/>
      <c r="Y821" s="2500"/>
      <c r="Z821" s="2500"/>
      <c r="AA821" s="2500"/>
      <c r="AB821" s="2500"/>
      <c r="AC821" s="2501"/>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2375" t="str">
        <f>'Applicant Notes'!AB53</f>
        <v>Payroll taxes &amp; Benefits</v>
      </c>
      <c r="N822" s="2376"/>
      <c r="O822" s="2376"/>
      <c r="P822" s="2376"/>
      <c r="Q822" s="2376"/>
      <c r="R822" s="2376"/>
      <c r="S822" s="2376"/>
      <c r="T822" s="2376"/>
      <c r="U822" s="2376"/>
      <c r="V822" s="2377"/>
      <c r="W822" s="2499">
        <f>'Applicant Notes'!AH53</f>
        <v>70980</v>
      </c>
      <c r="X822" s="2500"/>
      <c r="Y822" s="2500"/>
      <c r="Z822" s="2500"/>
      <c r="AA822" s="2500"/>
      <c r="AB822" s="2500"/>
      <c r="AC822" s="2501"/>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496">
        <f>SUM(W820:AC822)</f>
        <v>490980</v>
      </c>
      <c r="X823" s="2497"/>
      <c r="Y823" s="2497"/>
      <c r="Z823" s="2497"/>
      <c r="AA823" s="2497"/>
      <c r="AB823" s="2497"/>
      <c r="AC823" s="2498"/>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499">
        <f>'Applicant Notes'!AH57</f>
        <v>71400</v>
      </c>
      <c r="X824" s="2500"/>
      <c r="Y824" s="2500"/>
      <c r="Z824" s="2500"/>
      <c r="AA824" s="2500"/>
      <c r="AB824" s="2500"/>
      <c r="AC824" s="250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2427">
        <f>'Applicant Notes'!AH60</f>
        <v>9000</v>
      </c>
      <c r="X826" s="2427"/>
      <c r="Y826" s="2427"/>
      <c r="Z826" s="2427"/>
      <c r="AA826" s="2427"/>
      <c r="AB826" s="2427"/>
      <c r="AC826" s="242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2427">
        <f>'Applicant Notes'!AH77</f>
        <v>624000</v>
      </c>
      <c r="X827" s="2427"/>
      <c r="Y827" s="2427"/>
      <c r="Z827" s="2427"/>
      <c r="AA827" s="2427"/>
      <c r="AB827" s="2427"/>
      <c r="AC827" s="242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2427">
        <f>'Applicant Notes'!AH78</f>
        <v>60000</v>
      </c>
      <c r="X828" s="2427"/>
      <c r="Y828" s="2427"/>
      <c r="Z828" s="2427"/>
      <c r="AA828" s="2427"/>
      <c r="AB828" s="2427"/>
      <c r="AC828" s="242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2427">
        <f>'Applicant Notes'!AH79</f>
        <v>36000</v>
      </c>
      <c r="X829" s="2427"/>
      <c r="Y829" s="2427"/>
      <c r="Z829" s="2427"/>
      <c r="AA829" s="2427"/>
      <c r="AB829" s="2427"/>
      <c r="AC829" s="242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2427">
        <f>'Applicant Notes'!AH82</f>
        <v>90000</v>
      </c>
      <c r="X830" s="2427"/>
      <c r="Y830" s="2427"/>
      <c r="Z830" s="2427"/>
      <c r="AA830" s="2427"/>
      <c r="AB830" s="2427"/>
      <c r="AC830" s="242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2427">
        <f>'Applicant Notes'!AH83</f>
        <v>270000</v>
      </c>
      <c r="X831" s="2427"/>
      <c r="Y831" s="2427"/>
      <c r="Z831" s="2427"/>
      <c r="AA831" s="2427"/>
      <c r="AB831" s="2427"/>
      <c r="AC831" s="242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2375" t="s">
        <v>629</v>
      </c>
      <c r="N832" s="2376"/>
      <c r="O832" s="2376"/>
      <c r="P832" s="2376"/>
      <c r="Q832" s="2376"/>
      <c r="R832" s="2376"/>
      <c r="S832" s="2376"/>
      <c r="T832" s="2376"/>
      <c r="U832" s="2376"/>
      <c r="V832" s="2377"/>
      <c r="W832" s="2427"/>
      <c r="X832" s="2427"/>
      <c r="Y832" s="2427"/>
      <c r="Z832" s="2427"/>
      <c r="AA832" s="2427"/>
      <c r="AB832" s="2427"/>
      <c r="AC832" s="2427"/>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2366">
        <f>SUM(W826:AC832)</f>
        <v>1089000</v>
      </c>
      <c r="X833" s="2366"/>
      <c r="Y833" s="2366"/>
      <c r="Z833" s="2366"/>
      <c r="AA833" s="2366"/>
      <c r="AB833" s="2366"/>
      <c r="AC833" s="2366"/>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2375" t="str">
        <f>'Applicant Notes'!AB59</f>
        <v>Property &amp; GL Insurance</v>
      </c>
      <c r="N835" s="2376"/>
      <c r="O835" s="2376"/>
      <c r="P835" s="2376"/>
      <c r="Q835" s="2376"/>
      <c r="R835" s="2376"/>
      <c r="S835" s="2376"/>
      <c r="T835" s="2376"/>
      <c r="U835" s="2376"/>
      <c r="V835" s="2377"/>
      <c r="W835" s="2351">
        <f>'Applicant Notes'!AH59</f>
        <v>210000</v>
      </c>
      <c r="X835" s="2352"/>
      <c r="Y835" s="2352"/>
      <c r="Z835" s="2352"/>
      <c r="AA835" s="2352"/>
      <c r="AB835" s="2352"/>
      <c r="AC835" s="2353"/>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2375" t="s">
        <v>629</v>
      </c>
      <c r="N836" s="2376"/>
      <c r="O836" s="2376"/>
      <c r="P836" s="2376"/>
      <c r="Q836" s="2376"/>
      <c r="R836" s="2376"/>
      <c r="S836" s="2376"/>
      <c r="T836" s="2376"/>
      <c r="U836" s="2376"/>
      <c r="V836" s="2377"/>
      <c r="W836" s="2351"/>
      <c r="X836" s="2352"/>
      <c r="Y836" s="2352"/>
      <c r="Z836" s="2352"/>
      <c r="AA836" s="2352"/>
      <c r="AB836" s="2352"/>
      <c r="AC836" s="2353"/>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2375" t="s">
        <v>629</v>
      </c>
      <c r="N837" s="2376"/>
      <c r="O837" s="2376"/>
      <c r="P837" s="2376"/>
      <c r="Q837" s="2376"/>
      <c r="R837" s="2376"/>
      <c r="S837" s="2376"/>
      <c r="T837" s="2376"/>
      <c r="U837" s="2376"/>
      <c r="V837" s="2377"/>
      <c r="W837" s="2351"/>
      <c r="X837" s="2352"/>
      <c r="Y837" s="2352"/>
      <c r="Z837" s="2352"/>
      <c r="AA837" s="2352"/>
      <c r="AB837" s="2352"/>
      <c r="AC837" s="2353"/>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2375" t="s">
        <v>629</v>
      </c>
      <c r="N838" s="2376"/>
      <c r="O838" s="2376"/>
      <c r="P838" s="2376"/>
      <c r="Q838" s="2376"/>
      <c r="R838" s="2376"/>
      <c r="S838" s="2376"/>
      <c r="T838" s="2376"/>
      <c r="U838" s="2376"/>
      <c r="V838" s="2377"/>
      <c r="W838" s="2351"/>
      <c r="X838" s="2352"/>
      <c r="Y838" s="2352"/>
      <c r="Z838" s="2352"/>
      <c r="AA838" s="2352"/>
      <c r="AB838" s="2352"/>
      <c r="AC838" s="2353"/>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2375" t="s">
        <v>629</v>
      </c>
      <c r="N839" s="2376"/>
      <c r="O839" s="2376"/>
      <c r="P839" s="2376"/>
      <c r="Q839" s="2376"/>
      <c r="R839" s="2376"/>
      <c r="S839" s="2376"/>
      <c r="T839" s="2376"/>
      <c r="U839" s="2376"/>
      <c r="V839" s="2377"/>
      <c r="W839" s="2351"/>
      <c r="X839" s="2352"/>
      <c r="Y839" s="2352"/>
      <c r="Z839" s="2352"/>
      <c r="AA839" s="2352"/>
      <c r="AB839" s="2352"/>
      <c r="AC839" s="2353"/>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2360">
        <f>SUM(W835:AC839)</f>
        <v>210000</v>
      </c>
      <c r="X840" s="2361"/>
      <c r="Y840" s="2361"/>
      <c r="Z840" s="2361"/>
      <c r="AA840" s="2361"/>
      <c r="AB840" s="2361"/>
      <c r="AC840" s="236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2360">
        <f>W810+W818+W823+W824+W833+W840+W812</f>
        <v>2905320</v>
      </c>
      <c r="AD844" s="2361"/>
      <c r="AE844" s="2361"/>
      <c r="AF844" s="2361"/>
      <c r="AG844" s="2361"/>
      <c r="AH844" s="2362"/>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2660">
        <f>O761+O741+G716</f>
        <v>500</v>
      </c>
      <c r="AD845" s="2661"/>
      <c r="AE845" s="2661"/>
      <c r="AF845" s="2661"/>
      <c r="AG845" s="2661"/>
      <c r="AH845" s="2662"/>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2655" t="s">
        <v>389</v>
      </c>
      <c r="F846" s="2656"/>
      <c r="G846" s="2656"/>
      <c r="H846" s="2656"/>
      <c r="I846" s="2656"/>
      <c r="J846" s="2656"/>
      <c r="K846" s="2656"/>
      <c r="L846" s="2656"/>
      <c r="M846" s="2656"/>
      <c r="N846" s="2656"/>
      <c r="O846" s="2656"/>
      <c r="P846" s="2656"/>
      <c r="Q846" s="2656"/>
      <c r="R846" s="2656"/>
      <c r="S846" s="2656"/>
      <c r="T846" s="2656"/>
      <c r="U846" s="2656"/>
      <c r="V846" s="2656"/>
      <c r="W846" s="2656"/>
      <c r="X846" s="2656"/>
      <c r="Y846" s="2656"/>
      <c r="Z846" s="2656"/>
      <c r="AA846" s="2656"/>
      <c r="AB846" s="2657"/>
      <c r="AC846" s="2653">
        <f>IF(ISERROR((ROUNDDOWN(AC844/AC845,0))),0,(ROUNDDOWN(AC844/AC845,0)))</f>
        <v>5810</v>
      </c>
      <c r="AD846" s="2654"/>
      <c r="AE846" s="2654"/>
      <c r="AF846" s="2654"/>
      <c r="AG846" s="2654"/>
      <c r="AH846" s="2654"/>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2380">
        <f>'Applicant Notes'!X50</f>
        <v>1800874</v>
      </c>
      <c r="AD847" s="2646"/>
      <c r="AE847" s="2646"/>
      <c r="AF847" s="2646"/>
      <c r="AG847" s="2646"/>
      <c r="AH847" s="2646"/>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2353"/>
      <c r="AD848" s="2427"/>
      <c r="AE848" s="2427"/>
      <c r="AF848" s="2427"/>
      <c r="AG848" s="2427"/>
      <c r="AH848" s="2427"/>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2351">
        <f>'Applicant Notes'!AH94</f>
        <v>0</v>
      </c>
      <c r="AD849" s="2352"/>
      <c r="AE849" s="2352"/>
      <c r="AF849" s="2352"/>
      <c r="AG849" s="2352"/>
      <c r="AH849" s="2353"/>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2351">
        <f>'Applicant Notes'!AH96</f>
        <v>175000</v>
      </c>
      <c r="AD850" s="2352"/>
      <c r="AE850" s="2352"/>
      <c r="AF850" s="2352"/>
      <c r="AG850" s="2352"/>
      <c r="AH850" s="2353"/>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2353">
        <f>'Applicant Notes'!AH89+'Applicant Notes'!AH88</f>
        <v>711</v>
      </c>
      <c r="AD851" s="2427"/>
      <c r="AE851" s="2427"/>
      <c r="AF851" s="2427"/>
      <c r="AG851" s="2427"/>
      <c r="AH851" s="2427"/>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2664" t="s">
        <v>1367</v>
      </c>
      <c r="F852" s="2665"/>
      <c r="G852" s="2665"/>
      <c r="H852" s="2665"/>
      <c r="I852" s="2665"/>
      <c r="J852" s="2665"/>
      <c r="K852" s="2665"/>
      <c r="L852" s="2665"/>
      <c r="M852" s="2665"/>
      <c r="N852" s="2665"/>
      <c r="O852" s="2665"/>
      <c r="P852" s="2665"/>
      <c r="Q852" s="2665"/>
      <c r="R852" s="2665"/>
      <c r="S852" s="2665"/>
      <c r="T852" s="2665"/>
      <c r="U852" s="2665"/>
      <c r="V852" s="2665"/>
      <c r="W852" s="2665"/>
      <c r="X852" s="2665"/>
      <c r="Y852" s="2665"/>
      <c r="Z852" s="2665"/>
      <c r="AA852" s="2665"/>
      <c r="AB852" s="2666"/>
      <c r="AC852" s="2427">
        <f>+'Applicant Notes'!AH90</f>
        <v>0</v>
      </c>
      <c r="AD852" s="2427"/>
      <c r="AE852" s="2427"/>
      <c r="AF852" s="2427"/>
      <c r="AG852" s="2427"/>
      <c r="AH852" s="2427"/>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2664" t="s">
        <v>1367</v>
      </c>
      <c r="F853" s="2665"/>
      <c r="G853" s="2665"/>
      <c r="H853" s="2665"/>
      <c r="I853" s="2665"/>
      <c r="J853" s="2665"/>
      <c r="K853" s="2665"/>
      <c r="L853" s="2665"/>
      <c r="M853" s="2665"/>
      <c r="N853" s="2665"/>
      <c r="O853" s="2665"/>
      <c r="P853" s="2665"/>
      <c r="Q853" s="2665"/>
      <c r="R853" s="2665"/>
      <c r="S853" s="2665"/>
      <c r="T853" s="2665"/>
      <c r="U853" s="2665"/>
      <c r="V853" s="2665"/>
      <c r="W853" s="2665"/>
      <c r="X853" s="2665"/>
      <c r="Y853" s="2665"/>
      <c r="Z853" s="2665"/>
      <c r="AA853" s="2665"/>
      <c r="AB853" s="2666"/>
      <c r="AC853" s="2427"/>
      <c r="AD853" s="2427"/>
      <c r="AE853" s="2427"/>
      <c r="AF853" s="2427"/>
      <c r="AG853" s="2427"/>
      <c r="AH853" s="2427"/>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2667"/>
      <c r="AD854" s="2667"/>
      <c r="AE854" s="2667"/>
      <c r="AF854" s="2667"/>
      <c r="AG854" s="2667"/>
      <c r="AH854" s="2667"/>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2351">
        <f>'Applicant Notes'!R43</f>
        <v>0</v>
      </c>
      <c r="AA857" s="2352"/>
      <c r="AB857" s="2352"/>
      <c r="AC857" s="2352"/>
      <c r="AD857" s="2352"/>
      <c r="AE857" s="2353"/>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2351">
        <f>'Applicant Notes'!R57</f>
        <v>0</v>
      </c>
      <c r="AA858" s="2352"/>
      <c r="AB858" s="2352"/>
      <c r="AC858" s="2352"/>
      <c r="AD858" s="2352"/>
      <c r="AE858" s="2353"/>
      <c r="AF858" s="16"/>
      <c r="AG858" s="16"/>
      <c r="AH858" s="16"/>
      <c r="AI858" s="16"/>
      <c r="AJ858" s="16"/>
      <c r="AK858" s="16"/>
      <c r="AL858" s="16"/>
      <c r="AM858" s="66"/>
      <c r="AN858" s="2645"/>
      <c r="AO858" s="2645"/>
      <c r="AP858" s="2635"/>
      <c r="AQ858" s="2635"/>
      <c r="AR858" s="2635"/>
      <c r="AS858" s="2635"/>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2351">
        <f>'Applicant Notes'!X38</f>
        <v>0</v>
      </c>
      <c r="AA859" s="2352"/>
      <c r="AB859" s="2352"/>
      <c r="AC859" s="2352"/>
      <c r="AD859" s="2352"/>
      <c r="AE859" s="2353"/>
      <c r="AF859" s="16"/>
      <c r="AG859" s="16"/>
      <c r="AH859" s="16"/>
      <c r="AI859" s="16"/>
      <c r="AJ859" s="16"/>
      <c r="AK859" s="16"/>
      <c r="AL859" s="16"/>
      <c r="AM859" s="66"/>
      <c r="AN859" s="66"/>
      <c r="AO859" s="30"/>
      <c r="AP859" s="2635"/>
      <c r="AQ859" s="2635"/>
      <c r="AR859" s="2635"/>
      <c r="AS859" s="2635"/>
      <c r="AV859" s="2635"/>
      <c r="AW859" s="2635"/>
      <c r="AX859" s="2635"/>
      <c r="AY859" s="2635"/>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2360">
        <f>Z857-(Z858+Z859)</f>
        <v>0</v>
      </c>
      <c r="AA860" s="2361"/>
      <c r="AB860" s="2361"/>
      <c r="AC860" s="2361"/>
      <c r="AD860" s="2361"/>
      <c r="AE860" s="236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2614"/>
      <c r="AU866" s="2614"/>
      <c r="AV866" s="2614"/>
      <c r="AW866" s="2614"/>
      <c r="AX866" s="2614"/>
      <c r="AY866" s="2614"/>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2401" t="s">
        <v>139</v>
      </c>
      <c r="B867" s="2401"/>
      <c r="C867" s="2401"/>
      <c r="D867" s="2401"/>
      <c r="E867" s="2401"/>
      <c r="F867" s="2401"/>
      <c r="G867" s="2401"/>
      <c r="H867" s="2401"/>
      <c r="I867" s="2401"/>
      <c r="J867" s="2401"/>
      <c r="K867" s="2401"/>
      <c r="L867" s="2401"/>
      <c r="M867" s="2401"/>
      <c r="N867" s="2401"/>
      <c r="O867" s="2401"/>
      <c r="P867" s="2401"/>
      <c r="Q867" s="2401"/>
      <c r="R867" s="2401"/>
      <c r="S867" s="2401"/>
      <c r="T867" s="2401"/>
      <c r="U867" s="2401"/>
      <c r="V867" s="2401"/>
      <c r="W867" s="2401"/>
      <c r="X867" s="2401"/>
      <c r="Y867" s="2401"/>
      <c r="Z867" s="2401"/>
      <c r="AA867" s="2401"/>
      <c r="AB867" s="2401"/>
      <c r="AC867" s="2401"/>
      <c r="AD867" s="2401"/>
      <c r="AE867" s="2401"/>
      <c r="AF867" s="2401"/>
      <c r="AG867" s="2401"/>
      <c r="AH867" s="2401"/>
      <c r="AI867" s="2401"/>
      <c r="AJ867" s="2401"/>
      <c r="AK867" s="2401"/>
      <c r="AL867" s="240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2401"/>
      <c r="B868" s="2401"/>
      <c r="C868" s="2401"/>
      <c r="D868" s="2401"/>
      <c r="E868" s="2401"/>
      <c r="F868" s="2401"/>
      <c r="G868" s="2401"/>
      <c r="H868" s="2401"/>
      <c r="I868" s="2401"/>
      <c r="J868" s="2401"/>
      <c r="K868" s="2401"/>
      <c r="L868" s="2401"/>
      <c r="M868" s="2401"/>
      <c r="N868" s="2401"/>
      <c r="O868" s="2401"/>
      <c r="P868" s="2401"/>
      <c r="Q868" s="2401"/>
      <c r="R868" s="2401"/>
      <c r="S868" s="2401"/>
      <c r="T868" s="2401"/>
      <c r="U868" s="2401"/>
      <c r="V868" s="2401"/>
      <c r="W868" s="2401"/>
      <c r="X868" s="2401"/>
      <c r="Y868" s="2401"/>
      <c r="Z868" s="2401"/>
      <c r="AA868" s="2401"/>
      <c r="AB868" s="2401"/>
      <c r="AC868" s="2401"/>
      <c r="AD868" s="2401"/>
      <c r="AE868" s="2401"/>
      <c r="AF868" s="2401"/>
      <c r="AG868" s="2401"/>
      <c r="AH868" s="2401"/>
      <c r="AI868" s="2401"/>
      <c r="AJ868" s="2401"/>
      <c r="AK868" s="2401"/>
      <c r="AL868" s="240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2647" t="s">
        <v>1077</v>
      </c>
      <c r="G872" s="2648"/>
      <c r="H872" s="2648"/>
      <c r="I872" s="2648"/>
      <c r="J872" s="2648"/>
      <c r="K872" s="2648"/>
      <c r="L872" s="2648"/>
      <c r="M872" s="2648"/>
      <c r="N872" s="2648"/>
      <c r="O872" s="2648"/>
      <c r="P872" s="2648"/>
      <c r="Q872" s="2648"/>
      <c r="R872" s="2648"/>
      <c r="S872" s="2648"/>
      <c r="T872" s="2649"/>
      <c r="U872" s="2636" t="s">
        <v>388</v>
      </c>
      <c r="V872" s="2637"/>
      <c r="W872" s="2637"/>
      <c r="X872" s="2637"/>
      <c r="Y872" s="2637"/>
      <c r="Z872" s="2637"/>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2638" t="s">
        <v>1176</v>
      </c>
      <c r="G873" s="2639"/>
      <c r="H873" s="2639"/>
      <c r="I873" s="2639"/>
      <c r="J873" s="2639"/>
      <c r="K873" s="2639"/>
      <c r="L873" s="2639"/>
      <c r="M873" s="2639"/>
      <c r="N873" s="2639"/>
      <c r="O873" s="2639"/>
      <c r="P873" s="2639"/>
      <c r="Q873" s="2639"/>
      <c r="R873" s="2639"/>
      <c r="S873" s="2639"/>
      <c r="T873" s="2658"/>
      <c r="U873" s="2638"/>
      <c r="V873" s="2639"/>
      <c r="W873" s="2639"/>
      <c r="X873" s="2639"/>
      <c r="Y873" s="2639"/>
      <c r="Z873" s="263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2640"/>
      <c r="G874" s="2641"/>
      <c r="H874" s="2641"/>
      <c r="I874" s="2641"/>
      <c r="J874" s="2641"/>
      <c r="K874" s="2641"/>
      <c r="L874" s="2641"/>
      <c r="M874" s="2641"/>
      <c r="N874" s="2641"/>
      <c r="O874" s="2641"/>
      <c r="P874" s="2641"/>
      <c r="Q874" s="2641"/>
      <c r="R874" s="2641"/>
      <c r="S874" s="2641"/>
      <c r="T874" s="2659"/>
      <c r="U874" s="2640"/>
      <c r="V874" s="2641"/>
      <c r="W874" s="2641"/>
      <c r="X874" s="2641"/>
      <c r="Y874" s="2641"/>
      <c r="Z874" s="2641"/>
      <c r="AA874" s="324"/>
      <c r="AB874" s="2663" t="s">
        <v>60</v>
      </c>
      <c r="AC874" s="2663"/>
      <c r="AD874" s="2663"/>
      <c r="AE874" s="2663"/>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2324" t="s">
        <v>135</v>
      </c>
      <c r="V875" s="2325"/>
      <c r="W875" s="2325"/>
      <c r="X875" s="2325"/>
      <c r="Y875" s="2325"/>
      <c r="Z875" s="2326"/>
      <c r="AA875" s="2378"/>
      <c r="AB875" s="2379"/>
      <c r="AC875" s="2379"/>
      <c r="AD875" s="2379"/>
      <c r="AE875" s="2379"/>
      <c r="AF875" s="238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2324" t="s">
        <v>135</v>
      </c>
      <c r="V876" s="2325"/>
      <c r="W876" s="2325"/>
      <c r="X876" s="2325"/>
      <c r="Y876" s="2325"/>
      <c r="Z876" s="2326"/>
      <c r="AA876" s="2378"/>
      <c r="AB876" s="2379"/>
      <c r="AC876" s="2379"/>
      <c r="AD876" s="2379"/>
      <c r="AE876" s="2379"/>
      <c r="AF876" s="238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2324" t="s">
        <v>135</v>
      </c>
      <c r="V877" s="2325"/>
      <c r="W877" s="2325"/>
      <c r="X877" s="2325"/>
      <c r="Y877" s="2325"/>
      <c r="Z877" s="2326"/>
      <c r="AA877" s="2378"/>
      <c r="AB877" s="2379"/>
      <c r="AC877" s="2379"/>
      <c r="AD877" s="2379"/>
      <c r="AE877" s="2379"/>
      <c r="AF877" s="238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2324" t="s">
        <v>135</v>
      </c>
      <c r="V878" s="2325"/>
      <c r="W878" s="2325"/>
      <c r="X878" s="2325"/>
      <c r="Y878" s="2325"/>
      <c r="Z878" s="2326"/>
      <c r="AA878" s="2378"/>
      <c r="AB878" s="2379"/>
      <c r="AC878" s="2379"/>
      <c r="AD878" s="2379"/>
      <c r="AE878" s="2379"/>
      <c r="AF878" s="238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2324" t="s">
        <v>135</v>
      </c>
      <c r="V879" s="2325"/>
      <c r="W879" s="2325"/>
      <c r="X879" s="2325"/>
      <c r="Y879" s="2325"/>
      <c r="Z879" s="2326"/>
      <c r="AA879" s="2378"/>
      <c r="AB879" s="2379"/>
      <c r="AC879" s="2379"/>
      <c r="AD879" s="2379"/>
      <c r="AE879" s="2379"/>
      <c r="AF879" s="238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2324" t="s">
        <v>135</v>
      </c>
      <c r="V880" s="2325"/>
      <c r="W880" s="2325"/>
      <c r="X880" s="2325"/>
      <c r="Y880" s="2325"/>
      <c r="Z880" s="2326"/>
      <c r="AA880" s="2378"/>
      <c r="AB880" s="2379"/>
      <c r="AC880" s="2379"/>
      <c r="AD880" s="2379"/>
      <c r="AE880" s="2379"/>
      <c r="AF880" s="238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2324" t="s">
        <v>135</v>
      </c>
      <c r="V881" s="2325"/>
      <c r="W881" s="2325"/>
      <c r="X881" s="2325"/>
      <c r="Y881" s="2325"/>
      <c r="Z881" s="2326"/>
      <c r="AA881" s="2378"/>
      <c r="AB881" s="2379"/>
      <c r="AC881" s="2379"/>
      <c r="AD881" s="2379"/>
      <c r="AE881" s="2379"/>
      <c r="AF881" s="238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2324" t="s">
        <v>135</v>
      </c>
      <c r="V882" s="2325"/>
      <c r="W882" s="2325"/>
      <c r="X882" s="2325"/>
      <c r="Y882" s="2325"/>
      <c r="Z882" s="2326"/>
      <c r="AA882" s="2378"/>
      <c r="AB882" s="2379"/>
      <c r="AC882" s="2379"/>
      <c r="AD882" s="2379"/>
      <c r="AE882" s="2379"/>
      <c r="AF882" s="238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2324" t="s">
        <v>135</v>
      </c>
      <c r="V883" s="2325"/>
      <c r="W883" s="2325"/>
      <c r="X883" s="2325"/>
      <c r="Y883" s="2325"/>
      <c r="Z883" s="2326"/>
      <c r="AA883" s="2378"/>
      <c r="AB883" s="2379"/>
      <c r="AC883" s="2379"/>
      <c r="AD883" s="2379"/>
      <c r="AE883" s="2379"/>
      <c r="AF883" s="238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2324" t="s">
        <v>135</v>
      </c>
      <c r="V884" s="2325"/>
      <c r="W884" s="2325"/>
      <c r="X884" s="2325"/>
      <c r="Y884" s="2325"/>
      <c r="Z884" s="2326"/>
      <c r="AA884" s="2378"/>
      <c r="AB884" s="2379"/>
      <c r="AC884" s="2379"/>
      <c r="AD884" s="2379"/>
      <c r="AE884" s="2379"/>
      <c r="AF884" s="2380"/>
      <c r="AL884" s="119"/>
      <c r="AM884" s="66" t="s">
        <v>656</v>
      </c>
      <c r="AN884" s="333">
        <v>20</v>
      </c>
      <c r="AO884" s="2613">
        <f>IF(AD936&gt;0,0.2,0)</f>
        <v>0.2</v>
      </c>
      <c r="AP884" s="261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2383" t="s">
        <v>135</v>
      </c>
      <c r="V885" s="2384"/>
      <c r="W885" s="2384"/>
      <c r="X885" s="2384"/>
      <c r="Y885" s="2384"/>
      <c r="Z885" s="2385"/>
      <c r="AA885" s="2642"/>
      <c r="AB885" s="2643"/>
      <c r="AC885" s="2643"/>
      <c r="AD885" s="2643"/>
      <c r="AE885" s="2643"/>
      <c r="AF885" s="2644"/>
      <c r="AL885" s="119"/>
      <c r="AN885" s="16">
        <v>5</v>
      </c>
      <c r="AO885" s="2613">
        <f>IF(AD939&gt;0,0.05,0)</f>
        <v>0</v>
      </c>
      <c r="AP885" s="261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2324" t="s">
        <v>135</v>
      </c>
      <c r="V886" s="2325"/>
      <c r="W886" s="2325"/>
      <c r="X886" s="2325"/>
      <c r="Y886" s="2325"/>
      <c r="Z886" s="2326"/>
      <c r="AA886" s="2378"/>
      <c r="AB886" s="2379"/>
      <c r="AC886" s="2379"/>
      <c r="AD886" s="2379"/>
      <c r="AE886" s="2379"/>
      <c r="AF886" s="2380"/>
      <c r="AL886" s="119"/>
      <c r="AM886" s="66" t="s">
        <v>657</v>
      </c>
      <c r="AN886" s="333">
        <v>7</v>
      </c>
      <c r="AO886" s="2652">
        <f>IF(AD943&gt;0,0.07,0)</f>
        <v>7.0000000000000007E-2</v>
      </c>
      <c r="AP886" s="265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2324" t="s">
        <v>135</v>
      </c>
      <c r="V887" s="2325"/>
      <c r="W887" s="2325"/>
      <c r="X887" s="2325"/>
      <c r="Y887" s="2325"/>
      <c r="Z887" s="2326"/>
      <c r="AA887" s="2378"/>
      <c r="AB887" s="2379"/>
      <c r="AC887" s="2379"/>
      <c r="AD887" s="2379"/>
      <c r="AE887" s="2379"/>
      <c r="AF887" s="2380"/>
      <c r="AL887" s="119"/>
      <c r="AM887" s="66" t="s">
        <v>163</v>
      </c>
      <c r="AN887" s="333">
        <v>2</v>
      </c>
      <c r="AO887" s="2503">
        <f>IF(AD947&gt;0,0.02,0)</f>
        <v>0</v>
      </c>
      <c r="AP887" s="250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2324" t="s">
        <v>135</v>
      </c>
      <c r="V888" s="2325"/>
      <c r="W888" s="2325"/>
      <c r="X888" s="2325"/>
      <c r="Y888" s="2325"/>
      <c r="Z888" s="2326"/>
      <c r="AA888" s="2378"/>
      <c r="AB888" s="2379"/>
      <c r="AC888" s="2379"/>
      <c r="AD888" s="2379"/>
      <c r="AE888" s="2379"/>
      <c r="AF888" s="2380"/>
      <c r="AL888" s="119"/>
      <c r="AM888" s="66" t="s">
        <v>658</v>
      </c>
      <c r="AN888" s="333">
        <v>2</v>
      </c>
      <c r="AO888" s="2503">
        <f>IF(AD949&gt;0,0.02,0)</f>
        <v>0</v>
      </c>
      <c r="AP888" s="250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795" t="s">
        <v>536</v>
      </c>
      <c r="Q889" s="2325"/>
      <c r="R889" s="2325"/>
      <c r="S889" s="2325"/>
      <c r="T889" s="2326"/>
      <c r="U889" s="2324" t="s">
        <v>135</v>
      </c>
      <c r="V889" s="2325"/>
      <c r="W889" s="2325"/>
      <c r="X889" s="2325"/>
      <c r="Y889" s="2325"/>
      <c r="Z889" s="2326"/>
      <c r="AA889" s="2378"/>
      <c r="AB889" s="2379"/>
      <c r="AC889" s="2379"/>
      <c r="AD889" s="2379"/>
      <c r="AE889" s="2379"/>
      <c r="AF889" s="2380"/>
      <c r="AL889" s="119"/>
      <c r="AM889" s="66" t="s">
        <v>659</v>
      </c>
      <c r="AN889" s="333">
        <v>10</v>
      </c>
      <c r="AO889" s="2505">
        <f>AN901</f>
        <v>0</v>
      </c>
      <c r="AP889" s="250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2367" t="s">
        <v>629</v>
      </c>
      <c r="J890" s="2368"/>
      <c r="K890" s="2368"/>
      <c r="L890" s="2368"/>
      <c r="M890" s="2368"/>
      <c r="N890" s="2368"/>
      <c r="O890" s="2368"/>
      <c r="P890" s="2368"/>
      <c r="Q890" s="2368"/>
      <c r="R890" s="2368"/>
      <c r="S890" s="2368"/>
      <c r="T890" s="2369"/>
      <c r="U890" s="2324" t="s">
        <v>135</v>
      </c>
      <c r="V890" s="2325"/>
      <c r="W890" s="2325"/>
      <c r="X890" s="2325"/>
      <c r="Y890" s="2325"/>
      <c r="Z890" s="2326"/>
      <c r="AA890" s="2378"/>
      <c r="AB890" s="2379"/>
      <c r="AC890" s="2379"/>
      <c r="AD890" s="2379"/>
      <c r="AE890" s="2379"/>
      <c r="AF890" s="2380"/>
      <c r="AL890" s="119"/>
      <c r="AM890" s="66" t="s">
        <v>660</v>
      </c>
      <c r="AN890" s="333">
        <v>15</v>
      </c>
      <c r="AO890" s="2503"/>
      <c r="AP890" s="250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2367" t="s">
        <v>629</v>
      </c>
      <c r="J891" s="2368"/>
      <c r="K891" s="2368"/>
      <c r="L891" s="2368"/>
      <c r="M891" s="2368"/>
      <c r="N891" s="2368"/>
      <c r="O891" s="2368"/>
      <c r="P891" s="2368"/>
      <c r="Q891" s="2368"/>
      <c r="R891" s="2368"/>
      <c r="S891" s="2368"/>
      <c r="T891" s="2369"/>
      <c r="U891" s="2324" t="s">
        <v>135</v>
      </c>
      <c r="V891" s="2325"/>
      <c r="W891" s="2325"/>
      <c r="X891" s="2325"/>
      <c r="Y891" s="2325"/>
      <c r="Z891" s="2326"/>
      <c r="AA891" s="2378"/>
      <c r="AB891" s="2379"/>
      <c r="AC891" s="2379"/>
      <c r="AD891" s="2379"/>
      <c r="AE891" s="2379"/>
      <c r="AF891" s="2380"/>
      <c r="AL891" s="119"/>
      <c r="AM891" s="66" t="s">
        <v>556</v>
      </c>
      <c r="AN891" s="333"/>
      <c r="AO891" s="2632"/>
      <c r="AP891" s="2633"/>
      <c r="AQ891" s="263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2367" t="s">
        <v>629</v>
      </c>
      <c r="J892" s="2368"/>
      <c r="K892" s="2368"/>
      <c r="L892" s="2368"/>
      <c r="M892" s="2368"/>
      <c r="N892" s="2368"/>
      <c r="O892" s="2368"/>
      <c r="P892" s="2368"/>
      <c r="Q892" s="2368"/>
      <c r="R892" s="2368"/>
      <c r="S892" s="2368"/>
      <c r="T892" s="2369"/>
      <c r="U892" s="2324" t="s">
        <v>135</v>
      </c>
      <c r="V892" s="2325"/>
      <c r="W892" s="2325"/>
      <c r="X892" s="2325"/>
      <c r="Y892" s="2325"/>
      <c r="Z892" s="2326"/>
      <c r="AA892" s="2378"/>
      <c r="AB892" s="2379"/>
      <c r="AC892" s="2379"/>
      <c r="AD892" s="2379"/>
      <c r="AE892" s="2379"/>
      <c r="AF892" s="2380"/>
      <c r="AL892" s="119"/>
      <c r="AM892" s="66" t="s">
        <v>557</v>
      </c>
      <c r="AN892" s="333">
        <v>10</v>
      </c>
      <c r="AO892" s="2503">
        <f>IF(AD966&gt;0,0.1,0)</f>
        <v>0.1</v>
      </c>
      <c r="AP892" s="250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2367" t="s">
        <v>629</v>
      </c>
      <c r="J893" s="2368"/>
      <c r="K893" s="2368"/>
      <c r="L893" s="2368"/>
      <c r="M893" s="2368"/>
      <c r="N893" s="2368"/>
      <c r="O893" s="2368"/>
      <c r="P893" s="2368"/>
      <c r="Q893" s="2368"/>
      <c r="R893" s="2368"/>
      <c r="S893" s="2368"/>
      <c r="T893" s="2369"/>
      <c r="U893" s="2324" t="s">
        <v>135</v>
      </c>
      <c r="V893" s="2325"/>
      <c r="W893" s="2325"/>
      <c r="X893" s="2325"/>
      <c r="Y893" s="2325"/>
      <c r="Z893" s="2326"/>
      <c r="AA893" s="2378"/>
      <c r="AB893" s="2379"/>
      <c r="AC893" s="2379"/>
      <c r="AD893" s="2379"/>
      <c r="AE893" s="2379"/>
      <c r="AF893" s="2380"/>
      <c r="AL893" s="119"/>
      <c r="AM893" s="66"/>
      <c r="AN893" s="333"/>
      <c r="AO893" s="2505">
        <f>SUM(AO884:AO892)</f>
        <v>0.37</v>
      </c>
      <c r="AP893" s="2506"/>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2505">
        <f>SUM(AO884:AP888)+AO892</f>
        <v>0.37</v>
      </c>
      <c r="AP895" s="2506"/>
      <c r="AQ895" s="2650">
        <v>0.39</v>
      </c>
      <c r="AR895" s="265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2576"/>
      <c r="M898" s="2530"/>
      <c r="N898" s="2530"/>
      <c r="O898" s="2530"/>
      <c r="P898" s="2530"/>
      <c r="Q898" s="2530"/>
      <c r="R898" s="2530"/>
      <c r="S898" s="2577"/>
      <c r="U898" s="117" t="s">
        <v>916</v>
      </c>
      <c r="V898" s="91"/>
      <c r="W898" s="91"/>
      <c r="X898" s="91"/>
      <c r="Y898" s="91"/>
      <c r="Z898" s="91"/>
      <c r="AA898" s="91"/>
      <c r="AB898" s="91"/>
      <c r="AC898" s="91"/>
      <c r="AD898" s="92"/>
      <c r="AE898" s="2611"/>
      <c r="AF898" s="2529"/>
      <c r="AG898" s="2529"/>
      <c r="AH898" s="2529"/>
      <c r="AI898" s="2529"/>
      <c r="AJ898" s="2529"/>
      <c r="AK898" s="2612"/>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2576"/>
      <c r="M899" s="2530"/>
      <c r="N899" s="2530"/>
      <c r="O899" s="2530"/>
      <c r="P899" s="2530"/>
      <c r="Q899" s="2530"/>
      <c r="R899" s="2530"/>
      <c r="S899" s="2577"/>
      <c r="U899" s="117" t="s">
        <v>917</v>
      </c>
      <c r="V899" s="91"/>
      <c r="W899" s="91"/>
      <c r="X899" s="91"/>
      <c r="Y899" s="91"/>
      <c r="Z899" s="91"/>
      <c r="AA899" s="91"/>
      <c r="AB899" s="91"/>
      <c r="AC899" s="91"/>
      <c r="AD899" s="92"/>
      <c r="AE899" s="2507"/>
      <c r="AF899" s="2508"/>
      <c r="AG899" s="2508"/>
      <c r="AH899" s="2508"/>
      <c r="AI899" s="2508"/>
      <c r="AJ899" s="2508"/>
      <c r="AK899" s="250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2573" t="s">
        <v>85</v>
      </c>
      <c r="M900" s="2574"/>
      <c r="N900" s="2574"/>
      <c r="O900" s="2574"/>
      <c r="P900" s="2574"/>
      <c r="Q900" s="2574"/>
      <c r="R900" s="2574"/>
      <c r="S900" s="2575"/>
      <c r="U900" s="117" t="s">
        <v>1251</v>
      </c>
      <c r="V900" s="91"/>
      <c r="W900" s="91"/>
      <c r="AE900" s="2430" t="s">
        <v>85</v>
      </c>
      <c r="AF900" s="2431"/>
      <c r="AG900" s="2431"/>
      <c r="AH900" s="2431"/>
      <c r="AI900" s="2431"/>
      <c r="AJ900" s="2431"/>
      <c r="AK900" s="243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2584"/>
      <c r="M901" s="2585"/>
      <c r="N901" s="2585"/>
      <c r="O901" s="2585"/>
      <c r="P901" s="2585"/>
      <c r="Q901" s="2585"/>
      <c r="R901" s="2585"/>
      <c r="S901" s="2586"/>
      <c r="U901" s="117" t="s">
        <v>918</v>
      </c>
      <c r="V901" s="91"/>
      <c r="W901" s="91"/>
      <c r="X901" s="91"/>
      <c r="Y901" s="91"/>
      <c r="Z901" s="91"/>
      <c r="AA901" s="91"/>
      <c r="AB901" s="91"/>
      <c r="AC901" s="91"/>
      <c r="AD901" s="92"/>
      <c r="AE901" s="2584"/>
      <c r="AF901" s="2585"/>
      <c r="AG901" s="2585"/>
      <c r="AH901" s="2585"/>
      <c r="AI901" s="2585"/>
      <c r="AJ901" s="2585"/>
      <c r="AK901" s="258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2556"/>
      <c r="M902" s="2557"/>
      <c r="N902" s="2557"/>
      <c r="O902" s="2557"/>
      <c r="P902" s="2557"/>
      <c r="Q902" s="2557"/>
      <c r="R902" s="2557"/>
      <c r="S902" s="2558"/>
      <c r="U902" s="117" t="s">
        <v>919</v>
      </c>
      <c r="V902" s="91"/>
      <c r="W902" s="91"/>
      <c r="X902" s="91"/>
      <c r="Y902" s="91"/>
      <c r="Z902" s="91"/>
      <c r="AA902" s="91"/>
      <c r="AB902" s="91"/>
      <c r="AC902" s="91"/>
      <c r="AD902" s="92"/>
      <c r="AE902" s="2608"/>
      <c r="AF902" s="2609"/>
      <c r="AG902" s="2609"/>
      <c r="AH902" s="2609"/>
      <c r="AI902" s="2609"/>
      <c r="AJ902" s="2609"/>
      <c r="AK902" s="261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2351"/>
      <c r="M903" s="2352"/>
      <c r="N903" s="2352"/>
      <c r="O903" s="2352"/>
      <c r="P903" s="2352"/>
      <c r="Q903" s="2352"/>
      <c r="R903" s="2352"/>
      <c r="S903" s="2353"/>
      <c r="U903" s="117" t="s">
        <v>920</v>
      </c>
      <c r="V903" s="91"/>
      <c r="W903" s="91"/>
      <c r="X903" s="91"/>
      <c r="Y903" s="91"/>
      <c r="Z903" s="91"/>
      <c r="AA903" s="91"/>
      <c r="AB903" s="91"/>
      <c r="AC903" s="91"/>
      <c r="AD903" s="92"/>
      <c r="AE903" s="2378"/>
      <c r="AF903" s="2379"/>
      <c r="AG903" s="2379"/>
      <c r="AH903" s="2379"/>
      <c r="AI903" s="2379"/>
      <c r="AJ903" s="2379"/>
      <c r="AK903" s="238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2351"/>
      <c r="M904" s="2352"/>
      <c r="N904" s="2352"/>
      <c r="O904" s="2352"/>
      <c r="P904" s="2352"/>
      <c r="Q904" s="2352"/>
      <c r="R904" s="2352"/>
      <c r="S904" s="2353"/>
      <c r="U904" s="117" t="s">
        <v>921</v>
      </c>
      <c r="V904" s="91"/>
      <c r="W904" s="91"/>
      <c r="X904" s="91"/>
      <c r="Y904" s="91"/>
      <c r="Z904" s="91"/>
      <c r="AA904" s="91"/>
      <c r="AB904" s="91"/>
      <c r="AC904" s="91"/>
      <c r="AD904" s="92"/>
      <c r="AE904" s="2378"/>
      <c r="AF904" s="2379"/>
      <c r="AG904" s="2379"/>
      <c r="AH904" s="2379"/>
      <c r="AI904" s="2379"/>
      <c r="AJ904" s="2379"/>
      <c r="AK904" s="238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2550"/>
      <c r="M905" s="2551"/>
      <c r="N905" s="2551"/>
      <c r="O905" s="2551"/>
      <c r="P905" s="2551"/>
      <c r="Q905" s="2551"/>
      <c r="R905" s="2551"/>
      <c r="S905" s="2552"/>
      <c r="U905" s="117" t="s">
        <v>866</v>
      </c>
      <c r="V905" s="91"/>
      <c r="W905" s="91"/>
      <c r="X905" s="91"/>
      <c r="Y905" s="91"/>
      <c r="Z905" s="91"/>
      <c r="AA905" s="91"/>
      <c r="AB905" s="91"/>
      <c r="AC905" s="91"/>
      <c r="AD905" s="92"/>
      <c r="AE905" s="2550"/>
      <c r="AF905" s="2551"/>
      <c r="AG905" s="2551"/>
      <c r="AH905" s="2551"/>
      <c r="AI905" s="2551"/>
      <c r="AJ905" s="2551"/>
      <c r="AK905" s="2552"/>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2357"/>
      <c r="N910" s="2358"/>
      <c r="O910" s="2358"/>
      <c r="P910" s="2358"/>
      <c r="Q910" s="2358"/>
      <c r="R910" s="2358"/>
      <c r="S910" s="2359"/>
      <c r="T910" s="117" t="s">
        <v>1066</v>
      </c>
      <c r="U910" s="91"/>
      <c r="V910" s="91"/>
      <c r="W910" s="91"/>
      <c r="X910" s="91"/>
      <c r="Y910" s="91"/>
      <c r="Z910" s="92"/>
      <c r="AA910" s="2357"/>
      <c r="AB910" s="2358"/>
      <c r="AC910" s="2358"/>
      <c r="AD910" s="2358"/>
      <c r="AE910" s="2358"/>
      <c r="AF910" s="2358"/>
      <c r="AG910" s="235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2357"/>
      <c r="N911" s="2358"/>
      <c r="O911" s="2358"/>
      <c r="P911" s="2358"/>
      <c r="Q911" s="2358"/>
      <c r="R911" s="2358"/>
      <c r="S911" s="2359"/>
      <c r="T911" s="117" t="s">
        <v>1065</v>
      </c>
      <c r="U911" s="91"/>
      <c r="V911" s="91"/>
      <c r="W911" s="91"/>
      <c r="X911" s="91"/>
      <c r="Y911" s="91"/>
      <c r="Z911" s="92"/>
      <c r="AA911" s="2357"/>
      <c r="AB911" s="2358"/>
      <c r="AC911" s="2358"/>
      <c r="AD911" s="2358"/>
      <c r="AE911" s="2358"/>
      <c r="AF911" s="2358"/>
      <c r="AG911" s="235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2370" t="s">
        <v>135</v>
      </c>
      <c r="N912" s="2436"/>
      <c r="O912" s="2436"/>
      <c r="P912" s="2436"/>
      <c r="Q912" s="2436"/>
      <c r="R912" s="2436"/>
      <c r="S912" s="2371"/>
      <c r="T912" s="90" t="s">
        <v>633</v>
      </c>
      <c r="U912" s="91"/>
      <c r="V912" s="91"/>
      <c r="W912" s="91"/>
      <c r="X912" s="91"/>
      <c r="Y912" s="91"/>
      <c r="Z912" s="92"/>
      <c r="AA912" s="2357"/>
      <c r="AB912" s="2358"/>
      <c r="AC912" s="2358"/>
      <c r="AD912" s="2358"/>
      <c r="AE912" s="2358"/>
      <c r="AF912" s="2358"/>
      <c r="AG912" s="235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2357"/>
      <c r="N913" s="2358"/>
      <c r="O913" s="2358"/>
      <c r="P913" s="2358"/>
      <c r="Q913" s="2358"/>
      <c r="R913" s="2358"/>
      <c r="S913" s="2359"/>
      <c r="T913" s="90" t="s">
        <v>634</v>
      </c>
      <c r="U913" s="91"/>
      <c r="V913" s="91"/>
      <c r="W913" s="91"/>
      <c r="X913" s="91"/>
      <c r="Y913" s="91"/>
      <c r="Z913" s="92"/>
      <c r="AA913" s="2357"/>
      <c r="AB913" s="2358"/>
      <c r="AC913" s="2358"/>
      <c r="AD913" s="2358"/>
      <c r="AE913" s="2358"/>
      <c r="AF913" s="2358"/>
      <c r="AG913" s="235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2357"/>
      <c r="N914" s="2358"/>
      <c r="O914" s="2358"/>
      <c r="P914" s="2358"/>
      <c r="Q914" s="2358"/>
      <c r="R914" s="2358"/>
      <c r="S914" s="2359"/>
      <c r="T914" s="90" t="s">
        <v>547</v>
      </c>
      <c r="U914" s="91"/>
      <c r="V914" s="91"/>
      <c r="W914" s="91"/>
      <c r="X914" s="91"/>
      <c r="Y914" s="91"/>
      <c r="Z914" s="92"/>
      <c r="AA914" s="2357"/>
      <c r="AB914" s="2358"/>
      <c r="AC914" s="2358"/>
      <c r="AD914" s="2358"/>
      <c r="AE914" s="2358"/>
      <c r="AF914" s="2358"/>
      <c r="AG914" s="235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2430" t="s">
        <v>85</v>
      </c>
      <c r="N915" s="2431"/>
      <c r="O915" s="2431"/>
      <c r="P915" s="2431"/>
      <c r="Q915" s="2431"/>
      <c r="R915" s="2431"/>
      <c r="S915" s="2432"/>
      <c r="T915" s="2317"/>
      <c r="U915" s="2318"/>
      <c r="V915" s="2318"/>
      <c r="W915" s="2318"/>
      <c r="X915" s="2318"/>
      <c r="Y915" s="2318"/>
      <c r="Z915" s="2319"/>
      <c r="AA915" s="2357"/>
      <c r="AB915" s="2358"/>
      <c r="AC915" s="2358"/>
      <c r="AD915" s="2358"/>
      <c r="AE915" s="2358"/>
      <c r="AF915" s="2358"/>
      <c r="AG915" s="235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2357"/>
      <c r="N916" s="2358"/>
      <c r="O916" s="2358"/>
      <c r="P916" s="2358"/>
      <c r="Q916" s="2358"/>
      <c r="R916" s="2358"/>
      <c r="S916" s="2359"/>
      <c r="T916" s="2317"/>
      <c r="U916" s="2318"/>
      <c r="V916" s="2318"/>
      <c r="W916" s="2318"/>
      <c r="X916" s="2318"/>
      <c r="Y916" s="2318"/>
      <c r="Z916" s="2319"/>
      <c r="AA916" s="2357"/>
      <c r="AB916" s="2358"/>
      <c r="AC916" s="2358"/>
      <c r="AD916" s="2358"/>
      <c r="AE916" s="2358"/>
      <c r="AF916" s="2358"/>
      <c r="AG916" s="235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2370" t="s">
        <v>536</v>
      </c>
      <c r="P917" s="2371"/>
      <c r="Q917" s="240"/>
      <c r="R917" s="240"/>
      <c r="S917" s="241"/>
      <c r="T917" s="85" t="s">
        <v>311</v>
      </c>
      <c r="U917" s="86"/>
      <c r="V917" s="86"/>
      <c r="W917" s="2375" t="s">
        <v>629</v>
      </c>
      <c r="X917" s="2376"/>
      <c r="Y917" s="2376"/>
      <c r="Z917" s="2376"/>
      <c r="AA917" s="2376"/>
      <c r="AB917" s="2376"/>
      <c r="AC917" s="2376"/>
      <c r="AD917" s="2376"/>
      <c r="AE917" s="2376"/>
      <c r="AF917" s="2376"/>
      <c r="AG917" s="2377"/>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2541" t="s">
        <v>252</v>
      </c>
      <c r="G918" s="2542"/>
      <c r="H918" s="2542"/>
      <c r="I918" s="2542"/>
      <c r="J918" s="2542"/>
      <c r="K918" s="2542"/>
      <c r="L918" s="2542"/>
      <c r="M918" s="2357"/>
      <c r="N918" s="2358"/>
      <c r="O918" s="2358"/>
      <c r="P918" s="2358"/>
      <c r="Q918" s="2358"/>
      <c r="R918" s="2358"/>
      <c r="S918" s="2359"/>
      <c r="T918" s="93"/>
      <c r="U918" s="94"/>
      <c r="V918" s="94"/>
      <c r="W918" s="94"/>
      <c r="X918" s="94"/>
      <c r="Y918" s="94"/>
      <c r="Z918" s="369" t="s">
        <v>253</v>
      </c>
      <c r="AA918" s="2372"/>
      <c r="AB918" s="2373"/>
      <c r="AC918" s="2373"/>
      <c r="AD918" s="2373"/>
      <c r="AE918" s="2373"/>
      <c r="AF918" s="2373"/>
      <c r="AG918" s="2374"/>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2401" t="s">
        <v>140</v>
      </c>
      <c r="B922" s="2401"/>
      <c r="C922" s="2401"/>
      <c r="D922" s="2401"/>
      <c r="E922" s="2401"/>
      <c r="F922" s="2401"/>
      <c r="G922" s="2401"/>
      <c r="H922" s="2401"/>
      <c r="I922" s="2401"/>
      <c r="J922" s="2401"/>
      <c r="K922" s="2401"/>
      <c r="L922" s="2401"/>
      <c r="M922" s="2401"/>
      <c r="N922" s="2401"/>
      <c r="O922" s="2401"/>
      <c r="P922" s="2401"/>
      <c r="Q922" s="2401"/>
      <c r="R922" s="2401"/>
      <c r="S922" s="2401"/>
      <c r="T922" s="2401"/>
      <c r="U922" s="2401"/>
      <c r="V922" s="2401"/>
      <c r="W922" s="2401"/>
      <c r="X922" s="2401"/>
      <c r="Y922" s="2401"/>
      <c r="Z922" s="2401"/>
      <c r="AA922" s="2401"/>
      <c r="AB922" s="2401"/>
      <c r="AC922" s="2401"/>
      <c r="AD922" s="2401"/>
      <c r="AE922" s="2401"/>
      <c r="AF922" s="2401"/>
      <c r="AG922" s="2401"/>
      <c r="AH922" s="2401"/>
      <c r="AI922" s="2401"/>
      <c r="AJ922" s="2401"/>
      <c r="AK922" s="2401"/>
      <c r="AL922" s="240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2401"/>
      <c r="B923" s="2401"/>
      <c r="C923" s="2401"/>
      <c r="D923" s="2401"/>
      <c r="E923" s="2401"/>
      <c r="F923" s="2401"/>
      <c r="G923" s="2401"/>
      <c r="H923" s="2401"/>
      <c r="I923" s="2401"/>
      <c r="J923" s="2401"/>
      <c r="K923" s="2401"/>
      <c r="L923" s="2401"/>
      <c r="M923" s="2401"/>
      <c r="N923" s="2401"/>
      <c r="O923" s="2401"/>
      <c r="P923" s="2401"/>
      <c r="Q923" s="2401"/>
      <c r="R923" s="2401"/>
      <c r="S923" s="2401"/>
      <c r="T923" s="2401"/>
      <c r="U923" s="2401"/>
      <c r="V923" s="2401"/>
      <c r="W923" s="2401"/>
      <c r="X923" s="2401"/>
      <c r="Y923" s="2401"/>
      <c r="Z923" s="2401"/>
      <c r="AA923" s="2401"/>
      <c r="AB923" s="2401"/>
      <c r="AC923" s="2401"/>
      <c r="AD923" s="2401"/>
      <c r="AE923" s="2401"/>
      <c r="AF923" s="2401"/>
      <c r="AG923" s="2401"/>
      <c r="AH923" s="2401"/>
      <c r="AI923" s="2401"/>
      <c r="AJ923" s="2401"/>
      <c r="AK923" s="2401"/>
      <c r="AL923" s="240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354" t="s">
        <v>478</v>
      </c>
      <c r="C927" s="2355"/>
      <c r="D927" s="2355"/>
      <c r="E927" s="2355"/>
      <c r="F927" s="2355"/>
      <c r="G927" s="2355"/>
      <c r="H927" s="2355"/>
      <c r="I927" s="2355"/>
      <c r="J927" s="2355"/>
      <c r="K927" s="2356"/>
      <c r="L927" s="2354" t="s">
        <v>479</v>
      </c>
      <c r="M927" s="2355"/>
      <c r="N927" s="2355"/>
      <c r="O927" s="2355"/>
      <c r="P927" s="2355"/>
      <c r="Q927" s="2355"/>
      <c r="R927" s="2355"/>
      <c r="S927" s="2355"/>
      <c r="T927" s="2355"/>
      <c r="U927" s="2356"/>
      <c r="V927" s="2437" t="s">
        <v>480</v>
      </c>
      <c r="W927" s="2437"/>
      <c r="X927" s="2437"/>
      <c r="Y927" s="2437"/>
      <c r="Z927" s="2437"/>
      <c r="AA927" s="2437"/>
      <c r="AB927" s="2437"/>
      <c r="AC927" s="2437"/>
      <c r="AD927" s="2354" t="s">
        <v>481</v>
      </c>
      <c r="AE927" s="2355"/>
      <c r="AF927" s="2355"/>
      <c r="AG927" s="2355"/>
      <c r="AH927" s="2355"/>
      <c r="AI927" s="2355"/>
      <c r="AJ927" s="2355"/>
      <c r="AK927" s="242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398" t="s">
        <v>473</v>
      </c>
      <c r="C928" s="2399"/>
      <c r="D928" s="2399"/>
      <c r="E928" s="2399"/>
      <c r="F928" s="2399"/>
      <c r="G928" s="2399"/>
      <c r="H928" s="2399"/>
      <c r="I928" s="2399"/>
      <c r="J928" s="2399"/>
      <c r="K928" s="2400"/>
      <c r="L928" s="2386">
        <f>IF(ISNA(IF($BA$803="4%",(INDEX($BC$817:$BG$874,MATCH($BO$803,$BB$817:$BB$874,0),MATCH(B928,$BC$815:$BG$815,0))),(INDEX($BJ$817:$BN$874,MATCH($BO$803,$BI$817:$BI$874,0),MATCH(B928,$BJ$815:$BN$815,0))))),0,IF($BA$803="4%",(INDEX($BC$817:$BG$874,MATCH($BO$803,$BB$817:$BB$874,0),MATCH(B928,$BC$815:$BG$815,0))),(INDEX($BJ$817:$BN$874,MATCH($BO$803,$BI$817:$BI$874,0),MATCH(B928,$BJ$815:$BN$815,0)))))</f>
        <v>230655</v>
      </c>
      <c r="M928" s="2387"/>
      <c r="N928" s="2387"/>
      <c r="O928" s="2387"/>
      <c r="P928" s="2387"/>
      <c r="Q928" s="2387"/>
      <c r="R928" s="2387"/>
      <c r="S928" s="2387"/>
      <c r="T928" s="2387"/>
      <c r="U928" s="2388"/>
      <c r="V928" s="2397">
        <f>BA637</f>
        <v>499</v>
      </c>
      <c r="W928" s="2397"/>
      <c r="X928" s="2397"/>
      <c r="Y928" s="2397"/>
      <c r="Z928" s="2397"/>
      <c r="AA928" s="2397"/>
      <c r="AB928" s="2397"/>
      <c r="AC928" s="2397"/>
      <c r="AD928" s="2393">
        <f>IF(ISERROR((L928*V928)),0,(L928*V928))</f>
        <v>115096845</v>
      </c>
      <c r="AE928" s="2394"/>
      <c r="AF928" s="2394"/>
      <c r="AG928" s="2394"/>
      <c r="AH928" s="2394"/>
      <c r="AI928" s="2394"/>
      <c r="AJ928" s="2394"/>
      <c r="AK928" s="2395"/>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398" t="s">
        <v>496</v>
      </c>
      <c r="C929" s="2399"/>
      <c r="D929" s="2399"/>
      <c r="E929" s="2399"/>
      <c r="F929" s="2399"/>
      <c r="G929" s="2399"/>
      <c r="H929" s="2399"/>
      <c r="I929" s="2399"/>
      <c r="J929" s="2399"/>
      <c r="K929" s="2400"/>
      <c r="L929" s="2386">
        <f>IF(ISNA(IF($BA$803="4%",(INDEX($BC$817:$BG$874,MATCH($BO$803,$BB$817:$BB$874,0),MATCH(B929,$BC$815:$BG$815,0))),(INDEX($BJ$817:$BN$874,MATCH($BO$803,$BI$817:$BI$874,0),MATCH(B929,$BJ$815:$BN$815,0))))),0,IF($BA$803="4%",(INDEX($BC$817:$BG$874,MATCH($BO$803,$BB$817:$BB$874,0),MATCH(B929,$BC$815:$BG$815,0))),(INDEX($BJ$817:$BN$874,MATCH($BO$803,$BI$817:$BI$874,0),MATCH(B929,$BJ$815:$BN$815,0)))))</f>
        <v>265943</v>
      </c>
      <c r="M929" s="2387"/>
      <c r="N929" s="2387"/>
      <c r="O929" s="2387"/>
      <c r="P929" s="2387"/>
      <c r="Q929" s="2387"/>
      <c r="R929" s="2387"/>
      <c r="S929" s="2387"/>
      <c r="T929" s="2387"/>
      <c r="U929" s="2388"/>
      <c r="V929" s="2397">
        <f>BF637</f>
        <v>0</v>
      </c>
      <c r="W929" s="2397"/>
      <c r="X929" s="2397"/>
      <c r="Y929" s="2397"/>
      <c r="Z929" s="2397"/>
      <c r="AA929" s="2397"/>
      <c r="AB929" s="2397"/>
      <c r="AC929" s="2397"/>
      <c r="AD929" s="2393">
        <f>IF(ISERROR((L929*V929)),0,(L929*V929))</f>
        <v>0</v>
      </c>
      <c r="AE929" s="2394"/>
      <c r="AF929" s="2394"/>
      <c r="AG929" s="2394"/>
      <c r="AH929" s="2394"/>
      <c r="AI929" s="2394"/>
      <c r="AJ929" s="2394"/>
      <c r="AK929" s="2394"/>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398" t="s">
        <v>860</v>
      </c>
      <c r="C930" s="2399"/>
      <c r="D930" s="2399"/>
      <c r="E930" s="2399"/>
      <c r="F930" s="2399"/>
      <c r="G930" s="2399"/>
      <c r="H930" s="2399"/>
      <c r="I930" s="2399"/>
      <c r="J930" s="2399"/>
      <c r="K930" s="2400"/>
      <c r="L930" s="2386">
        <f>IF(ISNA(IF($BA$803="4%",(INDEX($BC$817:$BG$874,MATCH($BO$803,$BB$817:$BB$874,0),MATCH(B930,$BC$815:$BG$815,0))),(INDEX($BJ$817:$BN$874,MATCH($BO$803,$BI$817:$BI$874,0),MATCH(B930,$BJ$815:$BN$815,0))))),0,IF($BA$803="4%",(INDEX($BC$817:$BG$874,MATCH($BO$803,$BB$817:$BB$874,0),MATCH(B930,$BC$815:$BG$815,0))),(INDEX($BJ$817:$BN$874,MATCH($BO$803,$BI$817:$BI$874,0),MATCH(B930,$BJ$815:$BN$815,0)))))</f>
        <v>320800</v>
      </c>
      <c r="M930" s="2387"/>
      <c r="N930" s="2387"/>
      <c r="O930" s="2387"/>
      <c r="P930" s="2387"/>
      <c r="Q930" s="2387"/>
      <c r="R930" s="2387"/>
      <c r="S930" s="2387"/>
      <c r="T930" s="2387"/>
      <c r="U930" s="2388"/>
      <c r="V930" s="2397">
        <f>BK637</f>
        <v>1</v>
      </c>
      <c r="W930" s="2397"/>
      <c r="X930" s="2397"/>
      <c r="Y930" s="2397"/>
      <c r="Z930" s="2397"/>
      <c r="AA930" s="2397"/>
      <c r="AB930" s="2397"/>
      <c r="AC930" s="2397"/>
      <c r="AD930" s="2393">
        <f>IF(ISERROR((L930*V930)),0,(L930*V930))</f>
        <v>320800</v>
      </c>
      <c r="AE930" s="2394"/>
      <c r="AF930" s="2394"/>
      <c r="AG930" s="2394"/>
      <c r="AH930" s="2394"/>
      <c r="AI930" s="2394"/>
      <c r="AJ930" s="2394"/>
      <c r="AK930" s="2394"/>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398" t="s">
        <v>861</v>
      </c>
      <c r="C931" s="2399"/>
      <c r="D931" s="2399"/>
      <c r="E931" s="2399"/>
      <c r="F931" s="2399"/>
      <c r="G931" s="2399"/>
      <c r="H931" s="2399"/>
      <c r="I931" s="2399"/>
      <c r="J931" s="2399"/>
      <c r="K931" s="2400"/>
      <c r="L931" s="2386">
        <f>IF(ISNA(IF($BA$803="4%",(INDEX($BC$817:$BG$874,MATCH($BO$803,$BB$817:$BB$874,0),MATCH(B931,$BC$815:$BG$815,0))),(INDEX($BJ$817:$BN$874,MATCH($BO$803,$BI$817:$BI$874,0),MATCH(B931,$BJ$815:$BN$815,0))))),0,IF($BA$803="4%",(INDEX($BC$817:$BG$874,MATCH($BO$803,$BB$817:$BB$874,0),MATCH(B931,$BC$815:$BG$815,0))),(INDEX($BJ$817:$BN$874,MATCH($BO$803,$BI$817:$BI$874,0),MATCH(B931,$BJ$815:$BN$815,0)))))</f>
        <v>410624</v>
      </c>
      <c r="M931" s="2387"/>
      <c r="N931" s="2387"/>
      <c r="O931" s="2387"/>
      <c r="P931" s="2387"/>
      <c r="Q931" s="2387"/>
      <c r="R931" s="2387"/>
      <c r="S931" s="2387"/>
      <c r="T931" s="2387"/>
      <c r="U931" s="2388"/>
      <c r="V931" s="2397">
        <f>BP637</f>
        <v>0</v>
      </c>
      <c r="W931" s="2397"/>
      <c r="X931" s="2397"/>
      <c r="Y931" s="2397"/>
      <c r="Z931" s="2397"/>
      <c r="AA931" s="2397"/>
      <c r="AB931" s="2397"/>
      <c r="AC931" s="2397"/>
      <c r="AD931" s="2393">
        <f>IF(ISERROR((L931*V931)),0,(L931*V931))</f>
        <v>0</v>
      </c>
      <c r="AE931" s="2394"/>
      <c r="AF931" s="2394"/>
      <c r="AG931" s="2394"/>
      <c r="AH931" s="2394"/>
      <c r="AI931" s="2394"/>
      <c r="AJ931" s="2394"/>
      <c r="AK931" s="2394"/>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398" t="s">
        <v>874</v>
      </c>
      <c r="C932" s="2399"/>
      <c r="D932" s="2399"/>
      <c r="E932" s="2399"/>
      <c r="F932" s="2399"/>
      <c r="G932" s="2399"/>
      <c r="H932" s="2399"/>
      <c r="I932" s="2399"/>
      <c r="J932" s="2399"/>
      <c r="K932" s="2400"/>
      <c r="L932" s="2386">
        <f>IF(ISNA(IF($BA$803="4%",(INDEX($BC$817:$BG$874,MATCH($BO$803,$BB$817:$BB$874,0),MATCH(B932,$BC$815:$BG$815,0))),(INDEX($BJ$817:$BN$874,MATCH($BO$803,$BI$817:$BI$874,0),MATCH(B932,$BJ$815:$BN$815,0))))),0,IF($BA$803="4%",(INDEX($BC$817:$BG$874,MATCH($BO$803,$BB$817:$BB$874,0),MATCH(B932,$BC$815:$BG$815,0))),(INDEX($BJ$817:$BN$874,MATCH($BO$803,$BI$817:$BI$874,0),MATCH(B932,$BJ$815:$BN$815,0)))))</f>
        <v>457461</v>
      </c>
      <c r="M932" s="2387"/>
      <c r="N932" s="2387"/>
      <c r="O932" s="2387"/>
      <c r="P932" s="2387"/>
      <c r="Q932" s="2387"/>
      <c r="R932" s="2387"/>
      <c r="S932" s="2387"/>
      <c r="T932" s="2387"/>
      <c r="U932" s="2388"/>
      <c r="V932" s="2397">
        <f>BZ637+BU637</f>
        <v>0</v>
      </c>
      <c r="W932" s="2397"/>
      <c r="X932" s="2397"/>
      <c r="Y932" s="2397"/>
      <c r="Z932" s="2397"/>
      <c r="AA932" s="2397"/>
      <c r="AB932" s="2397"/>
      <c r="AC932" s="2397"/>
      <c r="AD932" s="2393">
        <f>IF(ISERROR((L932*V932)),0,(L932*V932))</f>
        <v>0</v>
      </c>
      <c r="AE932" s="2394"/>
      <c r="AF932" s="2394"/>
      <c r="AG932" s="2394"/>
      <c r="AH932" s="2394"/>
      <c r="AI932" s="2394"/>
      <c r="AJ932" s="2394"/>
      <c r="AK932" s="239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433" t="s">
        <v>1076</v>
      </c>
      <c r="C933" s="2434"/>
      <c r="D933" s="2434"/>
      <c r="E933" s="2434"/>
      <c r="F933" s="2434"/>
      <c r="G933" s="2434"/>
      <c r="H933" s="2434"/>
      <c r="I933" s="2434"/>
      <c r="J933" s="2434"/>
      <c r="K933" s="2434"/>
      <c r="L933" s="2434"/>
      <c r="M933" s="2434"/>
      <c r="N933" s="2434"/>
      <c r="O933" s="2434"/>
      <c r="P933" s="2434"/>
      <c r="Q933" s="2434"/>
      <c r="R933" s="2434"/>
      <c r="S933" s="2434"/>
      <c r="T933" s="2434"/>
      <c r="U933" s="2435"/>
      <c r="V933" s="2420">
        <f>SUM(V928:AC932)</f>
        <v>500</v>
      </c>
      <c r="W933" s="2421"/>
      <c r="X933" s="2421"/>
      <c r="Y933" s="2421"/>
      <c r="Z933" s="2421"/>
      <c r="AA933" s="2421"/>
      <c r="AB933" s="2421"/>
      <c r="AC933" s="2422"/>
      <c r="AD933" s="2412"/>
      <c r="AE933" s="2413"/>
      <c r="AF933" s="2413"/>
      <c r="AG933" s="2413"/>
      <c r="AH933" s="2413"/>
      <c r="AI933" s="2413"/>
      <c r="AJ933" s="2413"/>
      <c r="AK933" s="241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389" t="s">
        <v>826</v>
      </c>
      <c r="C934" s="2390"/>
      <c r="D934" s="2390"/>
      <c r="E934" s="2390"/>
      <c r="F934" s="2390"/>
      <c r="G934" s="2390"/>
      <c r="H934" s="2390"/>
      <c r="I934" s="2390"/>
      <c r="J934" s="2390"/>
      <c r="K934" s="2390"/>
      <c r="L934" s="2390"/>
      <c r="M934" s="2390"/>
      <c r="N934" s="2390"/>
      <c r="O934" s="2390"/>
      <c r="P934" s="2390"/>
      <c r="Q934" s="2390"/>
      <c r="R934" s="2390"/>
      <c r="S934" s="2390"/>
      <c r="T934" s="2390"/>
      <c r="U934" s="2390"/>
      <c r="V934" s="2390"/>
      <c r="W934" s="2390"/>
      <c r="X934" s="2390"/>
      <c r="Y934" s="2390"/>
      <c r="Z934" s="2390"/>
      <c r="AA934" s="2390"/>
      <c r="AB934" s="2390"/>
      <c r="AC934" s="2391"/>
      <c r="AD934" s="2425">
        <f>SUM(AD928:AK932)</f>
        <v>115417645</v>
      </c>
      <c r="AE934" s="2426"/>
      <c r="AF934" s="2426"/>
      <c r="AG934" s="2426"/>
      <c r="AH934" s="2426"/>
      <c r="AI934" s="2426"/>
      <c r="AJ934" s="2426"/>
      <c r="AK934" s="242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409" t="s">
        <v>533</v>
      </c>
      <c r="AA935" s="2410"/>
      <c r="AB935" s="2410"/>
      <c r="AC935" s="241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786" t="s">
        <v>2225</v>
      </c>
      <c r="E936" s="2787"/>
      <c r="F936" s="2787"/>
      <c r="G936" s="2787"/>
      <c r="H936" s="2787"/>
      <c r="I936" s="2787"/>
      <c r="J936" s="2787"/>
      <c r="K936" s="2787"/>
      <c r="L936" s="2787"/>
      <c r="M936" s="2787"/>
      <c r="N936" s="2787"/>
      <c r="O936" s="2787"/>
      <c r="P936" s="2787"/>
      <c r="Q936" s="2787"/>
      <c r="R936" s="2787"/>
      <c r="S936" s="2787"/>
      <c r="T936" s="2787"/>
      <c r="U936" s="2787"/>
      <c r="V936" s="2787"/>
      <c r="W936" s="2787"/>
      <c r="X936" s="2787"/>
      <c r="Y936" s="2788"/>
      <c r="Z936" s="134"/>
      <c r="AA936" s="2621" t="s">
        <v>118</v>
      </c>
      <c r="AB936" s="2622"/>
      <c r="AC936" s="142"/>
      <c r="AD936" s="2403">
        <f>ROUND(IF(AND(AA936="yes",D938&gt;0),AD934*0.2,0),0)</f>
        <v>23083529</v>
      </c>
      <c r="AE936" s="2403"/>
      <c r="AF936" s="2403"/>
      <c r="AG936" s="2403"/>
      <c r="AH936" s="2403"/>
      <c r="AI936" s="2403"/>
      <c r="AJ936" s="2403"/>
      <c r="AK936" s="240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2592" t="s">
        <v>2226</v>
      </c>
      <c r="E937" s="2593"/>
      <c r="F937" s="2593"/>
      <c r="G937" s="2593"/>
      <c r="H937" s="2593"/>
      <c r="I937" s="2593"/>
      <c r="J937" s="2593"/>
      <c r="K937" s="2593"/>
      <c r="L937" s="2593"/>
      <c r="M937" s="2593"/>
      <c r="N937" s="2593"/>
      <c r="O937" s="2593"/>
      <c r="P937" s="2593"/>
      <c r="Q937" s="2593"/>
      <c r="R937" s="2593"/>
      <c r="S937" s="2593"/>
      <c r="T937" s="2593"/>
      <c r="U937" s="2593"/>
      <c r="V937" s="2593"/>
      <c r="W937" s="2593"/>
      <c r="X937" s="2593"/>
      <c r="Y937" s="2607"/>
      <c r="Z937" s="127"/>
      <c r="AA937" s="129"/>
      <c r="AB937" s="129"/>
      <c r="AC937" s="138"/>
      <c r="AD937" s="2405"/>
      <c r="AE937" s="2405"/>
      <c r="AF937" s="2405"/>
      <c r="AG937" s="2405"/>
      <c r="AH937" s="2405"/>
      <c r="AI937" s="2405"/>
      <c r="AJ937" s="2405"/>
      <c r="AK937" s="240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2559" t="s">
        <v>2653</v>
      </c>
      <c r="E938" s="2560"/>
      <c r="F938" s="2560"/>
      <c r="G938" s="2560"/>
      <c r="H938" s="2560"/>
      <c r="I938" s="2560"/>
      <c r="J938" s="2560"/>
      <c r="K938" s="2560"/>
      <c r="L938" s="2560"/>
      <c r="M938" s="2560"/>
      <c r="N938" s="2560"/>
      <c r="O938" s="2560"/>
      <c r="P938" s="2560"/>
      <c r="Q938" s="2560"/>
      <c r="R938" s="2560"/>
      <c r="S938" s="2560"/>
      <c r="T938" s="2560"/>
      <c r="U938" s="2560"/>
      <c r="V938" s="2560"/>
      <c r="W938" s="2560"/>
      <c r="X938" s="2560"/>
      <c r="Y938" s="2561"/>
      <c r="Z938" s="132"/>
      <c r="AA938" s="15"/>
      <c r="AB938" s="15"/>
      <c r="AC938" s="133"/>
      <c r="AD938" s="2407"/>
      <c r="AE938" s="2407"/>
      <c r="AF938" s="2407"/>
      <c r="AG938" s="2407"/>
      <c r="AH938" s="2407"/>
      <c r="AI938" s="2407"/>
      <c r="AJ938" s="2407"/>
      <c r="AK938" s="240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786" t="s">
        <v>2227</v>
      </c>
      <c r="E939" s="2787"/>
      <c r="F939" s="2787"/>
      <c r="G939" s="2787"/>
      <c r="H939" s="2787"/>
      <c r="I939" s="2787"/>
      <c r="J939" s="2787"/>
      <c r="K939" s="2787"/>
      <c r="L939" s="2787"/>
      <c r="M939" s="2787"/>
      <c r="N939" s="2787"/>
      <c r="O939" s="2787"/>
      <c r="P939" s="2787"/>
      <c r="Q939" s="2787"/>
      <c r="R939" s="2787"/>
      <c r="S939" s="2787"/>
      <c r="T939" s="2787"/>
      <c r="U939" s="2787"/>
      <c r="V939" s="2787"/>
      <c r="W939" s="2787"/>
      <c r="X939" s="2787"/>
      <c r="Y939" s="2788"/>
      <c r="Z939" s="134"/>
      <c r="AA939" s="2621" t="s">
        <v>536</v>
      </c>
      <c r="AB939" s="2622"/>
      <c r="AC939" s="142"/>
      <c r="AD939" s="2571">
        <f>ROUND(IF(AA939="yes",AD934*0.05,0),0)</f>
        <v>0</v>
      </c>
      <c r="AE939" s="2403"/>
      <c r="AF939" s="2403"/>
      <c r="AG939" s="2403"/>
      <c r="AH939" s="2403"/>
      <c r="AI939" s="2403"/>
      <c r="AJ939" s="2403"/>
      <c r="AK939" s="240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789" t="s">
        <v>2228</v>
      </c>
      <c r="E940" s="2790"/>
      <c r="F940" s="2790"/>
      <c r="G940" s="2790"/>
      <c r="H940" s="2790"/>
      <c r="I940" s="2790"/>
      <c r="J940" s="2790"/>
      <c r="K940" s="2790"/>
      <c r="L940" s="2790"/>
      <c r="M940" s="2790"/>
      <c r="N940" s="2790"/>
      <c r="O940" s="2790"/>
      <c r="P940" s="2790"/>
      <c r="Q940" s="2790"/>
      <c r="R940" s="2790"/>
      <c r="S940" s="2790"/>
      <c r="T940" s="2790"/>
      <c r="U940" s="2790"/>
      <c r="V940" s="2790"/>
      <c r="W940" s="2790"/>
      <c r="X940" s="2790"/>
      <c r="Y940" s="2791"/>
      <c r="Z940" s="818"/>
      <c r="AA940" s="201"/>
      <c r="AB940" s="201"/>
      <c r="AC940" s="819"/>
      <c r="AD940" s="2572"/>
      <c r="AE940" s="2405"/>
      <c r="AF940" s="2405"/>
      <c r="AG940" s="2405"/>
      <c r="AH940" s="2405"/>
      <c r="AI940" s="2405"/>
      <c r="AJ940" s="2405"/>
      <c r="AK940" s="240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789"/>
      <c r="E941" s="2790"/>
      <c r="F941" s="2790"/>
      <c r="G941" s="2790"/>
      <c r="H941" s="2790"/>
      <c r="I941" s="2790"/>
      <c r="J941" s="2790"/>
      <c r="K941" s="2790"/>
      <c r="L941" s="2790"/>
      <c r="M941" s="2790"/>
      <c r="N941" s="2790"/>
      <c r="O941" s="2790"/>
      <c r="P941" s="2790"/>
      <c r="Q941" s="2790"/>
      <c r="R941" s="2790"/>
      <c r="S941" s="2790"/>
      <c r="T941" s="2790"/>
      <c r="U941" s="2790"/>
      <c r="V941" s="2790"/>
      <c r="W941" s="2790"/>
      <c r="X941" s="2790"/>
      <c r="Y941" s="2791"/>
      <c r="Z941" s="818"/>
      <c r="AA941" s="201"/>
      <c r="AB941" s="201"/>
      <c r="AC941" s="819"/>
      <c r="AD941" s="2572"/>
      <c r="AE941" s="2405"/>
      <c r="AF941" s="2405"/>
      <c r="AG941" s="2405"/>
      <c r="AH941" s="2405"/>
      <c r="AI941" s="2405"/>
      <c r="AJ941" s="2405"/>
      <c r="AK941" s="240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792"/>
      <c r="E942" s="2793"/>
      <c r="F942" s="2793"/>
      <c r="G942" s="2793"/>
      <c r="H942" s="2793"/>
      <c r="I942" s="2793"/>
      <c r="J942" s="2793"/>
      <c r="K942" s="2793"/>
      <c r="L942" s="2793"/>
      <c r="M942" s="2793"/>
      <c r="N942" s="2793"/>
      <c r="O942" s="2793"/>
      <c r="P942" s="2793"/>
      <c r="Q942" s="2793"/>
      <c r="R942" s="2793"/>
      <c r="S942" s="2793"/>
      <c r="T942" s="2793"/>
      <c r="U942" s="2793"/>
      <c r="V942" s="2793"/>
      <c r="W942" s="2793"/>
      <c r="X942" s="2793"/>
      <c r="Y942" s="2794"/>
      <c r="Z942" s="820"/>
      <c r="AA942" s="817"/>
      <c r="AB942" s="817"/>
      <c r="AC942" s="821"/>
      <c r="AD942" s="2540"/>
      <c r="AE942" s="2407"/>
      <c r="AF942" s="2407"/>
      <c r="AG942" s="2407"/>
      <c r="AH942" s="2407"/>
      <c r="AI942" s="2407"/>
      <c r="AJ942" s="2407"/>
      <c r="AK942" s="240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786" t="s">
        <v>2229</v>
      </c>
      <c r="E943" s="2787"/>
      <c r="F943" s="2787"/>
      <c r="G943" s="2787"/>
      <c r="H943" s="2787"/>
      <c r="I943" s="2787"/>
      <c r="J943" s="2787"/>
      <c r="K943" s="2787"/>
      <c r="L943" s="2787"/>
      <c r="M943" s="2787"/>
      <c r="N943" s="2787"/>
      <c r="O943" s="2787"/>
      <c r="P943" s="2787"/>
      <c r="Q943" s="2787"/>
      <c r="R943" s="2787"/>
      <c r="S943" s="2787"/>
      <c r="T943" s="2787"/>
      <c r="U943" s="2787"/>
      <c r="V943" s="2787"/>
      <c r="W943" s="2787"/>
      <c r="X943" s="2787"/>
      <c r="Y943" s="2788"/>
      <c r="Z943" s="127"/>
      <c r="AA943" s="2415" t="s">
        <v>118</v>
      </c>
      <c r="AB943" s="2416"/>
      <c r="AC943" s="138"/>
      <c r="AD943" s="2405">
        <f>ROUND(IF(AA943="yes",AD934*0.07,0),0)</f>
        <v>8079235</v>
      </c>
      <c r="AE943" s="2405"/>
      <c r="AF943" s="2405"/>
      <c r="AG943" s="2405"/>
      <c r="AH943" s="2405"/>
      <c r="AI943" s="2405"/>
      <c r="AJ943" s="2405"/>
      <c r="AK943" s="2406"/>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2590" t="s">
        <v>2230</v>
      </c>
      <c r="E944" s="2591"/>
      <c r="F944" s="2591"/>
      <c r="G944" s="2591"/>
      <c r="H944" s="2591"/>
      <c r="I944" s="2591"/>
      <c r="J944" s="2591"/>
      <c r="K944" s="2591"/>
      <c r="L944" s="2591"/>
      <c r="M944" s="2591"/>
      <c r="N944" s="2591"/>
      <c r="O944" s="2591"/>
      <c r="P944" s="2591"/>
      <c r="Q944" s="2591"/>
      <c r="R944" s="2591"/>
      <c r="S944" s="2591"/>
      <c r="T944" s="2591"/>
      <c r="U944" s="2591"/>
      <c r="V944" s="2591"/>
      <c r="W944" s="2591"/>
      <c r="X944" s="2591"/>
      <c r="Y944" s="2605"/>
      <c r="Z944" s="127"/>
      <c r="AA944" s="2417"/>
      <c r="AB944" s="2417"/>
      <c r="AC944" s="138"/>
      <c r="AD944" s="2405"/>
      <c r="AE944" s="2405"/>
      <c r="AF944" s="2405"/>
      <c r="AG944" s="2405"/>
      <c r="AH944" s="2405"/>
      <c r="AI944" s="2405"/>
      <c r="AJ944" s="2405"/>
      <c r="AK944" s="240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2590"/>
      <c r="E945" s="2591"/>
      <c r="F945" s="2591"/>
      <c r="G945" s="2591"/>
      <c r="H945" s="2591"/>
      <c r="I945" s="2591"/>
      <c r="J945" s="2591"/>
      <c r="K945" s="2591"/>
      <c r="L945" s="2591"/>
      <c r="M945" s="2591"/>
      <c r="N945" s="2591"/>
      <c r="O945" s="2591"/>
      <c r="P945" s="2591"/>
      <c r="Q945" s="2591"/>
      <c r="R945" s="2591"/>
      <c r="S945" s="2591"/>
      <c r="T945" s="2591"/>
      <c r="U945" s="2591"/>
      <c r="V945" s="2591"/>
      <c r="W945" s="2591"/>
      <c r="X945" s="2591"/>
      <c r="Y945" s="2605"/>
      <c r="Z945" s="127"/>
      <c r="AA945" s="129"/>
      <c r="AB945" s="129"/>
      <c r="AC945" s="138"/>
      <c r="AD945" s="2405"/>
      <c r="AE945" s="2405"/>
      <c r="AF945" s="2405"/>
      <c r="AG945" s="2405"/>
      <c r="AH945" s="2405"/>
      <c r="AI945" s="2405"/>
      <c r="AJ945" s="2405"/>
      <c r="AK945" s="240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2592"/>
      <c r="E946" s="2593"/>
      <c r="F946" s="2593"/>
      <c r="G946" s="2593"/>
      <c r="H946" s="2593"/>
      <c r="I946" s="2593"/>
      <c r="J946" s="2593"/>
      <c r="K946" s="2593"/>
      <c r="L946" s="2593"/>
      <c r="M946" s="2593"/>
      <c r="N946" s="2593"/>
      <c r="O946" s="2593"/>
      <c r="P946" s="2593"/>
      <c r="Q946" s="2593"/>
      <c r="R946" s="2593"/>
      <c r="S946" s="2593"/>
      <c r="T946" s="2593"/>
      <c r="U946" s="2593"/>
      <c r="V946" s="2593"/>
      <c r="W946" s="2593"/>
      <c r="X946" s="2593"/>
      <c r="Y946" s="2607"/>
      <c r="Z946" s="132"/>
      <c r="AA946" s="15"/>
      <c r="AB946" s="15"/>
      <c r="AC946" s="133"/>
      <c r="AD946" s="2407"/>
      <c r="AE946" s="2407"/>
      <c r="AF946" s="2407"/>
      <c r="AG946" s="2407"/>
      <c r="AH946" s="2407"/>
      <c r="AI946" s="2407"/>
      <c r="AJ946" s="2407"/>
      <c r="AK946" s="240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2587" t="s">
        <v>2231</v>
      </c>
      <c r="E947" s="2588"/>
      <c r="F947" s="2588"/>
      <c r="G947" s="2588"/>
      <c r="H947" s="2588"/>
      <c r="I947" s="2588"/>
      <c r="J947" s="2588"/>
      <c r="K947" s="2588"/>
      <c r="L947" s="2588"/>
      <c r="M947" s="2588"/>
      <c r="N947" s="2588"/>
      <c r="O947" s="2588"/>
      <c r="P947" s="2588"/>
      <c r="Q947" s="2588"/>
      <c r="R947" s="2588"/>
      <c r="S947" s="2588"/>
      <c r="T947" s="2588"/>
      <c r="U947" s="2588"/>
      <c r="V947" s="2588"/>
      <c r="W947" s="2588"/>
      <c r="X947" s="2588"/>
      <c r="Y947" s="2589"/>
      <c r="Z947" s="127"/>
      <c r="AA947" s="2415" t="s">
        <v>536</v>
      </c>
      <c r="AB947" s="2416"/>
      <c r="AC947" s="65"/>
      <c r="AD947" s="2402">
        <f>ROUND(IF(AA947="yes",AD934*0.02,0),0)</f>
        <v>0</v>
      </c>
      <c r="AE947" s="2403"/>
      <c r="AF947" s="2403"/>
      <c r="AG947" s="2403"/>
      <c r="AH947" s="2403"/>
      <c r="AI947" s="2403"/>
      <c r="AJ947" s="2403"/>
      <c r="AK947" s="240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2540"/>
      <c r="AE948" s="2407"/>
      <c r="AF948" s="2407"/>
      <c r="AG948" s="2407"/>
      <c r="AH948" s="2407"/>
      <c r="AI948" s="2407"/>
      <c r="AJ948" s="2407"/>
      <c r="AK948" s="240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2587" t="s">
        <v>2233</v>
      </c>
      <c r="E949" s="2588"/>
      <c r="F949" s="2588"/>
      <c r="G949" s="2588"/>
      <c r="H949" s="2588"/>
      <c r="I949" s="2588"/>
      <c r="J949" s="2588"/>
      <c r="K949" s="2588"/>
      <c r="L949" s="2588"/>
      <c r="M949" s="2588"/>
      <c r="N949" s="2588"/>
      <c r="O949" s="2588"/>
      <c r="P949" s="2588"/>
      <c r="Q949" s="2588"/>
      <c r="R949" s="2588"/>
      <c r="S949" s="2588"/>
      <c r="T949" s="2588"/>
      <c r="U949" s="2588"/>
      <c r="V949" s="2588"/>
      <c r="W949" s="2588"/>
      <c r="X949" s="2588"/>
      <c r="Y949" s="2589"/>
      <c r="Z949" s="134"/>
      <c r="AA949" s="2621" t="s">
        <v>536</v>
      </c>
      <c r="AB949" s="2622"/>
      <c r="AC949" s="65"/>
      <c r="AD949" s="2402">
        <f>ROUND(IF(AND(AA949="yes",AE222&gt;0.999999999),AD934*0.02,0),0)</f>
        <v>0</v>
      </c>
      <c r="AE949" s="2403"/>
      <c r="AF949" s="2403"/>
      <c r="AG949" s="2403"/>
      <c r="AH949" s="2403"/>
      <c r="AI949" s="2403"/>
      <c r="AJ949" s="2403"/>
      <c r="AK949" s="240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2590" t="s">
        <v>2234</v>
      </c>
      <c r="E950" s="2591"/>
      <c r="F950" s="2591"/>
      <c r="G950" s="2591"/>
      <c r="H950" s="2591"/>
      <c r="I950" s="2591"/>
      <c r="J950" s="2591"/>
      <c r="K950" s="2591"/>
      <c r="L950" s="2591"/>
      <c r="M950" s="2591"/>
      <c r="N950" s="2591"/>
      <c r="O950" s="2591"/>
      <c r="P950" s="2591"/>
      <c r="Q950" s="2591"/>
      <c r="R950" s="2591"/>
      <c r="S950" s="2591"/>
      <c r="T950" s="2591"/>
      <c r="U950" s="2591"/>
      <c r="V950" s="2591"/>
      <c r="W950" s="2591"/>
      <c r="X950" s="2591"/>
      <c r="Y950" s="2591"/>
      <c r="Z950" s="127"/>
      <c r="AA950" s="129"/>
      <c r="AB950" s="129"/>
      <c r="AC950" s="138"/>
      <c r="AD950" s="2405"/>
      <c r="AE950" s="2405"/>
      <c r="AF950" s="2405"/>
      <c r="AG950" s="2405"/>
      <c r="AH950" s="2405"/>
      <c r="AI950" s="2405"/>
      <c r="AJ950" s="2405"/>
      <c r="AK950" s="240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2592"/>
      <c r="E951" s="2593"/>
      <c r="F951" s="2593"/>
      <c r="G951" s="2593"/>
      <c r="H951" s="2593"/>
      <c r="I951" s="2593"/>
      <c r="J951" s="2593"/>
      <c r="K951" s="2593"/>
      <c r="L951" s="2593"/>
      <c r="M951" s="2593"/>
      <c r="N951" s="2593"/>
      <c r="O951" s="2593"/>
      <c r="P951" s="2593"/>
      <c r="Q951" s="2593"/>
      <c r="R951" s="2593"/>
      <c r="S951" s="2593"/>
      <c r="T951" s="2593"/>
      <c r="U951" s="2593"/>
      <c r="V951" s="2593"/>
      <c r="W951" s="2593"/>
      <c r="X951" s="2593"/>
      <c r="Y951" s="2593"/>
      <c r="Z951" s="132"/>
      <c r="AA951" s="15"/>
      <c r="AB951" s="15"/>
      <c r="AC951" s="133"/>
      <c r="AD951" s="2407"/>
      <c r="AE951" s="2407"/>
      <c r="AF951" s="2407"/>
      <c r="AG951" s="2407"/>
      <c r="AH951" s="2407"/>
      <c r="AI951" s="2407"/>
      <c r="AJ951" s="2407"/>
      <c r="AK951" s="240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2587" t="s">
        <v>2236</v>
      </c>
      <c r="E952" s="2588"/>
      <c r="F952" s="2588"/>
      <c r="G952" s="2588"/>
      <c r="H952" s="2588"/>
      <c r="I952" s="2588"/>
      <c r="J952" s="2588"/>
      <c r="K952" s="2588"/>
      <c r="L952" s="2588"/>
      <c r="M952" s="2588"/>
      <c r="N952" s="2588"/>
      <c r="O952" s="2588"/>
      <c r="P952" s="2588"/>
      <c r="Q952" s="2588"/>
      <c r="R952" s="2588"/>
      <c r="S952" s="2588"/>
      <c r="T952" s="2588"/>
      <c r="U952" s="2588"/>
      <c r="V952" s="2588"/>
      <c r="W952" s="2588"/>
      <c r="X952" s="2588"/>
      <c r="Y952" s="2589"/>
      <c r="Z952" s="127"/>
      <c r="AA952" s="2415" t="s">
        <v>118</v>
      </c>
      <c r="AB952" s="2416"/>
      <c r="AC952" s="138"/>
      <c r="AD952" s="2402">
        <f>IF(AA952="yes",AD934*AN901,0)</f>
        <v>0</v>
      </c>
      <c r="AE952" s="2403"/>
      <c r="AF952" s="2403"/>
      <c r="AG952" s="2403"/>
      <c r="AH952" s="2403"/>
      <c r="AI952" s="2403"/>
      <c r="AJ952" s="2403"/>
      <c r="AK952" s="240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2590" t="s">
        <v>2235</v>
      </c>
      <c r="E953" s="2594"/>
      <c r="F953" s="2594"/>
      <c r="G953" s="2594"/>
      <c r="H953" s="2594"/>
      <c r="I953" s="2594"/>
      <c r="J953" s="2594"/>
      <c r="K953" s="2594"/>
      <c r="L953" s="2594"/>
      <c r="M953" s="2594"/>
      <c r="N953" s="2594"/>
      <c r="O953" s="2594"/>
      <c r="P953" s="2594"/>
      <c r="Q953" s="2594"/>
      <c r="R953" s="2594"/>
      <c r="S953" s="2594"/>
      <c r="T953" s="2594"/>
      <c r="U953" s="2594"/>
      <c r="V953" s="2594"/>
      <c r="W953" s="2594"/>
      <c r="X953" s="2594"/>
      <c r="Y953" s="2595"/>
      <c r="Z953" s="127"/>
      <c r="AA953" s="129"/>
      <c r="AB953" s="129"/>
      <c r="AC953" s="138"/>
      <c r="AD953" s="2572"/>
      <c r="AE953" s="2405"/>
      <c r="AF953" s="2405"/>
      <c r="AG953" s="2405"/>
      <c r="AH953" s="2405"/>
      <c r="AI953" s="2405"/>
      <c r="AJ953" s="2405"/>
      <c r="AK953" s="240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2590"/>
      <c r="E954" s="2594"/>
      <c r="F954" s="2594"/>
      <c r="G954" s="2594"/>
      <c r="H954" s="2594"/>
      <c r="I954" s="2594"/>
      <c r="J954" s="2594"/>
      <c r="K954" s="2594"/>
      <c r="L954" s="2594"/>
      <c r="M954" s="2594"/>
      <c r="N954" s="2594"/>
      <c r="O954" s="2594"/>
      <c r="P954" s="2594"/>
      <c r="Q954" s="2594"/>
      <c r="R954" s="2594"/>
      <c r="S954" s="2594"/>
      <c r="T954" s="2594"/>
      <c r="U954" s="2594"/>
      <c r="V954" s="2594"/>
      <c r="W954" s="2594"/>
      <c r="X954" s="2594"/>
      <c r="Y954" s="2595"/>
      <c r="Z954" s="127"/>
      <c r="AA954" s="129"/>
      <c r="AB954" s="129"/>
      <c r="AC954" s="138"/>
      <c r="AD954" s="2572"/>
      <c r="AE954" s="2405"/>
      <c r="AF954" s="2405"/>
      <c r="AG954" s="2405"/>
      <c r="AH954" s="2405"/>
      <c r="AI954" s="2405"/>
      <c r="AJ954" s="2405"/>
      <c r="AK954" s="240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2596"/>
      <c r="E955" s="2597"/>
      <c r="F955" s="2597"/>
      <c r="G955" s="2597"/>
      <c r="H955" s="2597"/>
      <c r="I955" s="2597"/>
      <c r="J955" s="2597"/>
      <c r="K955" s="2597"/>
      <c r="L955" s="2597"/>
      <c r="M955" s="2597"/>
      <c r="N955" s="2597"/>
      <c r="O955" s="2597"/>
      <c r="P955" s="2597"/>
      <c r="Q955" s="2597"/>
      <c r="R955" s="2597"/>
      <c r="S955" s="2597"/>
      <c r="T955" s="2597"/>
      <c r="U955" s="2597"/>
      <c r="V955" s="2597"/>
      <c r="W955" s="2597"/>
      <c r="X955" s="2597"/>
      <c r="Y955" s="2598"/>
      <c r="Z955" s="132"/>
      <c r="AA955" s="15"/>
      <c r="AB955" s="15"/>
      <c r="AC955" s="133"/>
      <c r="AD955" s="2540"/>
      <c r="AE955" s="2407"/>
      <c r="AF955" s="2407"/>
      <c r="AG955" s="2407"/>
      <c r="AH955" s="2407"/>
      <c r="AI955" s="2407"/>
      <c r="AJ955" s="2407"/>
      <c r="AK955" s="240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2599" t="s">
        <v>2237</v>
      </c>
      <c r="E956" s="2600"/>
      <c r="F956" s="2600"/>
      <c r="G956" s="2600"/>
      <c r="H956" s="2600"/>
      <c r="I956" s="2600"/>
      <c r="J956" s="2600"/>
      <c r="K956" s="2600"/>
      <c r="L956" s="2600"/>
      <c r="M956" s="2600"/>
      <c r="N956" s="2600"/>
      <c r="O956" s="2600"/>
      <c r="P956" s="2600"/>
      <c r="Q956" s="2600"/>
      <c r="R956" s="2600"/>
      <c r="S956" s="2600"/>
      <c r="T956" s="2600"/>
      <c r="U956" s="2600"/>
      <c r="V956" s="2600"/>
      <c r="W956" s="2600"/>
      <c r="X956" s="2600"/>
      <c r="Y956" s="2601"/>
      <c r="Z956" s="127"/>
      <c r="AA956" s="2415" t="s">
        <v>536</v>
      </c>
      <c r="AB956" s="2416"/>
      <c r="AC956" s="65"/>
      <c r="AD956" s="2562"/>
      <c r="AE956" s="2563"/>
      <c r="AF956" s="2563"/>
      <c r="AG956" s="2563"/>
      <c r="AH956" s="2563"/>
      <c r="AI956" s="2563"/>
      <c r="AJ956" s="2563"/>
      <c r="AK956" s="256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2602"/>
      <c r="E957" s="2603"/>
      <c r="F957" s="2603"/>
      <c r="G957" s="2603"/>
      <c r="H957" s="2603"/>
      <c r="I957" s="2603"/>
      <c r="J957" s="2603"/>
      <c r="K957" s="2603"/>
      <c r="L957" s="2603"/>
      <c r="M957" s="2603"/>
      <c r="N957" s="2603"/>
      <c r="O957" s="2603"/>
      <c r="P957" s="2603"/>
      <c r="Q957" s="2603"/>
      <c r="R957" s="2603"/>
      <c r="S957" s="2603"/>
      <c r="T957" s="2603"/>
      <c r="U957" s="2603"/>
      <c r="V957" s="2603"/>
      <c r="W957" s="2603"/>
      <c r="X957" s="2603"/>
      <c r="Y957" s="2604"/>
      <c r="Z957" s="2627">
        <f>IF(AA956="yes","Please Select Type and Enter Amount:",0)</f>
        <v>0</v>
      </c>
      <c r="AA957" s="2628"/>
      <c r="AB957" s="2628"/>
      <c r="AC957" s="2629"/>
      <c r="AD957" s="2565"/>
      <c r="AE957" s="2566"/>
      <c r="AF957" s="2566"/>
      <c r="AG957" s="2566"/>
      <c r="AH957" s="2566"/>
      <c r="AI957" s="2566"/>
      <c r="AJ957" s="2566"/>
      <c r="AK957" s="256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2590" t="s">
        <v>2238</v>
      </c>
      <c r="E958" s="2591"/>
      <c r="F958" s="2591"/>
      <c r="G958" s="2591"/>
      <c r="H958" s="2591"/>
      <c r="I958" s="2591"/>
      <c r="J958" s="2591"/>
      <c r="K958" s="2591"/>
      <c r="L958" s="2591"/>
      <c r="M958" s="2591"/>
      <c r="N958" s="2591"/>
      <c r="O958" s="2591"/>
      <c r="P958" s="2591"/>
      <c r="Q958" s="2591"/>
      <c r="R958" s="2591"/>
      <c r="S958" s="2591"/>
      <c r="T958" s="2591"/>
      <c r="U958" s="2591"/>
      <c r="V958" s="2591"/>
      <c r="W958" s="2591"/>
      <c r="X958" s="2591"/>
      <c r="Y958" s="2605"/>
      <c r="Z958" s="2627"/>
      <c r="AA958" s="2628"/>
      <c r="AB958" s="2628"/>
      <c r="AC958" s="2629"/>
      <c r="AD958" s="2565"/>
      <c r="AE958" s="2566"/>
      <c r="AF958" s="2566"/>
      <c r="AG958" s="2566"/>
      <c r="AH958" s="2566"/>
      <c r="AI958" s="2566"/>
      <c r="AJ958" s="2566"/>
      <c r="AK958" s="256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2590"/>
      <c r="E959" s="2591"/>
      <c r="F959" s="2591"/>
      <c r="G959" s="2591"/>
      <c r="H959" s="2591"/>
      <c r="I959" s="2591"/>
      <c r="J959" s="2591"/>
      <c r="K959" s="2591"/>
      <c r="L959" s="2591"/>
      <c r="M959" s="2591"/>
      <c r="N959" s="2591"/>
      <c r="O959" s="2591"/>
      <c r="P959" s="2591"/>
      <c r="Q959" s="2591"/>
      <c r="R959" s="2591"/>
      <c r="S959" s="2591"/>
      <c r="T959" s="2591"/>
      <c r="U959" s="2591"/>
      <c r="V959" s="2591"/>
      <c r="W959" s="2591"/>
      <c r="X959" s="2591"/>
      <c r="Y959" s="2605"/>
      <c r="Z959" s="2627"/>
      <c r="AA959" s="2628"/>
      <c r="AB959" s="2628"/>
      <c r="AC959" s="2629"/>
      <c r="AD959" s="2565"/>
      <c r="AE959" s="2566"/>
      <c r="AF959" s="2566"/>
      <c r="AG959" s="2566"/>
      <c r="AH959" s="2566"/>
      <c r="AI959" s="2566"/>
      <c r="AJ959" s="2566"/>
      <c r="AK959" s="256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2590"/>
      <c r="E960" s="2591"/>
      <c r="F960" s="2591"/>
      <c r="G960" s="2591"/>
      <c r="H960" s="2591"/>
      <c r="I960" s="2591"/>
      <c r="J960" s="2593"/>
      <c r="K960" s="2593"/>
      <c r="L960" s="2593"/>
      <c r="M960" s="2593"/>
      <c r="N960" s="2593"/>
      <c r="O960" s="2593"/>
      <c r="P960" s="2593"/>
      <c r="Q960" s="2593"/>
      <c r="R960" s="2591"/>
      <c r="S960" s="2591"/>
      <c r="T960" s="2591"/>
      <c r="U960" s="2591"/>
      <c r="V960" s="2591"/>
      <c r="W960" s="2591"/>
      <c r="X960" s="2591"/>
      <c r="Y960" s="2605"/>
      <c r="Z960" s="2627"/>
      <c r="AA960" s="2628"/>
      <c r="AB960" s="2628"/>
      <c r="AC960" s="2629"/>
      <c r="AD960" s="2565"/>
      <c r="AE960" s="2566"/>
      <c r="AF960" s="2566"/>
      <c r="AG960" s="2566"/>
      <c r="AH960" s="2566"/>
      <c r="AI960" s="2566"/>
      <c r="AJ960" s="2566"/>
      <c r="AK960" s="256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2606" t="s">
        <v>135</v>
      </c>
      <c r="K961" s="2606"/>
      <c r="L961" s="2606"/>
      <c r="M961" s="2606"/>
      <c r="N961" s="2606"/>
      <c r="O961" s="2606"/>
      <c r="P961" s="2606"/>
      <c r="Q961" s="2606"/>
      <c r="R961" s="318"/>
      <c r="S961" s="318"/>
      <c r="T961" s="319"/>
      <c r="U961" s="318"/>
      <c r="V961" s="319" t="str">
        <f>IF(AA956="yes",(AD934*0.15),"")</f>
        <v/>
      </c>
      <c r="W961" s="319"/>
      <c r="X961" s="319"/>
      <c r="Y961" s="1424"/>
      <c r="Z961" s="2630"/>
      <c r="AA961" s="2630"/>
      <c r="AB961" s="2630"/>
      <c r="AC961" s="2631"/>
      <c r="AD961" s="2568"/>
      <c r="AE961" s="2569"/>
      <c r="AF961" s="2569"/>
      <c r="AG961" s="2569"/>
      <c r="AH961" s="2569"/>
      <c r="AI961" s="2569"/>
      <c r="AJ961" s="2569"/>
      <c r="AK961" s="257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2587" t="s">
        <v>2240</v>
      </c>
      <c r="E962" s="2588"/>
      <c r="F962" s="2588"/>
      <c r="G962" s="2588"/>
      <c r="H962" s="2588"/>
      <c r="I962" s="2588"/>
      <c r="J962" s="2588"/>
      <c r="K962" s="2588"/>
      <c r="L962" s="2588"/>
      <c r="M962" s="2588"/>
      <c r="N962" s="2588"/>
      <c r="O962" s="2588"/>
      <c r="P962" s="2588"/>
      <c r="Q962" s="2588"/>
      <c r="R962" s="2588"/>
      <c r="S962" s="2588"/>
      <c r="T962" s="2588"/>
      <c r="U962" s="2588"/>
      <c r="V962" s="2588"/>
      <c r="W962" s="2588"/>
      <c r="X962" s="2588"/>
      <c r="Y962" s="2589"/>
      <c r="Z962" s="127"/>
      <c r="AA962" s="2415" t="s">
        <v>118</v>
      </c>
      <c r="AB962" s="2416"/>
      <c r="AC962" s="65"/>
      <c r="AD962" s="2562">
        <f>'Applicant Notes'!F93</f>
        <v>759137</v>
      </c>
      <c r="AE962" s="2563"/>
      <c r="AF962" s="2563"/>
      <c r="AG962" s="2563"/>
      <c r="AH962" s="2563"/>
      <c r="AI962" s="2563"/>
      <c r="AJ962" s="2563"/>
      <c r="AK962" s="256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2590" t="s">
        <v>2239</v>
      </c>
      <c r="E963" s="2591"/>
      <c r="F963" s="2591"/>
      <c r="G963" s="2591"/>
      <c r="H963" s="2591"/>
      <c r="I963" s="2591"/>
      <c r="J963" s="2591"/>
      <c r="K963" s="2591"/>
      <c r="L963" s="2591"/>
      <c r="M963" s="2591"/>
      <c r="N963" s="2591"/>
      <c r="O963" s="2591"/>
      <c r="P963" s="2591"/>
      <c r="Q963" s="2591"/>
      <c r="R963" s="2591"/>
      <c r="S963" s="2591"/>
      <c r="T963" s="2591"/>
      <c r="U963" s="2591"/>
      <c r="V963" s="2591"/>
      <c r="W963" s="2591"/>
      <c r="X963" s="2591"/>
      <c r="Y963" s="2605"/>
      <c r="Z963" s="2418" t="str">
        <f>IF(AA962="yes","Please Enter Amount:",0)</f>
        <v>Please Enter Amount:</v>
      </c>
      <c r="AA963" s="2419"/>
      <c r="AB963" s="2419"/>
      <c r="AC963" s="2419"/>
      <c r="AD963" s="2565"/>
      <c r="AE963" s="2566"/>
      <c r="AF963" s="2566"/>
      <c r="AG963" s="2566"/>
      <c r="AH963" s="2566"/>
      <c r="AI963" s="2566"/>
      <c r="AJ963" s="2566"/>
      <c r="AK963" s="256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2590"/>
      <c r="E964" s="2591"/>
      <c r="F964" s="2591"/>
      <c r="G964" s="2591"/>
      <c r="H964" s="2591"/>
      <c r="I964" s="2591"/>
      <c r="J964" s="2591"/>
      <c r="K964" s="2591"/>
      <c r="L964" s="2591"/>
      <c r="M964" s="2591"/>
      <c r="N964" s="2591"/>
      <c r="O964" s="2591"/>
      <c r="P964" s="2591"/>
      <c r="Q964" s="2591"/>
      <c r="R964" s="2591"/>
      <c r="S964" s="2591"/>
      <c r="T964" s="2591"/>
      <c r="U964" s="2591"/>
      <c r="V964" s="2591"/>
      <c r="W964" s="2591"/>
      <c r="X964" s="2591"/>
      <c r="Y964" s="2605"/>
      <c r="Z964" s="2418"/>
      <c r="AA964" s="2419"/>
      <c r="AB964" s="2419"/>
      <c r="AC964" s="2419"/>
      <c r="AD964" s="2565"/>
      <c r="AE964" s="2566"/>
      <c r="AF964" s="2566"/>
      <c r="AG964" s="2566"/>
      <c r="AH964" s="2566"/>
      <c r="AI964" s="2566"/>
      <c r="AJ964" s="2566"/>
      <c r="AK964" s="256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2592"/>
      <c r="E965" s="2593"/>
      <c r="F965" s="2593"/>
      <c r="G965" s="2593"/>
      <c r="H965" s="2593"/>
      <c r="I965" s="2593"/>
      <c r="J965" s="2593"/>
      <c r="K965" s="2593"/>
      <c r="L965" s="2593"/>
      <c r="M965" s="2593"/>
      <c r="N965" s="2593"/>
      <c r="O965" s="2593"/>
      <c r="P965" s="2593"/>
      <c r="Q965" s="2593"/>
      <c r="R965" s="2593"/>
      <c r="S965" s="2593"/>
      <c r="T965" s="2593"/>
      <c r="U965" s="2593"/>
      <c r="V965" s="2593"/>
      <c r="W965" s="2593"/>
      <c r="X965" s="2593"/>
      <c r="Y965" s="2607"/>
      <c r="Z965" s="2418"/>
      <c r="AA965" s="2419"/>
      <c r="AB965" s="2419"/>
      <c r="AC965" s="2419"/>
      <c r="AD965" s="2568"/>
      <c r="AE965" s="2569"/>
      <c r="AF965" s="2569"/>
      <c r="AG965" s="2569"/>
      <c r="AH965" s="2569"/>
      <c r="AI965" s="2569"/>
      <c r="AJ965" s="2569"/>
      <c r="AK965" s="257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2587" t="s">
        <v>2241</v>
      </c>
      <c r="E966" s="2588"/>
      <c r="F966" s="2588"/>
      <c r="G966" s="2588"/>
      <c r="H966" s="2588"/>
      <c r="I966" s="2588"/>
      <c r="J966" s="2588"/>
      <c r="K966" s="2588"/>
      <c r="L966" s="2588"/>
      <c r="M966" s="2588"/>
      <c r="N966" s="2588"/>
      <c r="O966" s="2588"/>
      <c r="P966" s="2588"/>
      <c r="Q966" s="2588"/>
      <c r="R966" s="2588"/>
      <c r="S966" s="2588"/>
      <c r="T966" s="2588"/>
      <c r="U966" s="2588"/>
      <c r="V966" s="2588"/>
      <c r="W966" s="2588"/>
      <c r="X966" s="2588"/>
      <c r="Y966" s="2589"/>
      <c r="Z966" s="134"/>
      <c r="AA966" s="2621" t="s">
        <v>118</v>
      </c>
      <c r="AB966" s="2622"/>
      <c r="AC966" s="141"/>
      <c r="AD966" s="2402">
        <f>ROUND(IF(AA966="yes",(AD934*0.1),0),0)</f>
        <v>11541765</v>
      </c>
      <c r="AE966" s="2403"/>
      <c r="AF966" s="2403"/>
      <c r="AG966" s="2403"/>
      <c r="AH966" s="2403"/>
      <c r="AI966" s="2403"/>
      <c r="AJ966" s="2403"/>
      <c r="AK966" s="240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2590" t="s">
        <v>2242</v>
      </c>
      <c r="E967" s="2594"/>
      <c r="F967" s="2594"/>
      <c r="G967" s="2594"/>
      <c r="H967" s="2594"/>
      <c r="I967" s="2594"/>
      <c r="J967" s="2594"/>
      <c r="K967" s="2594"/>
      <c r="L967" s="2594"/>
      <c r="M967" s="2594"/>
      <c r="N967" s="2594"/>
      <c r="O967" s="2594"/>
      <c r="P967" s="2594"/>
      <c r="Q967" s="2594"/>
      <c r="R967" s="2594"/>
      <c r="S967" s="2594"/>
      <c r="T967" s="2594"/>
      <c r="U967" s="2594"/>
      <c r="V967" s="2594"/>
      <c r="W967" s="2594"/>
      <c r="X967" s="2594"/>
      <c r="Y967" s="2595"/>
      <c r="Z967" s="127"/>
      <c r="AA967" s="935"/>
      <c r="AB967" s="935"/>
      <c r="AC967" s="935"/>
      <c r="AD967" s="2572"/>
      <c r="AE967" s="2405"/>
      <c r="AF967" s="2405"/>
      <c r="AG967" s="2405"/>
      <c r="AH967" s="2405"/>
      <c r="AI967" s="2405"/>
      <c r="AJ967" s="2405"/>
      <c r="AK967" s="2406"/>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2596"/>
      <c r="E968" s="2597"/>
      <c r="F968" s="2597"/>
      <c r="G968" s="2597"/>
      <c r="H968" s="2597"/>
      <c r="I968" s="2597"/>
      <c r="J968" s="2597"/>
      <c r="K968" s="2597"/>
      <c r="L968" s="2597"/>
      <c r="M968" s="2597"/>
      <c r="N968" s="2597"/>
      <c r="O968" s="2597"/>
      <c r="P968" s="2597"/>
      <c r="Q968" s="2597"/>
      <c r="R968" s="2597"/>
      <c r="S968" s="2597"/>
      <c r="T968" s="2597"/>
      <c r="U968" s="2597"/>
      <c r="V968" s="2597"/>
      <c r="W968" s="2597"/>
      <c r="X968" s="2597"/>
      <c r="Y968" s="2598"/>
      <c r="Z968" s="127"/>
      <c r="AA968" s="129"/>
      <c r="AB968" s="129"/>
      <c r="AC968" s="129"/>
      <c r="AD968" s="2540"/>
      <c r="AE968" s="2407"/>
      <c r="AF968" s="2407"/>
      <c r="AG968" s="2407"/>
      <c r="AH968" s="2407"/>
      <c r="AI968" s="2407"/>
      <c r="AJ968" s="2407"/>
      <c r="AK968" s="240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2587" t="s">
        <v>2244</v>
      </c>
      <c r="E969" s="2588"/>
      <c r="F969" s="2588"/>
      <c r="G969" s="2588"/>
      <c r="H969" s="2588"/>
      <c r="I969" s="2588"/>
      <c r="J969" s="2588"/>
      <c r="K969" s="2588"/>
      <c r="L969" s="2588"/>
      <c r="M969" s="2588"/>
      <c r="N969" s="2588"/>
      <c r="O969" s="2588"/>
      <c r="P969" s="2588"/>
      <c r="Q969" s="2588"/>
      <c r="R969" s="2588"/>
      <c r="S969" s="2588"/>
      <c r="T969" s="2588"/>
      <c r="U969" s="2588"/>
      <c r="V969" s="2588"/>
      <c r="W969" s="2588"/>
      <c r="X969" s="2588"/>
      <c r="Y969" s="2589"/>
      <c r="Z969" s="929"/>
      <c r="AA969" s="2624" t="s">
        <v>536</v>
      </c>
      <c r="AB969" s="2625"/>
      <c r="AC969" s="931"/>
      <c r="AD969" s="2578">
        <f>ROUND(IF(AA969="yes",(AD934*0.1),0),0)</f>
        <v>0</v>
      </c>
      <c r="AE969" s="2579"/>
      <c r="AF969" s="2579"/>
      <c r="AG969" s="2579"/>
      <c r="AH969" s="2579"/>
      <c r="AI969" s="2579"/>
      <c r="AJ969" s="2579"/>
      <c r="AK969" s="2580"/>
      <c r="AL969" s="932"/>
    </row>
    <row r="970" spans="1:96" ht="12.75" customHeight="1">
      <c r="A970" s="928"/>
      <c r="B970" s="933"/>
      <c r="C970" s="934"/>
      <c r="D970" s="2590" t="s">
        <v>2243</v>
      </c>
      <c r="E970" s="2594"/>
      <c r="F970" s="2594"/>
      <c r="G970" s="2594"/>
      <c r="H970" s="2594"/>
      <c r="I970" s="2594"/>
      <c r="J970" s="2594"/>
      <c r="K970" s="2594"/>
      <c r="L970" s="2594"/>
      <c r="M970" s="2594"/>
      <c r="N970" s="2594"/>
      <c r="O970" s="2594"/>
      <c r="P970" s="2594"/>
      <c r="Q970" s="2594"/>
      <c r="R970" s="2594"/>
      <c r="S970" s="2594"/>
      <c r="T970" s="2594"/>
      <c r="U970" s="2594"/>
      <c r="V970" s="2594"/>
      <c r="W970" s="2594"/>
      <c r="X970" s="2594"/>
      <c r="Y970" s="2595"/>
      <c r="Z970" s="933"/>
      <c r="AA970" s="935"/>
      <c r="AB970" s="935"/>
      <c r="AC970" s="935"/>
      <c r="AD970" s="2581"/>
      <c r="AE970" s="2582"/>
      <c r="AF970" s="2582"/>
      <c r="AG970" s="2582"/>
      <c r="AH970" s="2582"/>
      <c r="AI970" s="2582"/>
      <c r="AJ970" s="2582"/>
      <c r="AK970" s="2583"/>
      <c r="AL970" s="932"/>
    </row>
    <row r="971" spans="1:96" ht="12.75" customHeight="1">
      <c r="A971" s="928"/>
      <c r="B971" s="933"/>
      <c r="C971" s="934"/>
      <c r="D971" s="2785"/>
      <c r="E971" s="2594"/>
      <c r="F971" s="2594"/>
      <c r="G971" s="2594"/>
      <c r="H971" s="2594"/>
      <c r="I971" s="2594"/>
      <c r="J971" s="2594"/>
      <c r="K971" s="2594"/>
      <c r="L971" s="2594"/>
      <c r="M971" s="2594"/>
      <c r="N971" s="2594"/>
      <c r="O971" s="2594"/>
      <c r="P971" s="2594"/>
      <c r="Q971" s="2594"/>
      <c r="R971" s="2594"/>
      <c r="S971" s="2594"/>
      <c r="T971" s="2594"/>
      <c r="U971" s="2594"/>
      <c r="V971" s="2594"/>
      <c r="W971" s="2594"/>
      <c r="X971" s="2594"/>
      <c r="Y971" s="2595"/>
      <c r="Z971" s="933"/>
      <c r="AA971" s="935"/>
      <c r="AB971" s="935"/>
      <c r="AC971" s="935"/>
      <c r="AD971" s="2581"/>
      <c r="AE971" s="2582"/>
      <c r="AF971" s="2582"/>
      <c r="AG971" s="2582"/>
      <c r="AH971" s="2582"/>
      <c r="AI971" s="2582"/>
      <c r="AJ971" s="2582"/>
      <c r="AK971" s="2583"/>
      <c r="AL971" s="932"/>
    </row>
    <row r="972" spans="1:96" ht="12.75" customHeight="1">
      <c r="A972" s="928"/>
      <c r="B972" s="933"/>
      <c r="C972" s="934"/>
      <c r="D972" s="2785"/>
      <c r="E972" s="2594"/>
      <c r="F972" s="2594"/>
      <c r="G972" s="2594"/>
      <c r="H972" s="2594"/>
      <c r="I972" s="2594"/>
      <c r="J972" s="2594"/>
      <c r="K972" s="2594"/>
      <c r="L972" s="2594"/>
      <c r="M972" s="2594"/>
      <c r="N972" s="2594"/>
      <c r="O972" s="2594"/>
      <c r="P972" s="2594"/>
      <c r="Q972" s="2594"/>
      <c r="R972" s="2594"/>
      <c r="S972" s="2594"/>
      <c r="T972" s="2594"/>
      <c r="U972" s="2594"/>
      <c r="V972" s="2594"/>
      <c r="W972" s="2594"/>
      <c r="X972" s="2594"/>
      <c r="Y972" s="2595"/>
      <c r="Z972" s="933"/>
      <c r="AA972" s="935"/>
      <c r="AB972" s="935"/>
      <c r="AC972" s="935"/>
      <c r="AD972" s="2581"/>
      <c r="AE972" s="2582"/>
      <c r="AF972" s="2582"/>
      <c r="AG972" s="2582"/>
      <c r="AH972" s="2582"/>
      <c r="AI972" s="2582"/>
      <c r="AJ972" s="2582"/>
      <c r="AK972" s="2583"/>
      <c r="AL972" s="932"/>
    </row>
    <row r="973" spans="1:96" ht="17.649999999999999" customHeight="1">
      <c r="A973" s="928"/>
      <c r="B973" s="933"/>
      <c r="C973" s="934"/>
      <c r="D973" s="2596"/>
      <c r="E973" s="2597"/>
      <c r="F973" s="2597"/>
      <c r="G973" s="2597"/>
      <c r="H973" s="2597"/>
      <c r="I973" s="2597"/>
      <c r="J973" s="2597"/>
      <c r="K973" s="2597"/>
      <c r="L973" s="2597"/>
      <c r="M973" s="2597"/>
      <c r="N973" s="2597"/>
      <c r="O973" s="2597"/>
      <c r="P973" s="2597"/>
      <c r="Q973" s="2597"/>
      <c r="R973" s="2597"/>
      <c r="S973" s="2597"/>
      <c r="T973" s="2597"/>
      <c r="U973" s="2597"/>
      <c r="V973" s="2597"/>
      <c r="W973" s="2597"/>
      <c r="X973" s="2597"/>
      <c r="Y973" s="2598"/>
      <c r="Z973" s="933"/>
      <c r="AA973" s="935"/>
      <c r="AB973" s="935"/>
      <c r="AC973" s="935"/>
      <c r="AD973" s="2581"/>
      <c r="AE973" s="2582"/>
      <c r="AF973" s="2582"/>
      <c r="AG973" s="2582"/>
      <c r="AH973" s="2582"/>
      <c r="AI973" s="2582"/>
      <c r="AJ973" s="2582"/>
      <c r="AK973" s="2583"/>
      <c r="AL973" s="932"/>
    </row>
    <row r="974" spans="1:96" ht="12.75" customHeight="1">
      <c r="A974" s="145"/>
      <c r="B974" s="316"/>
      <c r="C974" s="317"/>
      <c r="D974" s="2618" t="s">
        <v>827</v>
      </c>
      <c r="E974" s="2618"/>
      <c r="F974" s="2618"/>
      <c r="G974" s="2618"/>
      <c r="H974" s="2618"/>
      <c r="I974" s="2618"/>
      <c r="J974" s="2618"/>
      <c r="K974" s="2618"/>
      <c r="L974" s="2618"/>
      <c r="M974" s="2618"/>
      <c r="N974" s="2618"/>
      <c r="O974" s="2618"/>
      <c r="P974" s="2618"/>
      <c r="Q974" s="2618"/>
      <c r="R974" s="2618"/>
      <c r="S974" s="2618"/>
      <c r="T974" s="2618"/>
      <c r="U974" s="2618"/>
      <c r="V974" s="2618"/>
      <c r="W974" s="2618"/>
      <c r="X974" s="2618"/>
      <c r="Y974" s="2618"/>
      <c r="Z974" s="2618"/>
      <c r="AA974" s="2618"/>
      <c r="AB974" s="2618"/>
      <c r="AC974" s="2619"/>
      <c r="AD974" s="2425">
        <f>SUM(AD934:AK973)</f>
        <v>158881311</v>
      </c>
      <c r="AE974" s="2426"/>
      <c r="AF974" s="2426"/>
      <c r="AG974" s="2426"/>
      <c r="AH974" s="2426"/>
      <c r="AI974" s="2426"/>
      <c r="AJ974" s="2426"/>
      <c r="AK974" s="262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2626">
        <f>'Sources and Uses Budget'!S106+'Sources and Uses Budget'!T106</f>
        <v>106019596</v>
      </c>
      <c r="Y977" s="2626"/>
      <c r="Z977" s="2626"/>
      <c r="AA977" s="2626"/>
      <c r="AB977" s="2626"/>
      <c r="AC977" s="262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2615">
        <f>X977/AD974</f>
        <v>0.66728802357377326</v>
      </c>
      <c r="Y978" s="2616"/>
      <c r="Z978" s="2616"/>
      <c r="AA978" s="2616"/>
      <c r="AB978" s="2616"/>
      <c r="AC978" s="261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39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392"/>
      <c r="F979" s="2392"/>
      <c r="G979" s="2392"/>
      <c r="H979" s="2392"/>
      <c r="I979" s="2392"/>
      <c r="J979" s="2392"/>
      <c r="K979" s="2392"/>
      <c r="L979" s="2392"/>
      <c r="M979" s="2392"/>
      <c r="N979" s="2392"/>
      <c r="O979" s="2392"/>
      <c r="P979" s="2392"/>
      <c r="Q979" s="2392"/>
      <c r="R979" s="2392"/>
      <c r="S979" s="2392"/>
      <c r="T979" s="2392"/>
      <c r="U979" s="2392"/>
      <c r="V979" s="2392"/>
      <c r="W979" s="2392"/>
      <c r="X979" s="2392"/>
      <c r="Y979" s="2392"/>
      <c r="Z979" s="2392"/>
      <c r="AA979" s="2392"/>
      <c r="AB979" s="2392"/>
      <c r="AC979" s="2392"/>
      <c r="AD979" s="2392"/>
      <c r="AE979" s="2392"/>
      <c r="AF979" s="2392"/>
      <c r="AG979" s="2392"/>
      <c r="AH979" s="2392"/>
      <c r="AI979" s="2392"/>
      <c r="AJ979" s="2392"/>
      <c r="AK979" s="239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392"/>
      <c r="E980" s="2392"/>
      <c r="F980" s="2392"/>
      <c r="G980" s="2392"/>
      <c r="H980" s="2392"/>
      <c r="I980" s="2392"/>
      <c r="J980" s="2392"/>
      <c r="K980" s="2392"/>
      <c r="L980" s="2392"/>
      <c r="M980" s="2392"/>
      <c r="N980" s="2392"/>
      <c r="O980" s="2392"/>
      <c r="P980" s="2392"/>
      <c r="Q980" s="2392"/>
      <c r="R980" s="2392"/>
      <c r="S980" s="2392"/>
      <c r="T980" s="2392"/>
      <c r="U980" s="2392"/>
      <c r="V980" s="2392"/>
      <c r="W980" s="2392"/>
      <c r="X980" s="2392"/>
      <c r="Y980" s="2392"/>
      <c r="Z980" s="2392"/>
      <c r="AA980" s="2392"/>
      <c r="AB980" s="2392"/>
      <c r="AC980" s="2392"/>
      <c r="AD980" s="2392"/>
      <c r="AE980" s="2392"/>
      <c r="AF980" s="2392"/>
      <c r="AG980" s="2392"/>
      <c r="AH980" s="2392"/>
      <c r="AI980" s="2392"/>
      <c r="AJ980" s="2392"/>
      <c r="AK980" s="239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392"/>
      <c r="E981" s="2392"/>
      <c r="F981" s="2392"/>
      <c r="G981" s="2392"/>
      <c r="H981" s="2392"/>
      <c r="I981" s="2392"/>
      <c r="J981" s="2392"/>
      <c r="K981" s="2392"/>
      <c r="L981" s="2392"/>
      <c r="M981" s="2392"/>
      <c r="N981" s="2392"/>
      <c r="O981" s="2392"/>
      <c r="P981" s="2392"/>
      <c r="Q981" s="2392"/>
      <c r="R981" s="2392"/>
      <c r="S981" s="2392"/>
      <c r="T981" s="2392"/>
      <c r="U981" s="2392"/>
      <c r="V981" s="2392"/>
      <c r="W981" s="2392"/>
      <c r="X981" s="2392"/>
      <c r="Y981" s="2392"/>
      <c r="Z981" s="2392"/>
      <c r="AA981" s="2392"/>
      <c r="AB981" s="2392"/>
      <c r="AC981" s="2392"/>
      <c r="AD981" s="2392"/>
      <c r="AE981" s="2392"/>
      <c r="AF981" s="2392"/>
      <c r="AG981" s="2392"/>
      <c r="AH981" s="2392"/>
      <c r="AI981" s="2392"/>
      <c r="AJ981" s="2392"/>
      <c r="AK981" s="239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262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2620"/>
      <c r="D982" s="2620"/>
      <c r="E982" s="2620"/>
      <c r="F982" s="2620"/>
      <c r="G982" s="2620"/>
      <c r="H982" s="2620"/>
      <c r="I982" s="2620"/>
      <c r="J982" s="2620"/>
      <c r="K982" s="2620"/>
      <c r="L982" s="2620"/>
      <c r="M982" s="2620"/>
      <c r="N982" s="2620"/>
      <c r="O982" s="2620"/>
      <c r="P982" s="2620"/>
      <c r="Q982" s="2620"/>
      <c r="R982" s="2620"/>
      <c r="S982" s="2620"/>
      <c r="T982" s="2620"/>
      <c r="U982" s="2620"/>
      <c r="V982" s="2620"/>
      <c r="W982" s="2620"/>
      <c r="X982" s="2620"/>
      <c r="Y982" s="2620"/>
      <c r="Z982" s="2620"/>
      <c r="AA982" s="2620"/>
      <c r="AB982" s="2620"/>
      <c r="AC982" s="2620"/>
      <c r="AD982" s="2620"/>
      <c r="AE982" s="2620"/>
      <c r="AF982" s="2620"/>
      <c r="AG982" s="2620"/>
      <c r="AH982" s="2620"/>
      <c r="AI982" s="2620"/>
      <c r="AJ982" s="2620"/>
      <c r="AK982" s="262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2620"/>
      <c r="C983" s="2620"/>
      <c r="D983" s="2620"/>
      <c r="E983" s="2620"/>
      <c r="F983" s="2620"/>
      <c r="G983" s="2620"/>
      <c r="H983" s="2620"/>
      <c r="I983" s="2620"/>
      <c r="J983" s="2620"/>
      <c r="K983" s="2620"/>
      <c r="L983" s="2620"/>
      <c r="M983" s="2620"/>
      <c r="N983" s="2620"/>
      <c r="O983" s="2620"/>
      <c r="P983" s="2620"/>
      <c r="Q983" s="2620"/>
      <c r="R983" s="2620"/>
      <c r="S983" s="2620"/>
      <c r="T983" s="2620"/>
      <c r="U983" s="2620"/>
      <c r="V983" s="2620"/>
      <c r="W983" s="2620"/>
      <c r="X983" s="2620"/>
      <c r="Y983" s="2620"/>
      <c r="Z983" s="2620"/>
      <c r="AA983" s="2620"/>
      <c r="AB983" s="2620"/>
      <c r="AC983" s="2620"/>
      <c r="AD983" s="2620"/>
      <c r="AE983" s="2620"/>
      <c r="AF983" s="2620"/>
      <c r="AG983" s="2620"/>
      <c r="AH983" s="2620"/>
      <c r="AI983" s="2620"/>
      <c r="AJ983" s="2620"/>
      <c r="AK983" s="262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2620">
        <f>IF(ISNA(IF((AD956&gt;(AD934*0.15)),"(f) cannot be greater than 15% of unadjusted eligible basis.",0)),"",(IF((AD956&gt;(AD934*0.15)),"(f) cannot be greater than 15% of unadjusted eligible basis.",0)))</f>
        <v>0</v>
      </c>
      <c r="C984" s="2620"/>
      <c r="D984" s="2620"/>
      <c r="E984" s="2620"/>
      <c r="F984" s="2620"/>
      <c r="G984" s="2620"/>
      <c r="H984" s="2620"/>
      <c r="I984" s="2620"/>
      <c r="J984" s="2620"/>
      <c r="K984" s="2620"/>
      <c r="L984" s="2620"/>
      <c r="M984" s="2620"/>
      <c r="N984" s="2620"/>
      <c r="O984" s="2620"/>
      <c r="P984" s="2620"/>
      <c r="Q984" s="2620"/>
      <c r="R984" s="2620"/>
      <c r="S984" s="2620"/>
      <c r="T984" s="2620"/>
      <c r="U984" s="2620"/>
      <c r="V984" s="2620"/>
      <c r="W984" s="2620"/>
      <c r="X984" s="2620"/>
      <c r="Y984" s="2620"/>
      <c r="Z984" s="2620"/>
      <c r="AA984" s="2620"/>
      <c r="AB984" s="2620"/>
      <c r="AC984" s="2620"/>
      <c r="AD984" s="2620"/>
      <c r="AE984" s="2620"/>
      <c r="AF984" s="2620"/>
      <c r="AG984" s="2620"/>
      <c r="AH984" s="2620"/>
      <c r="AI984" s="2620"/>
      <c r="AJ984" s="2620"/>
      <c r="AK984" s="262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396" t="s">
        <v>1112</v>
      </c>
      <c r="B985" s="2396"/>
      <c r="C985" s="2396"/>
      <c r="D985" s="2396"/>
      <c r="E985" s="2396"/>
      <c r="F985" s="2396"/>
      <c r="G985" s="2396"/>
      <c r="H985" s="2396"/>
      <c r="I985" s="2396"/>
      <c r="J985" s="2396"/>
      <c r="K985" s="2396"/>
      <c r="L985" s="2396"/>
      <c r="M985" s="2396"/>
      <c r="N985" s="2396"/>
      <c r="O985" s="2396"/>
      <c r="P985" s="2396"/>
      <c r="Q985" s="2396"/>
      <c r="R985" s="2396"/>
      <c r="S985" s="2396"/>
      <c r="T985" s="2396"/>
      <c r="U985" s="2396"/>
      <c r="V985" s="2396"/>
      <c r="W985" s="2396"/>
      <c r="X985" s="2396"/>
      <c r="Y985" s="2396"/>
      <c r="Z985" s="2396"/>
      <c r="AA985" s="2396"/>
      <c r="AB985" s="2396"/>
      <c r="AC985" s="2396"/>
      <c r="AD985" s="2396"/>
      <c r="AE985" s="2396"/>
      <c r="AF985" s="2396"/>
      <c r="AG985" s="2396"/>
      <c r="AH985" s="2396"/>
      <c r="AI985" s="2396"/>
      <c r="AJ985" s="2396"/>
      <c r="AK985" s="2396"/>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2343" t="s">
        <v>135</v>
      </c>
      <c r="B989" s="2343"/>
      <c r="C989" s="17">
        <v>1</v>
      </c>
      <c r="D989" s="2229" t="s">
        <v>1744</v>
      </c>
      <c r="E989" s="2229"/>
      <c r="F989" s="2229"/>
      <c r="G989" s="2229"/>
      <c r="H989" s="2229"/>
      <c r="I989" s="2229"/>
      <c r="J989" s="2229"/>
      <c r="K989" s="2229"/>
      <c r="L989" s="2229"/>
      <c r="M989" s="2229"/>
      <c r="N989" s="2229"/>
      <c r="O989" s="2229"/>
      <c r="P989" s="2229"/>
      <c r="Q989" s="2229"/>
      <c r="R989" s="2229"/>
      <c r="S989" s="2229"/>
      <c r="T989" s="2229"/>
      <c r="U989" s="2229"/>
      <c r="V989" s="2229"/>
      <c r="W989" s="2229"/>
      <c r="X989" s="2229"/>
      <c r="Y989" s="2229"/>
      <c r="Z989" s="2229"/>
      <c r="AA989" s="2229"/>
      <c r="AB989" s="2229"/>
      <c r="AC989" s="2229"/>
      <c r="AD989" s="2229"/>
      <c r="AE989" s="2229"/>
      <c r="AF989" s="2229"/>
      <c r="AG989" s="2229"/>
      <c r="AH989" s="2229"/>
      <c r="AI989" s="2229"/>
      <c r="AJ989" s="2229"/>
      <c r="AK989" s="222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2229"/>
      <c r="E990" s="2229"/>
      <c r="F990" s="2229"/>
      <c r="G990" s="2229"/>
      <c r="H990" s="2229"/>
      <c r="I990" s="2229"/>
      <c r="J990" s="2229"/>
      <c r="K990" s="2229"/>
      <c r="L990" s="2229"/>
      <c r="M990" s="2229"/>
      <c r="N990" s="2229"/>
      <c r="O990" s="2229"/>
      <c r="P990" s="2229"/>
      <c r="Q990" s="2229"/>
      <c r="R990" s="2229"/>
      <c r="S990" s="2229"/>
      <c r="T990" s="2229"/>
      <c r="U990" s="2229"/>
      <c r="V990" s="2229"/>
      <c r="W990" s="2229"/>
      <c r="X990" s="2229"/>
      <c r="Y990" s="2229"/>
      <c r="Z990" s="2229"/>
      <c r="AA990" s="2229"/>
      <c r="AB990" s="2229"/>
      <c r="AC990" s="2229"/>
      <c r="AD990" s="2229"/>
      <c r="AE990" s="2229"/>
      <c r="AF990" s="2229"/>
      <c r="AG990" s="2229"/>
      <c r="AH990" s="2229"/>
      <c r="AI990" s="2229"/>
      <c r="AJ990" s="2229"/>
      <c r="AK990" s="222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2229"/>
      <c r="E991" s="2229"/>
      <c r="F991" s="2229"/>
      <c r="G991" s="2229"/>
      <c r="H991" s="2229"/>
      <c r="I991" s="2229"/>
      <c r="J991" s="2229"/>
      <c r="K991" s="2229"/>
      <c r="L991" s="2229"/>
      <c r="M991" s="2229"/>
      <c r="N991" s="2229"/>
      <c r="O991" s="2229"/>
      <c r="P991" s="2229"/>
      <c r="Q991" s="2229"/>
      <c r="R991" s="2229"/>
      <c r="S991" s="2229"/>
      <c r="T991" s="2229"/>
      <c r="U991" s="2229"/>
      <c r="V991" s="2229"/>
      <c r="W991" s="2229"/>
      <c r="X991" s="2229"/>
      <c r="Y991" s="2229"/>
      <c r="Z991" s="2229"/>
      <c r="AA991" s="2229"/>
      <c r="AB991" s="2229"/>
      <c r="AC991" s="2229"/>
      <c r="AD991" s="2229"/>
      <c r="AE991" s="2229"/>
      <c r="AF991" s="2229"/>
      <c r="AG991" s="2229"/>
      <c r="AH991" s="2229"/>
      <c r="AI991" s="2229"/>
      <c r="AJ991" s="2229"/>
      <c r="AK991" s="222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2229"/>
      <c r="E992" s="2229"/>
      <c r="F992" s="2229"/>
      <c r="G992" s="2229"/>
      <c r="H992" s="2229"/>
      <c r="I992" s="2229"/>
      <c r="J992" s="2229"/>
      <c r="K992" s="2229"/>
      <c r="L992" s="2229"/>
      <c r="M992" s="2229"/>
      <c r="N992" s="2229"/>
      <c r="O992" s="2229"/>
      <c r="P992" s="2229"/>
      <c r="Q992" s="2229"/>
      <c r="R992" s="2229"/>
      <c r="S992" s="2229"/>
      <c r="T992" s="2229"/>
      <c r="U992" s="2229"/>
      <c r="V992" s="2229"/>
      <c r="W992" s="2229"/>
      <c r="X992" s="2229"/>
      <c r="Y992" s="2229"/>
      <c r="Z992" s="2229"/>
      <c r="AA992" s="2229"/>
      <c r="AB992" s="2229"/>
      <c r="AC992" s="2229"/>
      <c r="AD992" s="2229"/>
      <c r="AE992" s="2229"/>
      <c r="AF992" s="2229"/>
      <c r="AG992" s="2229"/>
      <c r="AH992" s="2229"/>
      <c r="AI992" s="2229"/>
      <c r="AJ992" s="2229"/>
      <c r="AK992" s="222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2229"/>
      <c r="E993" s="2229"/>
      <c r="F993" s="2229"/>
      <c r="G993" s="2229"/>
      <c r="H993" s="2229"/>
      <c r="I993" s="2229"/>
      <c r="J993" s="2229"/>
      <c r="K993" s="2229"/>
      <c r="L993" s="2229"/>
      <c r="M993" s="2229"/>
      <c r="N993" s="2229"/>
      <c r="O993" s="2229"/>
      <c r="P993" s="2229"/>
      <c r="Q993" s="2229"/>
      <c r="R993" s="2229"/>
      <c r="S993" s="2229"/>
      <c r="T993" s="2229"/>
      <c r="U993" s="2229"/>
      <c r="V993" s="2229"/>
      <c r="W993" s="2229"/>
      <c r="X993" s="2229"/>
      <c r="Y993" s="2229"/>
      <c r="Z993" s="2229"/>
      <c r="AA993" s="2229"/>
      <c r="AB993" s="2229"/>
      <c r="AC993" s="2229"/>
      <c r="AD993" s="2229"/>
      <c r="AE993" s="2229"/>
      <c r="AF993" s="2229"/>
      <c r="AG993" s="2229"/>
      <c r="AH993" s="2229"/>
      <c r="AI993" s="2229"/>
      <c r="AJ993" s="2229"/>
      <c r="AK993" s="222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2229"/>
      <c r="E994" s="2229"/>
      <c r="F994" s="2229"/>
      <c r="G994" s="2229"/>
      <c r="H994" s="2229"/>
      <c r="I994" s="2229"/>
      <c r="J994" s="2229"/>
      <c r="K994" s="2229"/>
      <c r="L994" s="2229"/>
      <c r="M994" s="2229"/>
      <c r="N994" s="2229"/>
      <c r="O994" s="2229"/>
      <c r="P994" s="2229"/>
      <c r="Q994" s="2229"/>
      <c r="R994" s="2229"/>
      <c r="S994" s="2229"/>
      <c r="T994" s="2229"/>
      <c r="U994" s="2229"/>
      <c r="V994" s="2229"/>
      <c r="W994" s="2229"/>
      <c r="X994" s="2229"/>
      <c r="Y994" s="2229"/>
      <c r="Z994" s="2229"/>
      <c r="AA994" s="2229"/>
      <c r="AB994" s="2229"/>
      <c r="AC994" s="2229"/>
      <c r="AD994" s="2229"/>
      <c r="AE994" s="2229"/>
      <c r="AF994" s="2229"/>
      <c r="AG994" s="2229"/>
      <c r="AH994" s="2229"/>
      <c r="AI994" s="2229"/>
      <c r="AJ994" s="2229"/>
      <c r="AK994" s="2229"/>
      <c r="AL994" s="16"/>
      <c r="AM994" s="66"/>
      <c r="AN994" s="66"/>
      <c r="AO994" s="30"/>
      <c r="AP994" s="30"/>
      <c r="AQ994" s="30"/>
      <c r="AR994" s="30"/>
      <c r="AS994" s="30"/>
      <c r="AT994" s="2614"/>
      <c r="AU994" s="2614"/>
      <c r="AV994" s="2614"/>
      <c r="AW994" s="2614"/>
      <c r="AX994" s="2614"/>
      <c r="AY994" s="261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2343" t="s">
        <v>135</v>
      </c>
      <c r="B995" s="2343"/>
      <c r="C995" s="17">
        <v>2</v>
      </c>
      <c r="D995" s="2228" t="s">
        <v>1745</v>
      </c>
      <c r="E995" s="2229"/>
      <c r="F995" s="2229"/>
      <c r="G995" s="2229"/>
      <c r="H995" s="2229"/>
      <c r="I995" s="2229"/>
      <c r="J995" s="2229"/>
      <c r="K995" s="2229"/>
      <c r="L995" s="2229"/>
      <c r="M995" s="2229"/>
      <c r="N995" s="2229"/>
      <c r="O995" s="2229"/>
      <c r="P995" s="2229"/>
      <c r="Q995" s="2229"/>
      <c r="R995" s="2229"/>
      <c r="S995" s="2229"/>
      <c r="T995" s="2229"/>
      <c r="U995" s="2229"/>
      <c r="V995" s="2229"/>
      <c r="W995" s="2229"/>
      <c r="X995" s="2229"/>
      <c r="Y995" s="2229"/>
      <c r="Z995" s="2229"/>
      <c r="AA995" s="2229"/>
      <c r="AB995" s="2229"/>
      <c r="AC995" s="2229"/>
      <c r="AD995" s="2229"/>
      <c r="AE995" s="2229"/>
      <c r="AF995" s="2229"/>
      <c r="AG995" s="2229"/>
      <c r="AH995" s="2229"/>
      <c r="AI995" s="2229"/>
      <c r="AJ995" s="2229"/>
      <c r="AK995" s="222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2229"/>
      <c r="E996" s="2229"/>
      <c r="F996" s="2229"/>
      <c r="G996" s="2229"/>
      <c r="H996" s="2229"/>
      <c r="I996" s="2229"/>
      <c r="J996" s="2229"/>
      <c r="K996" s="2229"/>
      <c r="L996" s="2229"/>
      <c r="M996" s="2229"/>
      <c r="N996" s="2229"/>
      <c r="O996" s="2229"/>
      <c r="P996" s="2229"/>
      <c r="Q996" s="2229"/>
      <c r="R996" s="2229"/>
      <c r="S996" s="2229"/>
      <c r="T996" s="2229"/>
      <c r="U996" s="2229"/>
      <c r="V996" s="2229"/>
      <c r="W996" s="2229"/>
      <c r="X996" s="2229"/>
      <c r="Y996" s="2229"/>
      <c r="Z996" s="2229"/>
      <c r="AA996" s="2229"/>
      <c r="AB996" s="2229"/>
      <c r="AC996" s="2229"/>
      <c r="AD996" s="2229"/>
      <c r="AE996" s="2229"/>
      <c r="AF996" s="2229"/>
      <c r="AG996" s="2229"/>
      <c r="AH996" s="2229"/>
      <c r="AI996" s="2229"/>
      <c r="AJ996" s="2229"/>
      <c r="AK996" s="222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2229"/>
      <c r="E997" s="2229"/>
      <c r="F997" s="2229"/>
      <c r="G997" s="2229"/>
      <c r="H997" s="2229"/>
      <c r="I997" s="2229"/>
      <c r="J997" s="2229"/>
      <c r="K997" s="2229"/>
      <c r="L997" s="2229"/>
      <c r="M997" s="2229"/>
      <c r="N997" s="2229"/>
      <c r="O997" s="2229"/>
      <c r="P997" s="2229"/>
      <c r="Q997" s="2229"/>
      <c r="R997" s="2229"/>
      <c r="S997" s="2229"/>
      <c r="T997" s="2229"/>
      <c r="U997" s="2229"/>
      <c r="V997" s="2229"/>
      <c r="W997" s="2229"/>
      <c r="X997" s="2229"/>
      <c r="Y997" s="2229"/>
      <c r="Z997" s="2229"/>
      <c r="AA997" s="2229"/>
      <c r="AB997" s="2229"/>
      <c r="AC997" s="2229"/>
      <c r="AD997" s="2229"/>
      <c r="AE997" s="2229"/>
      <c r="AF997" s="2229"/>
      <c r="AG997" s="2229"/>
      <c r="AH997" s="2229"/>
      <c r="AI997" s="2229"/>
      <c r="AJ997" s="2229"/>
      <c r="AK997" s="222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2229"/>
      <c r="E998" s="2229"/>
      <c r="F998" s="2229"/>
      <c r="G998" s="2229"/>
      <c r="H998" s="2229"/>
      <c r="I998" s="2229"/>
      <c r="J998" s="2229"/>
      <c r="K998" s="2229"/>
      <c r="L998" s="2229"/>
      <c r="M998" s="2229"/>
      <c r="N998" s="2229"/>
      <c r="O998" s="2229"/>
      <c r="P998" s="2229"/>
      <c r="Q998" s="2229"/>
      <c r="R998" s="2229"/>
      <c r="S998" s="2229"/>
      <c r="T998" s="2229"/>
      <c r="U998" s="2229"/>
      <c r="V998" s="2229"/>
      <c r="W998" s="2229"/>
      <c r="X998" s="2229"/>
      <c r="Y998" s="2229"/>
      <c r="Z998" s="2229"/>
      <c r="AA998" s="2229"/>
      <c r="AB998" s="2229"/>
      <c r="AC998" s="2229"/>
      <c r="AD998" s="2229"/>
      <c r="AE998" s="2229"/>
      <c r="AF998" s="2229"/>
      <c r="AG998" s="2229"/>
      <c r="AH998" s="2229"/>
      <c r="AI998" s="2229"/>
      <c r="AJ998" s="2229"/>
      <c r="AK998" s="222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2229"/>
      <c r="E999" s="2229"/>
      <c r="F999" s="2229"/>
      <c r="G999" s="2229"/>
      <c r="H999" s="2229"/>
      <c r="I999" s="2229"/>
      <c r="J999" s="2229"/>
      <c r="K999" s="2229"/>
      <c r="L999" s="2229"/>
      <c r="M999" s="2229"/>
      <c r="N999" s="2229"/>
      <c r="O999" s="2229"/>
      <c r="P999" s="2229"/>
      <c r="Q999" s="2229"/>
      <c r="R999" s="2229"/>
      <c r="S999" s="2229"/>
      <c r="T999" s="2229"/>
      <c r="U999" s="2229"/>
      <c r="V999" s="2229"/>
      <c r="W999" s="2229"/>
      <c r="X999" s="2229"/>
      <c r="Y999" s="2229"/>
      <c r="Z999" s="2229"/>
      <c r="AA999" s="2229"/>
      <c r="AB999" s="2229"/>
      <c r="AC999" s="2229"/>
      <c r="AD999" s="2229"/>
      <c r="AE999" s="2229"/>
      <c r="AF999" s="2229"/>
      <c r="AG999" s="2229"/>
      <c r="AH999" s="2229"/>
      <c r="AI999" s="2229"/>
      <c r="AJ999" s="2229"/>
      <c r="AK999" s="222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2229"/>
      <c r="E1000" s="2229"/>
      <c r="F1000" s="2229"/>
      <c r="G1000" s="2229"/>
      <c r="H1000" s="2229"/>
      <c r="I1000" s="2229"/>
      <c r="J1000" s="2229"/>
      <c r="K1000" s="2229"/>
      <c r="L1000" s="2229"/>
      <c r="M1000" s="2229"/>
      <c r="N1000" s="2229"/>
      <c r="O1000" s="2229"/>
      <c r="P1000" s="2229"/>
      <c r="Q1000" s="2229"/>
      <c r="R1000" s="2229"/>
      <c r="S1000" s="2229"/>
      <c r="T1000" s="2229"/>
      <c r="U1000" s="2229"/>
      <c r="V1000" s="2229"/>
      <c r="W1000" s="2229"/>
      <c r="X1000" s="2229"/>
      <c r="Y1000" s="2229"/>
      <c r="Z1000" s="2229"/>
      <c r="AA1000" s="2229"/>
      <c r="AB1000" s="2229"/>
      <c r="AC1000" s="2229"/>
      <c r="AD1000" s="2229"/>
      <c r="AE1000" s="2229"/>
      <c r="AF1000" s="2229"/>
      <c r="AG1000" s="2229"/>
      <c r="AH1000" s="2229"/>
      <c r="AI1000" s="2229"/>
      <c r="AJ1000" s="2229"/>
      <c r="AK1000" s="222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2343" t="s">
        <v>135</v>
      </c>
      <c r="B1001" s="2343"/>
      <c r="C1001" s="17">
        <v>3</v>
      </c>
      <c r="D1001" s="2228" t="s">
        <v>2224</v>
      </c>
      <c r="E1001" s="2229"/>
      <c r="F1001" s="2229"/>
      <c r="G1001" s="2229"/>
      <c r="H1001" s="2229"/>
      <c r="I1001" s="2229"/>
      <c r="J1001" s="2229"/>
      <c r="K1001" s="2229"/>
      <c r="L1001" s="2229"/>
      <c r="M1001" s="2229"/>
      <c r="N1001" s="2229"/>
      <c r="O1001" s="2229"/>
      <c r="P1001" s="2229"/>
      <c r="Q1001" s="2229"/>
      <c r="R1001" s="2229"/>
      <c r="S1001" s="2229"/>
      <c r="T1001" s="2229"/>
      <c r="U1001" s="2229"/>
      <c r="V1001" s="2229"/>
      <c r="W1001" s="2229"/>
      <c r="X1001" s="2229"/>
      <c r="Y1001" s="2229"/>
      <c r="Z1001" s="2229"/>
      <c r="AA1001" s="2229"/>
      <c r="AB1001" s="2229"/>
      <c r="AC1001" s="2229"/>
      <c r="AD1001" s="2229"/>
      <c r="AE1001" s="2229"/>
      <c r="AF1001" s="2229"/>
      <c r="AG1001" s="2229"/>
      <c r="AH1001" s="2229"/>
      <c r="AI1001" s="2229"/>
      <c r="AJ1001" s="2229"/>
      <c r="AK1001" s="222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2229"/>
      <c r="E1002" s="2229"/>
      <c r="F1002" s="2229"/>
      <c r="G1002" s="2229"/>
      <c r="H1002" s="2229"/>
      <c r="I1002" s="2229"/>
      <c r="J1002" s="2229"/>
      <c r="K1002" s="2229"/>
      <c r="L1002" s="2229"/>
      <c r="M1002" s="2229"/>
      <c r="N1002" s="2229"/>
      <c r="O1002" s="2229"/>
      <c r="P1002" s="2229"/>
      <c r="Q1002" s="2229"/>
      <c r="R1002" s="2229"/>
      <c r="S1002" s="2229"/>
      <c r="T1002" s="2229"/>
      <c r="U1002" s="2229"/>
      <c r="V1002" s="2229"/>
      <c r="W1002" s="2229"/>
      <c r="X1002" s="2229"/>
      <c r="Y1002" s="2229"/>
      <c r="Z1002" s="2229"/>
      <c r="AA1002" s="2229"/>
      <c r="AB1002" s="2229"/>
      <c r="AC1002" s="2229"/>
      <c r="AD1002" s="2229"/>
      <c r="AE1002" s="2229"/>
      <c r="AF1002" s="2229"/>
      <c r="AG1002" s="2229"/>
      <c r="AH1002" s="2229"/>
      <c r="AI1002" s="2229"/>
      <c r="AJ1002" s="2229"/>
      <c r="AK1002" s="222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2229"/>
      <c r="E1003" s="2229"/>
      <c r="F1003" s="2229"/>
      <c r="G1003" s="2229"/>
      <c r="H1003" s="2229"/>
      <c r="I1003" s="2229"/>
      <c r="J1003" s="2229"/>
      <c r="K1003" s="2229"/>
      <c r="L1003" s="2229"/>
      <c r="M1003" s="2229"/>
      <c r="N1003" s="2229"/>
      <c r="O1003" s="2229"/>
      <c r="P1003" s="2229"/>
      <c r="Q1003" s="2229"/>
      <c r="R1003" s="2229"/>
      <c r="S1003" s="2229"/>
      <c r="T1003" s="2229"/>
      <c r="U1003" s="2229"/>
      <c r="V1003" s="2229"/>
      <c r="W1003" s="2229"/>
      <c r="X1003" s="2229"/>
      <c r="Y1003" s="2229"/>
      <c r="Z1003" s="2229"/>
      <c r="AA1003" s="2229"/>
      <c r="AB1003" s="2229"/>
      <c r="AC1003" s="2229"/>
      <c r="AD1003" s="2229"/>
      <c r="AE1003" s="2229"/>
      <c r="AF1003" s="2229"/>
      <c r="AG1003" s="2229"/>
      <c r="AH1003" s="2229"/>
      <c r="AI1003" s="2229"/>
      <c r="AJ1003" s="2229"/>
      <c r="AK1003" s="222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2229"/>
      <c r="E1004" s="2229"/>
      <c r="F1004" s="2229"/>
      <c r="G1004" s="2229"/>
      <c r="H1004" s="2229"/>
      <c r="I1004" s="2229"/>
      <c r="J1004" s="2229"/>
      <c r="K1004" s="2229"/>
      <c r="L1004" s="2229"/>
      <c r="M1004" s="2229"/>
      <c r="N1004" s="2229"/>
      <c r="O1004" s="2229"/>
      <c r="P1004" s="2229"/>
      <c r="Q1004" s="2229"/>
      <c r="R1004" s="2229"/>
      <c r="S1004" s="2229"/>
      <c r="T1004" s="2229"/>
      <c r="U1004" s="2229"/>
      <c r="V1004" s="2229"/>
      <c r="W1004" s="2229"/>
      <c r="X1004" s="2229"/>
      <c r="Y1004" s="2229"/>
      <c r="Z1004" s="2229"/>
      <c r="AA1004" s="2229"/>
      <c r="AB1004" s="2229"/>
      <c r="AC1004" s="2229"/>
      <c r="AD1004" s="2229"/>
      <c r="AE1004" s="2229"/>
      <c r="AF1004" s="2229"/>
      <c r="AG1004" s="2229"/>
      <c r="AH1004" s="2229"/>
      <c r="AI1004" s="2229"/>
      <c r="AJ1004" s="2229"/>
      <c r="AK1004" s="222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2229"/>
      <c r="E1005" s="2229"/>
      <c r="F1005" s="2229"/>
      <c r="G1005" s="2229"/>
      <c r="H1005" s="2229"/>
      <c r="I1005" s="2229"/>
      <c r="J1005" s="2229"/>
      <c r="K1005" s="2229"/>
      <c r="L1005" s="2229"/>
      <c r="M1005" s="2229"/>
      <c r="N1005" s="2229"/>
      <c r="O1005" s="2229"/>
      <c r="P1005" s="2229"/>
      <c r="Q1005" s="2229"/>
      <c r="R1005" s="2229"/>
      <c r="S1005" s="2229"/>
      <c r="T1005" s="2229"/>
      <c r="U1005" s="2229"/>
      <c r="V1005" s="2229"/>
      <c r="W1005" s="2229"/>
      <c r="X1005" s="2229"/>
      <c r="Y1005" s="2229"/>
      <c r="Z1005" s="2229"/>
      <c r="AA1005" s="2229"/>
      <c r="AB1005" s="2229"/>
      <c r="AC1005" s="2229"/>
      <c r="AD1005" s="2229"/>
      <c r="AE1005" s="2229"/>
      <c r="AF1005" s="2229"/>
      <c r="AG1005" s="2229"/>
      <c r="AH1005" s="2229"/>
      <c r="AI1005" s="2229"/>
      <c r="AJ1005" s="2229"/>
      <c r="AK1005" s="222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2229"/>
      <c r="E1006" s="2229"/>
      <c r="F1006" s="2229"/>
      <c r="G1006" s="2229"/>
      <c r="H1006" s="2229"/>
      <c r="I1006" s="2229"/>
      <c r="J1006" s="2229"/>
      <c r="K1006" s="2229"/>
      <c r="L1006" s="2229"/>
      <c r="M1006" s="2229"/>
      <c r="N1006" s="2229"/>
      <c r="O1006" s="2229"/>
      <c r="P1006" s="2229"/>
      <c r="Q1006" s="2229"/>
      <c r="R1006" s="2229"/>
      <c r="S1006" s="2229"/>
      <c r="T1006" s="2229"/>
      <c r="U1006" s="2229"/>
      <c r="V1006" s="2229"/>
      <c r="W1006" s="2229"/>
      <c r="X1006" s="2229"/>
      <c r="Y1006" s="2229"/>
      <c r="Z1006" s="2229"/>
      <c r="AA1006" s="2229"/>
      <c r="AB1006" s="2229"/>
      <c r="AC1006" s="2229"/>
      <c r="AD1006" s="2229"/>
      <c r="AE1006" s="2229"/>
      <c r="AF1006" s="2229"/>
      <c r="AG1006" s="2229"/>
      <c r="AH1006" s="2229"/>
      <c r="AI1006" s="2229"/>
      <c r="AJ1006" s="2229"/>
      <c r="AK1006" s="222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2343" t="s">
        <v>135</v>
      </c>
      <c r="B1007" s="2343"/>
      <c r="C1007" s="17">
        <v>4</v>
      </c>
      <c r="D1007" s="2229" t="s">
        <v>1746</v>
      </c>
      <c r="E1007" s="2229"/>
      <c r="F1007" s="2229"/>
      <c r="G1007" s="2229"/>
      <c r="H1007" s="2229"/>
      <c r="I1007" s="2229"/>
      <c r="J1007" s="2229"/>
      <c r="K1007" s="2229"/>
      <c r="L1007" s="2229"/>
      <c r="M1007" s="2229"/>
      <c r="N1007" s="2229"/>
      <c r="O1007" s="2229"/>
      <c r="P1007" s="2229"/>
      <c r="Q1007" s="2229"/>
      <c r="R1007" s="2229"/>
      <c r="S1007" s="2229"/>
      <c r="T1007" s="2229"/>
      <c r="U1007" s="2229"/>
      <c r="V1007" s="2229"/>
      <c r="W1007" s="2229"/>
      <c r="X1007" s="2229"/>
      <c r="Y1007" s="2229"/>
      <c r="Z1007" s="2229"/>
      <c r="AA1007" s="2229"/>
      <c r="AB1007" s="2229"/>
      <c r="AC1007" s="2229"/>
      <c r="AD1007" s="2229"/>
      <c r="AE1007" s="2229"/>
      <c r="AF1007" s="2229"/>
      <c r="AG1007" s="2229"/>
      <c r="AH1007" s="2229"/>
      <c r="AI1007" s="2229"/>
      <c r="AJ1007" s="2229"/>
      <c r="AK1007" s="222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2229"/>
      <c r="E1008" s="2229"/>
      <c r="F1008" s="2229"/>
      <c r="G1008" s="2229"/>
      <c r="H1008" s="2229"/>
      <c r="I1008" s="2229"/>
      <c r="J1008" s="2229"/>
      <c r="K1008" s="2229"/>
      <c r="L1008" s="2229"/>
      <c r="M1008" s="2229"/>
      <c r="N1008" s="2229"/>
      <c r="O1008" s="2229"/>
      <c r="P1008" s="2229"/>
      <c r="Q1008" s="2229"/>
      <c r="R1008" s="2229"/>
      <c r="S1008" s="2229"/>
      <c r="T1008" s="2229"/>
      <c r="U1008" s="2229"/>
      <c r="V1008" s="2229"/>
      <c r="W1008" s="2229"/>
      <c r="X1008" s="2229"/>
      <c r="Y1008" s="2229"/>
      <c r="Z1008" s="2229"/>
      <c r="AA1008" s="2229"/>
      <c r="AB1008" s="2229"/>
      <c r="AC1008" s="2229"/>
      <c r="AD1008" s="2229"/>
      <c r="AE1008" s="2229"/>
      <c r="AF1008" s="2229"/>
      <c r="AG1008" s="2229"/>
      <c r="AH1008" s="2229"/>
      <c r="AI1008" s="2229"/>
      <c r="AJ1008" s="2229"/>
      <c r="AK1008" s="222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2229"/>
      <c r="E1009" s="2229"/>
      <c r="F1009" s="2229"/>
      <c r="G1009" s="2229"/>
      <c r="H1009" s="2229"/>
      <c r="I1009" s="2229"/>
      <c r="J1009" s="2229"/>
      <c r="K1009" s="2229"/>
      <c r="L1009" s="2229"/>
      <c r="M1009" s="2229"/>
      <c r="N1009" s="2229"/>
      <c r="O1009" s="2229"/>
      <c r="P1009" s="2229"/>
      <c r="Q1009" s="2229"/>
      <c r="R1009" s="2229"/>
      <c r="S1009" s="2229"/>
      <c r="T1009" s="2229"/>
      <c r="U1009" s="2229"/>
      <c r="V1009" s="2229"/>
      <c r="W1009" s="2229"/>
      <c r="X1009" s="2229"/>
      <c r="Y1009" s="2229"/>
      <c r="Z1009" s="2229"/>
      <c r="AA1009" s="2229"/>
      <c r="AB1009" s="2229"/>
      <c r="AC1009" s="2229"/>
      <c r="AD1009" s="2229"/>
      <c r="AE1009" s="2229"/>
      <c r="AF1009" s="2229"/>
      <c r="AG1009" s="2229"/>
      <c r="AH1009" s="2229"/>
      <c r="AI1009" s="2229"/>
      <c r="AJ1009" s="2229"/>
      <c r="AK1009" s="222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2343" t="s">
        <v>135</v>
      </c>
      <c r="B1010" s="2343"/>
      <c r="C1010" s="17">
        <v>5</v>
      </c>
      <c r="D1010" s="2228" t="s">
        <v>1993</v>
      </c>
      <c r="E1010" s="2229"/>
      <c r="F1010" s="2229"/>
      <c r="G1010" s="2229"/>
      <c r="H1010" s="2229"/>
      <c r="I1010" s="2229"/>
      <c r="J1010" s="2229"/>
      <c r="K1010" s="2229"/>
      <c r="L1010" s="2229"/>
      <c r="M1010" s="2229"/>
      <c r="N1010" s="2229"/>
      <c r="O1010" s="2229"/>
      <c r="P1010" s="2229"/>
      <c r="Q1010" s="2229"/>
      <c r="R1010" s="2229"/>
      <c r="S1010" s="2229"/>
      <c r="T1010" s="2229"/>
      <c r="U1010" s="2229"/>
      <c r="V1010" s="2229"/>
      <c r="W1010" s="2229"/>
      <c r="X1010" s="2229"/>
      <c r="Y1010" s="2229"/>
      <c r="Z1010" s="2229"/>
      <c r="AA1010" s="2229"/>
      <c r="AB1010" s="2229"/>
      <c r="AC1010" s="2229"/>
      <c r="AD1010" s="2229"/>
      <c r="AE1010" s="2229"/>
      <c r="AF1010" s="2229"/>
      <c r="AG1010" s="2229"/>
      <c r="AH1010" s="2229"/>
      <c r="AI1010" s="2229"/>
      <c r="AJ1010" s="2229"/>
      <c r="AK1010" s="222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2229"/>
      <c r="E1011" s="2229"/>
      <c r="F1011" s="2229"/>
      <c r="G1011" s="2229"/>
      <c r="H1011" s="2229"/>
      <c r="I1011" s="2229"/>
      <c r="J1011" s="2229"/>
      <c r="K1011" s="2229"/>
      <c r="L1011" s="2229"/>
      <c r="M1011" s="2229"/>
      <c r="N1011" s="2229"/>
      <c r="O1011" s="2229"/>
      <c r="P1011" s="2229"/>
      <c r="Q1011" s="2229"/>
      <c r="R1011" s="2229"/>
      <c r="S1011" s="2229"/>
      <c r="T1011" s="2229"/>
      <c r="U1011" s="2229"/>
      <c r="V1011" s="2229"/>
      <c r="W1011" s="2229"/>
      <c r="X1011" s="2229"/>
      <c r="Y1011" s="2229"/>
      <c r="Z1011" s="2229"/>
      <c r="AA1011" s="2229"/>
      <c r="AB1011" s="2229"/>
      <c r="AC1011" s="2229"/>
      <c r="AD1011" s="2229"/>
      <c r="AE1011" s="2229"/>
      <c r="AF1011" s="2229"/>
      <c r="AG1011" s="2229"/>
      <c r="AH1011" s="2229"/>
      <c r="AI1011" s="2229"/>
      <c r="AJ1011" s="2229"/>
      <c r="AK1011" s="222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2229"/>
      <c r="E1012" s="2229"/>
      <c r="F1012" s="2229"/>
      <c r="G1012" s="2229"/>
      <c r="H1012" s="2229"/>
      <c r="I1012" s="2229"/>
      <c r="J1012" s="2229"/>
      <c r="K1012" s="2229"/>
      <c r="L1012" s="2229"/>
      <c r="M1012" s="2229"/>
      <c r="N1012" s="2229"/>
      <c r="O1012" s="2229"/>
      <c r="P1012" s="2229"/>
      <c r="Q1012" s="2229"/>
      <c r="R1012" s="2229"/>
      <c r="S1012" s="2229"/>
      <c r="T1012" s="2229"/>
      <c r="U1012" s="2229"/>
      <c r="V1012" s="2229"/>
      <c r="W1012" s="2229"/>
      <c r="X1012" s="2229"/>
      <c r="Y1012" s="2229"/>
      <c r="Z1012" s="2229"/>
      <c r="AA1012" s="2229"/>
      <c r="AB1012" s="2229"/>
      <c r="AC1012" s="2229"/>
      <c r="AD1012" s="2229"/>
      <c r="AE1012" s="2229"/>
      <c r="AF1012" s="2229"/>
      <c r="AG1012" s="2229"/>
      <c r="AH1012" s="2229"/>
      <c r="AI1012" s="2229"/>
      <c r="AJ1012" s="2229"/>
      <c r="AK1012" s="222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2229"/>
      <c r="E1013" s="2229"/>
      <c r="F1013" s="2229"/>
      <c r="G1013" s="2229"/>
      <c r="H1013" s="2229"/>
      <c r="I1013" s="2229"/>
      <c r="J1013" s="2229"/>
      <c r="K1013" s="2229"/>
      <c r="L1013" s="2229"/>
      <c r="M1013" s="2229"/>
      <c r="N1013" s="2229"/>
      <c r="O1013" s="2229"/>
      <c r="P1013" s="2229"/>
      <c r="Q1013" s="2229"/>
      <c r="R1013" s="2229"/>
      <c r="S1013" s="2229"/>
      <c r="T1013" s="2229"/>
      <c r="U1013" s="2229"/>
      <c r="V1013" s="2229"/>
      <c r="W1013" s="2229"/>
      <c r="X1013" s="2229"/>
      <c r="Y1013" s="2229"/>
      <c r="Z1013" s="2229"/>
      <c r="AA1013" s="2229"/>
      <c r="AB1013" s="2229"/>
      <c r="AC1013" s="2229"/>
      <c r="AD1013" s="2229"/>
      <c r="AE1013" s="2229"/>
      <c r="AF1013" s="2229"/>
      <c r="AG1013" s="2229"/>
      <c r="AH1013" s="2229"/>
      <c r="AI1013" s="2229"/>
      <c r="AJ1013" s="2229"/>
      <c r="AK1013" s="222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2229"/>
      <c r="E1014" s="2229"/>
      <c r="F1014" s="2229"/>
      <c r="G1014" s="2229"/>
      <c r="H1014" s="2229"/>
      <c r="I1014" s="2229"/>
      <c r="J1014" s="2229"/>
      <c r="K1014" s="2229"/>
      <c r="L1014" s="2229"/>
      <c r="M1014" s="2229"/>
      <c r="N1014" s="2229"/>
      <c r="O1014" s="2229"/>
      <c r="P1014" s="2229"/>
      <c r="Q1014" s="2229"/>
      <c r="R1014" s="2229"/>
      <c r="S1014" s="2229"/>
      <c r="T1014" s="2229"/>
      <c r="U1014" s="2229"/>
      <c r="V1014" s="2229"/>
      <c r="W1014" s="2229"/>
      <c r="X1014" s="2229"/>
      <c r="Y1014" s="2229"/>
      <c r="Z1014" s="2229"/>
      <c r="AA1014" s="2229"/>
      <c r="AB1014" s="2229"/>
      <c r="AC1014" s="2229"/>
      <c r="AD1014" s="2229"/>
      <c r="AE1014" s="2229"/>
      <c r="AF1014" s="2229"/>
      <c r="AG1014" s="2229"/>
      <c r="AH1014" s="2229"/>
      <c r="AI1014" s="2229"/>
      <c r="AJ1014" s="2229"/>
      <c r="AK1014" s="222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2343" t="s">
        <v>135</v>
      </c>
      <c r="B1015" s="2343"/>
      <c r="C1015" s="17">
        <v>6</v>
      </c>
      <c r="D1015" s="2229" t="s">
        <v>1747</v>
      </c>
      <c r="E1015" s="2229"/>
      <c r="F1015" s="2229"/>
      <c r="G1015" s="2229"/>
      <c r="H1015" s="2229"/>
      <c r="I1015" s="2229"/>
      <c r="J1015" s="2229"/>
      <c r="K1015" s="2229"/>
      <c r="L1015" s="2229"/>
      <c r="M1015" s="2229"/>
      <c r="N1015" s="2229"/>
      <c r="O1015" s="2229"/>
      <c r="P1015" s="2229"/>
      <c r="Q1015" s="2229"/>
      <c r="R1015" s="2229"/>
      <c r="S1015" s="2229"/>
      <c r="T1015" s="2229"/>
      <c r="U1015" s="2229"/>
      <c r="V1015" s="2229"/>
      <c r="W1015" s="2229"/>
      <c r="X1015" s="2229"/>
      <c r="Y1015" s="2229"/>
      <c r="Z1015" s="2229"/>
      <c r="AA1015" s="2229"/>
      <c r="AB1015" s="2229"/>
      <c r="AC1015" s="2229"/>
      <c r="AD1015" s="2229"/>
      <c r="AE1015" s="2229"/>
      <c r="AF1015" s="2229"/>
      <c r="AG1015" s="2229"/>
      <c r="AH1015" s="2229"/>
      <c r="AI1015" s="2229"/>
      <c r="AJ1015" s="2229"/>
      <c r="AK1015" s="222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2229"/>
      <c r="E1016" s="2229"/>
      <c r="F1016" s="2229"/>
      <c r="G1016" s="2229"/>
      <c r="H1016" s="2229"/>
      <c r="I1016" s="2229"/>
      <c r="J1016" s="2229"/>
      <c r="K1016" s="2229"/>
      <c r="L1016" s="2229"/>
      <c r="M1016" s="2229"/>
      <c r="N1016" s="2229"/>
      <c r="O1016" s="2229"/>
      <c r="P1016" s="2229"/>
      <c r="Q1016" s="2229"/>
      <c r="R1016" s="2229"/>
      <c r="S1016" s="2229"/>
      <c r="T1016" s="2229"/>
      <c r="U1016" s="2229"/>
      <c r="V1016" s="2229"/>
      <c r="W1016" s="2229"/>
      <c r="X1016" s="2229"/>
      <c r="Y1016" s="2229"/>
      <c r="Z1016" s="2229"/>
      <c r="AA1016" s="2229"/>
      <c r="AB1016" s="2229"/>
      <c r="AC1016" s="2229"/>
      <c r="AD1016" s="2229"/>
      <c r="AE1016" s="2229"/>
      <c r="AF1016" s="2229"/>
      <c r="AG1016" s="2229"/>
      <c r="AH1016" s="2229"/>
      <c r="AI1016" s="2229"/>
      <c r="AJ1016" s="2229"/>
      <c r="AK1016" s="222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2229"/>
      <c r="E1017" s="2229"/>
      <c r="F1017" s="2229"/>
      <c r="G1017" s="2229"/>
      <c r="H1017" s="2229"/>
      <c r="I1017" s="2229"/>
      <c r="J1017" s="2229"/>
      <c r="K1017" s="2229"/>
      <c r="L1017" s="2229"/>
      <c r="M1017" s="2229"/>
      <c r="N1017" s="2229"/>
      <c r="O1017" s="2229"/>
      <c r="P1017" s="2229"/>
      <c r="Q1017" s="2229"/>
      <c r="R1017" s="2229"/>
      <c r="S1017" s="2229"/>
      <c r="T1017" s="2229"/>
      <c r="U1017" s="2229"/>
      <c r="V1017" s="2229"/>
      <c r="W1017" s="2229"/>
      <c r="X1017" s="2229"/>
      <c r="Y1017" s="2229"/>
      <c r="Z1017" s="2229"/>
      <c r="AA1017" s="2229"/>
      <c r="AB1017" s="2229"/>
      <c r="AC1017" s="2229"/>
      <c r="AD1017" s="2229"/>
      <c r="AE1017" s="2229"/>
      <c r="AF1017" s="2229"/>
      <c r="AG1017" s="2229"/>
      <c r="AH1017" s="2229"/>
      <c r="AI1017" s="2229"/>
      <c r="AJ1017" s="2229"/>
      <c r="AK1017" s="222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2343" t="s">
        <v>135</v>
      </c>
      <c r="B1018" s="2343"/>
      <c r="C1018" s="585">
        <v>7</v>
      </c>
      <c r="D1018" s="2229" t="s">
        <v>1749</v>
      </c>
      <c r="E1018" s="2229"/>
      <c r="F1018" s="2229"/>
      <c r="G1018" s="2229"/>
      <c r="H1018" s="2229"/>
      <c r="I1018" s="2229"/>
      <c r="J1018" s="2229"/>
      <c r="K1018" s="2229"/>
      <c r="L1018" s="2229"/>
      <c r="M1018" s="2229"/>
      <c r="N1018" s="2229"/>
      <c r="O1018" s="2229"/>
      <c r="P1018" s="2229"/>
      <c r="Q1018" s="2229"/>
      <c r="R1018" s="2229"/>
      <c r="S1018" s="2229"/>
      <c r="T1018" s="2229"/>
      <c r="U1018" s="2229"/>
      <c r="V1018" s="2229"/>
      <c r="W1018" s="2229"/>
      <c r="X1018" s="2229"/>
      <c r="Y1018" s="2229"/>
      <c r="Z1018" s="2229"/>
      <c r="AA1018" s="2229"/>
      <c r="AB1018" s="2229"/>
      <c r="AC1018" s="2229"/>
      <c r="AD1018" s="2229"/>
      <c r="AE1018" s="2229"/>
      <c r="AF1018" s="2229"/>
      <c r="AG1018" s="2229"/>
      <c r="AH1018" s="2229"/>
      <c r="AI1018" s="2229"/>
      <c r="AJ1018" s="2229"/>
      <c r="AK1018" s="222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2229"/>
      <c r="E1019" s="2229"/>
      <c r="F1019" s="2229"/>
      <c r="G1019" s="2229"/>
      <c r="H1019" s="2229"/>
      <c r="I1019" s="2229"/>
      <c r="J1019" s="2229"/>
      <c r="K1019" s="2229"/>
      <c r="L1019" s="2229"/>
      <c r="M1019" s="2229"/>
      <c r="N1019" s="2229"/>
      <c r="O1019" s="2229"/>
      <c r="P1019" s="2229"/>
      <c r="Q1019" s="2229"/>
      <c r="R1019" s="2229"/>
      <c r="S1019" s="2229"/>
      <c r="T1019" s="2229"/>
      <c r="U1019" s="2229"/>
      <c r="V1019" s="2229"/>
      <c r="W1019" s="2229"/>
      <c r="X1019" s="2229"/>
      <c r="Y1019" s="2229"/>
      <c r="Z1019" s="2229"/>
      <c r="AA1019" s="2229"/>
      <c r="AB1019" s="2229"/>
      <c r="AC1019" s="2229"/>
      <c r="AD1019" s="2229"/>
      <c r="AE1019" s="2229"/>
      <c r="AF1019" s="2229"/>
      <c r="AG1019" s="2229"/>
      <c r="AH1019" s="2229"/>
      <c r="AI1019" s="2229"/>
      <c r="AJ1019" s="2229"/>
      <c r="AK1019" s="222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2229"/>
      <c r="E1020" s="2229"/>
      <c r="F1020" s="2229"/>
      <c r="G1020" s="2229"/>
      <c r="H1020" s="2229"/>
      <c r="I1020" s="2229"/>
      <c r="J1020" s="2229"/>
      <c r="K1020" s="2229"/>
      <c r="L1020" s="2229"/>
      <c r="M1020" s="2229"/>
      <c r="N1020" s="2229"/>
      <c r="O1020" s="2229"/>
      <c r="P1020" s="2229"/>
      <c r="Q1020" s="2229"/>
      <c r="R1020" s="2229"/>
      <c r="S1020" s="2229"/>
      <c r="T1020" s="2229"/>
      <c r="U1020" s="2229"/>
      <c r="V1020" s="2229"/>
      <c r="W1020" s="2229"/>
      <c r="X1020" s="2229"/>
      <c r="Y1020" s="2229"/>
      <c r="Z1020" s="2229"/>
      <c r="AA1020" s="2229"/>
      <c r="AB1020" s="2229"/>
      <c r="AC1020" s="2229"/>
      <c r="AD1020" s="2229"/>
      <c r="AE1020" s="2229"/>
      <c r="AF1020" s="2229"/>
      <c r="AG1020" s="2229"/>
      <c r="AH1020" s="2229"/>
      <c r="AI1020" s="2229"/>
      <c r="AJ1020" s="2229"/>
      <c r="AK1020" s="222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2229"/>
      <c r="E1021" s="2229"/>
      <c r="F1021" s="2229"/>
      <c r="G1021" s="2229"/>
      <c r="H1021" s="2229"/>
      <c r="I1021" s="2229"/>
      <c r="J1021" s="2229"/>
      <c r="K1021" s="2229"/>
      <c r="L1021" s="2229"/>
      <c r="M1021" s="2229"/>
      <c r="N1021" s="2229"/>
      <c r="O1021" s="2229"/>
      <c r="P1021" s="2229"/>
      <c r="Q1021" s="2229"/>
      <c r="R1021" s="2229"/>
      <c r="S1021" s="2229"/>
      <c r="T1021" s="2229"/>
      <c r="U1021" s="2229"/>
      <c r="V1021" s="2229"/>
      <c r="W1021" s="2229"/>
      <c r="X1021" s="2229"/>
      <c r="Y1021" s="2229"/>
      <c r="Z1021" s="2229"/>
      <c r="AA1021" s="2229"/>
      <c r="AB1021" s="2229"/>
      <c r="AC1021" s="2229"/>
      <c r="AD1021" s="2229"/>
      <c r="AE1021" s="2229"/>
      <c r="AF1021" s="2229"/>
      <c r="AG1021" s="2229"/>
      <c r="AH1021" s="2229"/>
      <c r="AI1021" s="2229"/>
      <c r="AJ1021" s="2229"/>
      <c r="AK1021" s="222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2343" t="s">
        <v>135</v>
      </c>
      <c r="B1022" s="2343"/>
      <c r="C1022" s="585">
        <v>8</v>
      </c>
      <c r="D1022" s="2228" t="s">
        <v>2041</v>
      </c>
      <c r="E1022" s="2229"/>
      <c r="F1022" s="2229"/>
      <c r="G1022" s="2229"/>
      <c r="H1022" s="2229"/>
      <c r="I1022" s="2229"/>
      <c r="J1022" s="2229"/>
      <c r="K1022" s="2229"/>
      <c r="L1022" s="2229"/>
      <c r="M1022" s="2229"/>
      <c r="N1022" s="2229"/>
      <c r="O1022" s="2229"/>
      <c r="P1022" s="2229"/>
      <c r="Q1022" s="2229"/>
      <c r="R1022" s="2229"/>
      <c r="S1022" s="2229"/>
      <c r="T1022" s="2229"/>
      <c r="U1022" s="2229"/>
      <c r="V1022" s="2229"/>
      <c r="W1022" s="2229"/>
      <c r="X1022" s="2229"/>
      <c r="Y1022" s="2229"/>
      <c r="Z1022" s="2229"/>
      <c r="AA1022" s="2229"/>
      <c r="AB1022" s="2229"/>
      <c r="AC1022" s="2229"/>
      <c r="AD1022" s="2229"/>
      <c r="AE1022" s="2229"/>
      <c r="AF1022" s="2229"/>
      <c r="AG1022" s="2229"/>
      <c r="AH1022" s="2229"/>
      <c r="AI1022" s="2229"/>
      <c r="AJ1022" s="2229"/>
      <c r="AK1022" s="222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2229"/>
      <c r="E1023" s="2229"/>
      <c r="F1023" s="2229"/>
      <c r="G1023" s="2229"/>
      <c r="H1023" s="2229"/>
      <c r="I1023" s="2229"/>
      <c r="J1023" s="2229"/>
      <c r="K1023" s="2229"/>
      <c r="L1023" s="2229"/>
      <c r="M1023" s="2229"/>
      <c r="N1023" s="2229"/>
      <c r="O1023" s="2229"/>
      <c r="P1023" s="2229"/>
      <c r="Q1023" s="2229"/>
      <c r="R1023" s="2229"/>
      <c r="S1023" s="2229"/>
      <c r="T1023" s="2229"/>
      <c r="U1023" s="2229"/>
      <c r="V1023" s="2229"/>
      <c r="W1023" s="2229"/>
      <c r="X1023" s="2229"/>
      <c r="Y1023" s="2229"/>
      <c r="Z1023" s="2229"/>
      <c r="AA1023" s="2229"/>
      <c r="AB1023" s="2229"/>
      <c r="AC1023" s="2229"/>
      <c r="AD1023" s="2229"/>
      <c r="AE1023" s="2229"/>
      <c r="AF1023" s="2229"/>
      <c r="AG1023" s="2229"/>
      <c r="AH1023" s="2229"/>
      <c r="AI1023" s="2229"/>
      <c r="AJ1023" s="2229"/>
      <c r="AK1023" s="222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2229"/>
      <c r="E1024" s="2229"/>
      <c r="F1024" s="2229"/>
      <c r="G1024" s="2229"/>
      <c r="H1024" s="2229"/>
      <c r="I1024" s="2229"/>
      <c r="J1024" s="2229"/>
      <c r="K1024" s="2229"/>
      <c r="L1024" s="2229"/>
      <c r="M1024" s="2229"/>
      <c r="N1024" s="2229"/>
      <c r="O1024" s="2229"/>
      <c r="P1024" s="2229"/>
      <c r="Q1024" s="2229"/>
      <c r="R1024" s="2229"/>
      <c r="S1024" s="2229"/>
      <c r="T1024" s="2229"/>
      <c r="U1024" s="2229"/>
      <c r="V1024" s="2229"/>
      <c r="W1024" s="2229"/>
      <c r="X1024" s="2229"/>
      <c r="Y1024" s="2229"/>
      <c r="Z1024" s="2229"/>
      <c r="AA1024" s="2229"/>
      <c r="AB1024" s="2229"/>
      <c r="AC1024" s="2229"/>
      <c r="AD1024" s="2229"/>
      <c r="AE1024" s="2229"/>
      <c r="AF1024" s="2229"/>
      <c r="AG1024" s="2229"/>
      <c r="AH1024" s="2229"/>
      <c r="AI1024" s="2229"/>
      <c r="AJ1024" s="2229"/>
      <c r="AK1024" s="222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2229"/>
      <c r="E1025" s="2229"/>
      <c r="F1025" s="2229"/>
      <c r="G1025" s="2229"/>
      <c r="H1025" s="2229"/>
      <c r="I1025" s="2229"/>
      <c r="J1025" s="2229"/>
      <c r="K1025" s="2229"/>
      <c r="L1025" s="2229"/>
      <c r="M1025" s="2229"/>
      <c r="N1025" s="2229"/>
      <c r="O1025" s="2229"/>
      <c r="P1025" s="2229"/>
      <c r="Q1025" s="2229"/>
      <c r="R1025" s="2229"/>
      <c r="S1025" s="2229"/>
      <c r="T1025" s="2229"/>
      <c r="U1025" s="2229"/>
      <c r="V1025" s="2229"/>
      <c r="W1025" s="2229"/>
      <c r="X1025" s="2229"/>
      <c r="Y1025" s="2229"/>
      <c r="Z1025" s="2229"/>
      <c r="AA1025" s="2229"/>
      <c r="AB1025" s="2229"/>
      <c r="AC1025" s="2229"/>
      <c r="AD1025" s="2229"/>
      <c r="AE1025" s="2229"/>
      <c r="AF1025" s="2229"/>
      <c r="AG1025" s="2229"/>
      <c r="AH1025" s="2229"/>
      <c r="AI1025" s="2229"/>
      <c r="AJ1025" s="2229"/>
      <c r="AK1025" s="2229"/>
      <c r="AL1025" s="16"/>
    </row>
    <row r="1026" spans="1:38" ht="12.75" customHeight="1">
      <c r="A1026" s="2343" t="s">
        <v>135</v>
      </c>
      <c r="B1026" s="2343"/>
      <c r="C1026" s="585">
        <v>9</v>
      </c>
      <c r="D1026" s="2229" t="s">
        <v>1748</v>
      </c>
      <c r="E1026" s="2229"/>
      <c r="F1026" s="2229"/>
      <c r="G1026" s="2229"/>
      <c r="H1026" s="2229"/>
      <c r="I1026" s="2229"/>
      <c r="J1026" s="2229"/>
      <c r="K1026" s="2229"/>
      <c r="L1026" s="2229"/>
      <c r="M1026" s="2229"/>
      <c r="N1026" s="2229"/>
      <c r="O1026" s="2229"/>
      <c r="P1026" s="2229"/>
      <c r="Q1026" s="2229"/>
      <c r="R1026" s="2229"/>
      <c r="S1026" s="2229"/>
      <c r="T1026" s="2229"/>
      <c r="U1026" s="2229"/>
      <c r="V1026" s="2229"/>
      <c r="W1026" s="2229"/>
      <c r="X1026" s="2229"/>
      <c r="Y1026" s="2229"/>
      <c r="Z1026" s="2229"/>
      <c r="AA1026" s="2229"/>
      <c r="AB1026" s="2229"/>
      <c r="AC1026" s="2229"/>
      <c r="AD1026" s="2229"/>
      <c r="AE1026" s="2229"/>
      <c r="AF1026" s="2229"/>
      <c r="AG1026" s="2229"/>
      <c r="AH1026" s="2229"/>
      <c r="AI1026" s="2229"/>
      <c r="AJ1026" s="2229"/>
      <c r="AK1026" s="2229"/>
    </row>
    <row r="1027" spans="1:38" ht="12.75" customHeight="1">
      <c r="A1027" s="76"/>
      <c r="B1027" s="80"/>
      <c r="C1027" s="585"/>
      <c r="D1027" s="2229"/>
      <c r="E1027" s="2229"/>
      <c r="F1027" s="2229"/>
      <c r="G1027" s="2229"/>
      <c r="H1027" s="2229"/>
      <c r="I1027" s="2229"/>
      <c r="J1027" s="2229"/>
      <c r="K1027" s="2229"/>
      <c r="L1027" s="2229"/>
      <c r="M1027" s="2229"/>
      <c r="N1027" s="2229"/>
      <c r="O1027" s="2229"/>
      <c r="P1027" s="2229"/>
      <c r="Q1027" s="2229"/>
      <c r="R1027" s="2229"/>
      <c r="S1027" s="2229"/>
      <c r="T1027" s="2229"/>
      <c r="U1027" s="2229"/>
      <c r="V1027" s="2229"/>
      <c r="W1027" s="2229"/>
      <c r="X1027" s="2229"/>
      <c r="Y1027" s="2229"/>
      <c r="Z1027" s="2229"/>
      <c r="AA1027" s="2229"/>
      <c r="AB1027" s="2229"/>
      <c r="AC1027" s="2229"/>
      <c r="AD1027" s="2229"/>
      <c r="AE1027" s="2229"/>
      <c r="AF1027" s="2229"/>
      <c r="AG1027" s="2229"/>
      <c r="AH1027" s="2229"/>
      <c r="AI1027" s="2229"/>
      <c r="AJ1027" s="2229"/>
      <c r="AK1027" s="2229"/>
    </row>
    <row r="1028" spans="1:38" ht="12.75" customHeight="1">
      <c r="D1028" s="2229"/>
      <c r="E1028" s="2229"/>
      <c r="F1028" s="2229"/>
      <c r="G1028" s="2229"/>
      <c r="H1028" s="2229"/>
      <c r="I1028" s="2229"/>
      <c r="J1028" s="2229"/>
      <c r="K1028" s="2229"/>
      <c r="L1028" s="2229"/>
      <c r="M1028" s="2229"/>
      <c r="N1028" s="2229"/>
      <c r="O1028" s="2229"/>
      <c r="P1028" s="2229"/>
      <c r="Q1028" s="2229"/>
      <c r="R1028" s="2229"/>
      <c r="S1028" s="2229"/>
      <c r="T1028" s="2229"/>
      <c r="U1028" s="2229"/>
      <c r="V1028" s="2229"/>
      <c r="W1028" s="2229"/>
      <c r="X1028" s="2229"/>
      <c r="Y1028" s="2229"/>
      <c r="Z1028" s="2229"/>
      <c r="AA1028" s="2229"/>
      <c r="AB1028" s="2229"/>
      <c r="AC1028" s="2229"/>
      <c r="AD1028" s="2229"/>
      <c r="AE1028" s="2229"/>
      <c r="AF1028" s="2229"/>
      <c r="AG1028" s="2229"/>
      <c r="AH1028" s="2229"/>
      <c r="AI1028" s="2229"/>
      <c r="AJ1028" s="2229"/>
      <c r="AK1028" s="222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topLeftCell="A115" workbookViewId="0"/>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799" t="s">
        <v>201</v>
      </c>
      <c r="G1" s="2800"/>
      <c r="H1" s="2800"/>
      <c r="I1" s="2800"/>
      <c r="J1" s="2800"/>
      <c r="K1" s="2800"/>
      <c r="L1" s="2800"/>
      <c r="M1" s="2800"/>
      <c r="N1" s="2800"/>
      <c r="O1" s="2800"/>
      <c r="P1" s="2800"/>
      <c r="Q1" s="2800"/>
      <c r="R1" s="2801"/>
      <c r="S1" s="328"/>
      <c r="T1" s="327"/>
      <c r="U1" s="329"/>
    </row>
    <row r="2" spans="1:21" s="380" customFormat="1" ht="60" customHeight="1">
      <c r="A2" s="379"/>
      <c r="B2" s="380" t="s">
        <v>883</v>
      </c>
      <c r="C2" s="380" t="s">
        <v>571</v>
      </c>
      <c r="D2" s="450" t="s">
        <v>570</v>
      </c>
      <c r="E2" s="380" t="s">
        <v>884</v>
      </c>
      <c r="F2" s="381" t="str">
        <f>Application!B617&amp;Application!C617</f>
        <v>1)Housing &amp; Healthcare Finance, LLC</v>
      </c>
      <c r="G2" s="381" t="str">
        <f>Application!B618&amp;Application!C618</f>
        <v>2)Global Premier Development, Inc.</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6360000</v>
      </c>
      <c r="C4" s="389">
        <f>Application!Q386</f>
        <v>6360000</v>
      </c>
      <c r="D4" s="389"/>
      <c r="E4" s="389">
        <f>B4-SUM(F4:Q4)</f>
        <v>0</v>
      </c>
      <c r="F4" s="389">
        <f>B4</f>
        <v>6360000</v>
      </c>
      <c r="G4" s="389"/>
      <c r="H4" s="389"/>
      <c r="I4" s="389"/>
      <c r="J4" s="389"/>
      <c r="K4" s="389"/>
      <c r="L4" s="389"/>
      <c r="M4" s="389"/>
      <c r="N4" s="389"/>
      <c r="O4" s="389"/>
      <c r="P4" s="389"/>
      <c r="Q4" s="389"/>
      <c r="R4" s="389">
        <f>SUM(E4:Q4)</f>
        <v>6360000</v>
      </c>
      <c r="S4" s="390"/>
      <c r="T4" s="390"/>
      <c r="U4" s="385"/>
    </row>
    <row r="5" spans="1:21" s="386" customFormat="1" ht="13.5">
      <c r="A5" s="499" t="s">
        <v>74</v>
      </c>
      <c r="B5" s="388">
        <f>SUM(C5+D5)</f>
        <v>280000</v>
      </c>
      <c r="C5" s="389">
        <v>280000</v>
      </c>
      <c r="D5" s="389"/>
      <c r="E5" s="389">
        <f t="shared" ref="E5:E7" si="0">B5-SUM(F5:Q5)</f>
        <v>280000</v>
      </c>
      <c r="F5" s="389"/>
      <c r="G5" s="389"/>
      <c r="H5" s="389"/>
      <c r="I5" s="389"/>
      <c r="J5" s="389"/>
      <c r="K5" s="389"/>
      <c r="L5" s="389"/>
      <c r="M5" s="389"/>
      <c r="N5" s="389"/>
      <c r="O5" s="389"/>
      <c r="P5" s="389"/>
      <c r="Q5" s="389"/>
      <c r="R5" s="389">
        <f>SUM(E5:Q5)</f>
        <v>280000</v>
      </c>
      <c r="S5" s="390"/>
      <c r="T5" s="390"/>
      <c r="U5" s="385"/>
    </row>
    <row r="6" spans="1:21" s="386" customFormat="1">
      <c r="A6" s="387" t="s">
        <v>386</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6640000</v>
      </c>
      <c r="C8" s="388">
        <f t="shared" ref="C8:R8" si="1">SUM(C4:C7)</f>
        <v>6640000</v>
      </c>
      <c r="D8" s="388">
        <f t="shared" si="1"/>
        <v>0</v>
      </c>
      <c r="E8" s="388">
        <f t="shared" si="1"/>
        <v>280000</v>
      </c>
      <c r="F8" s="388">
        <f t="shared" si="1"/>
        <v>6360000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6640000</v>
      </c>
      <c r="S8" s="390"/>
      <c r="T8" s="390"/>
      <c r="U8" s="385"/>
    </row>
    <row r="9" spans="1:21" s="386" customFormat="1">
      <c r="A9" s="387" t="s">
        <v>1991</v>
      </c>
      <c r="B9" s="388">
        <f>SUM(C9+D9)</f>
        <v>0</v>
      </c>
      <c r="C9" s="389"/>
      <c r="D9" s="389"/>
      <c r="E9" s="389">
        <f t="shared" ref="E9:E10" si="2">B9-SUM(F9:Q9)</f>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f t="shared" si="2"/>
        <v>0</v>
      </c>
      <c r="F10" s="389"/>
      <c r="G10" s="389"/>
      <c r="H10" s="389"/>
      <c r="I10" s="389"/>
      <c r="J10" s="389"/>
      <c r="K10" s="389"/>
      <c r="L10" s="389"/>
      <c r="M10" s="389"/>
      <c r="N10" s="389"/>
      <c r="O10" s="389"/>
      <c r="P10" s="389"/>
      <c r="Q10" s="389"/>
      <c r="R10" s="389">
        <f>SUM(E10:Q10)</f>
        <v>0</v>
      </c>
      <c r="S10" s="389">
        <f>C10</f>
        <v>0</v>
      </c>
      <c r="T10" s="389"/>
      <c r="U10" s="385"/>
    </row>
    <row r="11" spans="1:21" s="386" customFormat="1">
      <c r="A11" s="391" t="s">
        <v>653</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785</v>
      </c>
      <c r="B12" s="388">
        <f t="shared" ref="B12:R12" si="4">SUM(B8+B11)</f>
        <v>6640000</v>
      </c>
      <c r="C12" s="388">
        <f t="shared" si="4"/>
        <v>6640000</v>
      </c>
      <c r="D12" s="388">
        <f t="shared" si="4"/>
        <v>0</v>
      </c>
      <c r="E12" s="388">
        <f t="shared" si="4"/>
        <v>280000</v>
      </c>
      <c r="F12" s="388">
        <f t="shared" si="4"/>
        <v>6360000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6640000</v>
      </c>
      <c r="S12" s="390"/>
      <c r="T12" s="390"/>
      <c r="U12" s="385"/>
    </row>
    <row r="13" spans="1:21" s="386" customFormat="1">
      <c r="A13" s="755" t="s">
        <v>1253</v>
      </c>
      <c r="B13" s="388">
        <f>SUM(C13+D13)</f>
        <v>0</v>
      </c>
      <c r="C13" s="389"/>
      <c r="D13" s="389"/>
      <c r="E13" s="389">
        <f t="shared" ref="E13:E15" si="5">B13-SUM(F13:Q13)</f>
        <v>0</v>
      </c>
      <c r="F13" s="389"/>
      <c r="G13" s="389"/>
      <c r="H13" s="389"/>
      <c r="I13" s="389"/>
      <c r="J13" s="389"/>
      <c r="K13" s="389"/>
      <c r="L13" s="389"/>
      <c r="M13" s="389"/>
      <c r="N13" s="389"/>
      <c r="O13" s="389"/>
      <c r="P13" s="389"/>
      <c r="Q13" s="389"/>
      <c r="R13" s="389">
        <f>SUM(E13:Q13)</f>
        <v>0</v>
      </c>
      <c r="S13" s="389">
        <f t="shared" ref="S13:S14" si="6">C13</f>
        <v>0</v>
      </c>
      <c r="T13" s="389"/>
      <c r="U13" s="385"/>
    </row>
    <row r="14" spans="1:21" s="386" customFormat="1" ht="24">
      <c r="A14" s="756" t="s">
        <v>1290</v>
      </c>
      <c r="B14" s="388">
        <f>SUM(C14+D14)</f>
        <v>0</v>
      </c>
      <c r="C14" s="389"/>
      <c r="D14" s="389"/>
      <c r="E14" s="389">
        <f t="shared" si="5"/>
        <v>0</v>
      </c>
      <c r="F14" s="389"/>
      <c r="G14" s="389"/>
      <c r="H14" s="389"/>
      <c r="I14" s="389"/>
      <c r="J14" s="389"/>
      <c r="K14" s="389"/>
      <c r="L14" s="389"/>
      <c r="M14" s="389"/>
      <c r="N14" s="389"/>
      <c r="O14" s="389"/>
      <c r="P14" s="389"/>
      <c r="Q14" s="389"/>
      <c r="R14" s="389">
        <f>SUM(E14:Q14)</f>
        <v>0</v>
      </c>
      <c r="S14" s="389">
        <f t="shared" si="6"/>
        <v>0</v>
      </c>
      <c r="T14" s="389"/>
      <c r="U14" s="385"/>
    </row>
    <row r="15" spans="1:21" s="386" customFormat="1">
      <c r="A15" s="756" t="s">
        <v>1944</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7">SUM(C17:D17)</f>
        <v>0</v>
      </c>
      <c r="C17" s="389"/>
      <c r="D17" s="389"/>
      <c r="E17" s="389">
        <f t="shared" ref="E17:E24" si="8">B17-SUM(F17:Q17)</f>
        <v>0</v>
      </c>
      <c r="F17" s="389"/>
      <c r="G17" s="389"/>
      <c r="H17" s="389"/>
      <c r="I17" s="389"/>
      <c r="J17" s="389"/>
      <c r="K17" s="389"/>
      <c r="L17" s="389"/>
      <c r="M17" s="389"/>
      <c r="N17" s="389"/>
      <c r="O17" s="389"/>
      <c r="P17" s="389"/>
      <c r="Q17" s="389"/>
      <c r="R17" s="389">
        <f>SUM(E17:Q17)</f>
        <v>0</v>
      </c>
      <c r="S17" s="389">
        <f t="shared" ref="S17:S24" si="9">C17</f>
        <v>0</v>
      </c>
      <c r="T17" s="389"/>
      <c r="U17" s="385"/>
    </row>
    <row r="18" spans="1:21" s="386" customFormat="1">
      <c r="A18" s="387" t="s">
        <v>1026</v>
      </c>
      <c r="B18" s="388">
        <f t="shared" si="7"/>
        <v>0</v>
      </c>
      <c r="C18" s="389"/>
      <c r="D18" s="389"/>
      <c r="E18" s="389">
        <f t="shared" si="8"/>
        <v>0</v>
      </c>
      <c r="F18" s="389"/>
      <c r="G18" s="389"/>
      <c r="H18" s="389"/>
      <c r="I18" s="389"/>
      <c r="J18" s="389"/>
      <c r="K18" s="389"/>
      <c r="L18" s="389"/>
      <c r="M18" s="389"/>
      <c r="N18" s="389"/>
      <c r="O18" s="389"/>
      <c r="P18" s="389"/>
      <c r="Q18" s="389"/>
      <c r="R18" s="389">
        <f>SUM(E18:Q18)</f>
        <v>0</v>
      </c>
      <c r="S18" s="389">
        <f t="shared" si="9"/>
        <v>0</v>
      </c>
      <c r="T18" s="389"/>
      <c r="U18" s="385"/>
    </row>
    <row r="19" spans="1:21" s="386" customFormat="1">
      <c r="A19" s="387" t="s">
        <v>1027</v>
      </c>
      <c r="B19" s="388">
        <f t="shared" si="7"/>
        <v>0</v>
      </c>
      <c r="C19" s="389"/>
      <c r="D19" s="389"/>
      <c r="E19" s="389">
        <f t="shared" si="8"/>
        <v>0</v>
      </c>
      <c r="F19" s="389"/>
      <c r="G19" s="389"/>
      <c r="H19" s="389"/>
      <c r="I19" s="389"/>
      <c r="J19" s="389"/>
      <c r="K19" s="389"/>
      <c r="L19" s="389"/>
      <c r="M19" s="389"/>
      <c r="N19" s="389"/>
      <c r="O19" s="389"/>
      <c r="P19" s="389"/>
      <c r="Q19" s="389"/>
      <c r="R19" s="389">
        <f>SUM(E19:Q19)</f>
        <v>0</v>
      </c>
      <c r="S19" s="389">
        <f t="shared" si="9"/>
        <v>0</v>
      </c>
      <c r="T19" s="389"/>
      <c r="U19" s="385"/>
    </row>
    <row r="20" spans="1:21" s="386" customFormat="1">
      <c r="A20" s="387" t="s">
        <v>1028</v>
      </c>
      <c r="B20" s="388">
        <f t="shared" si="7"/>
        <v>0</v>
      </c>
      <c r="C20" s="389"/>
      <c r="D20" s="389"/>
      <c r="E20" s="389">
        <f t="shared" si="8"/>
        <v>0</v>
      </c>
      <c r="F20" s="389"/>
      <c r="G20" s="389"/>
      <c r="H20" s="389"/>
      <c r="I20" s="389"/>
      <c r="J20" s="389"/>
      <c r="K20" s="389"/>
      <c r="L20" s="389"/>
      <c r="M20" s="389"/>
      <c r="N20" s="389"/>
      <c r="O20" s="389"/>
      <c r="P20" s="389"/>
      <c r="Q20" s="389"/>
      <c r="R20" s="389">
        <f t="shared" ref="R20:R26" si="10">SUM(E20:Q20)</f>
        <v>0</v>
      </c>
      <c r="S20" s="389">
        <f t="shared" si="9"/>
        <v>0</v>
      </c>
      <c r="T20" s="389"/>
      <c r="U20" s="385"/>
    </row>
    <row r="21" spans="1:21" s="386" customFormat="1">
      <c r="A21" s="387" t="s">
        <v>1029</v>
      </c>
      <c r="B21" s="388">
        <f t="shared" si="7"/>
        <v>0</v>
      </c>
      <c r="C21" s="389"/>
      <c r="D21" s="389"/>
      <c r="E21" s="389">
        <f t="shared" si="8"/>
        <v>0</v>
      </c>
      <c r="F21" s="389"/>
      <c r="G21" s="389"/>
      <c r="H21" s="389"/>
      <c r="I21" s="389"/>
      <c r="J21" s="389"/>
      <c r="K21" s="389"/>
      <c r="L21" s="389"/>
      <c r="M21" s="389"/>
      <c r="N21" s="389"/>
      <c r="O21" s="389"/>
      <c r="P21" s="389"/>
      <c r="Q21" s="389"/>
      <c r="R21" s="389">
        <f t="shared" si="10"/>
        <v>0</v>
      </c>
      <c r="S21" s="389">
        <f t="shared" si="9"/>
        <v>0</v>
      </c>
      <c r="T21" s="389"/>
      <c r="U21" s="385"/>
    </row>
    <row r="22" spans="1:21" s="386" customFormat="1">
      <c r="A22" s="387" t="s">
        <v>1030</v>
      </c>
      <c r="B22" s="388">
        <f t="shared" si="7"/>
        <v>0</v>
      </c>
      <c r="C22" s="389"/>
      <c r="D22" s="389"/>
      <c r="E22" s="389">
        <f t="shared" si="8"/>
        <v>0</v>
      </c>
      <c r="F22" s="389"/>
      <c r="G22" s="389"/>
      <c r="H22" s="389"/>
      <c r="I22" s="389"/>
      <c r="J22" s="389"/>
      <c r="K22" s="389"/>
      <c r="L22" s="389"/>
      <c r="M22" s="389"/>
      <c r="N22" s="389"/>
      <c r="O22" s="389"/>
      <c r="P22" s="389"/>
      <c r="Q22" s="389"/>
      <c r="R22" s="389">
        <f t="shared" si="10"/>
        <v>0</v>
      </c>
      <c r="S22" s="389">
        <f t="shared" si="9"/>
        <v>0</v>
      </c>
      <c r="T22" s="389"/>
      <c r="U22" s="385"/>
    </row>
    <row r="23" spans="1:21" s="386" customFormat="1">
      <c r="A23" s="387" t="s">
        <v>1031</v>
      </c>
      <c r="B23" s="388">
        <f t="shared" si="7"/>
        <v>0</v>
      </c>
      <c r="C23" s="389"/>
      <c r="D23" s="389"/>
      <c r="E23" s="389">
        <f t="shared" si="8"/>
        <v>0</v>
      </c>
      <c r="F23" s="389"/>
      <c r="G23" s="389"/>
      <c r="H23" s="389"/>
      <c r="I23" s="389"/>
      <c r="J23" s="389"/>
      <c r="K23" s="389"/>
      <c r="L23" s="389"/>
      <c r="M23" s="389"/>
      <c r="N23" s="389"/>
      <c r="O23" s="389"/>
      <c r="P23" s="389"/>
      <c r="Q23" s="389"/>
      <c r="R23" s="389">
        <f t="shared" si="10"/>
        <v>0</v>
      </c>
      <c r="S23" s="389">
        <f t="shared" si="9"/>
        <v>0</v>
      </c>
      <c r="T23" s="389"/>
      <c r="U23" s="385"/>
    </row>
    <row r="24" spans="1:21" s="386" customFormat="1">
      <c r="A24" s="394" t="s">
        <v>600</v>
      </c>
      <c r="B24" s="388">
        <f t="shared" si="7"/>
        <v>0</v>
      </c>
      <c r="C24" s="389"/>
      <c r="D24" s="389"/>
      <c r="E24" s="389">
        <f t="shared" si="8"/>
        <v>0</v>
      </c>
      <c r="F24" s="389"/>
      <c r="G24" s="389"/>
      <c r="H24" s="389"/>
      <c r="I24" s="389"/>
      <c r="J24" s="389"/>
      <c r="K24" s="389"/>
      <c r="L24" s="389"/>
      <c r="M24" s="389"/>
      <c r="N24" s="389"/>
      <c r="O24" s="389"/>
      <c r="P24" s="389"/>
      <c r="Q24" s="389"/>
      <c r="R24" s="389">
        <f t="shared" si="10"/>
        <v>0</v>
      </c>
      <c r="S24" s="389">
        <f t="shared" si="9"/>
        <v>0</v>
      </c>
      <c r="T24" s="389"/>
      <c r="U24" s="385"/>
    </row>
    <row r="25" spans="1:21" s="386" customFormat="1">
      <c r="A25" s="391" t="s">
        <v>248</v>
      </c>
      <c r="B25" s="388">
        <f t="shared" si="7"/>
        <v>0</v>
      </c>
      <c r="C25" s="388">
        <f>SUM(C17:C24)</f>
        <v>0</v>
      </c>
      <c r="D25" s="388">
        <f>SUM(D17:D24)</f>
        <v>0</v>
      </c>
      <c r="E25" s="388">
        <f>SUM(E17:E24)</f>
        <v>0</v>
      </c>
      <c r="F25" s="388">
        <f t="shared" ref="F25:T25" si="11">SUM(F17:F24)</f>
        <v>0</v>
      </c>
      <c r="G25" s="388">
        <f t="shared" si="11"/>
        <v>0</v>
      </c>
      <c r="H25" s="388">
        <f t="shared" si="11"/>
        <v>0</v>
      </c>
      <c r="I25" s="388">
        <f t="shared" si="11"/>
        <v>0</v>
      </c>
      <c r="J25" s="388">
        <f t="shared" si="11"/>
        <v>0</v>
      </c>
      <c r="K25" s="388">
        <f t="shared" si="11"/>
        <v>0</v>
      </c>
      <c r="L25" s="388">
        <f t="shared" si="11"/>
        <v>0</v>
      </c>
      <c r="M25" s="388">
        <f t="shared" si="11"/>
        <v>0</v>
      </c>
      <c r="N25" s="388">
        <f t="shared" si="11"/>
        <v>0</v>
      </c>
      <c r="O25" s="388">
        <f t="shared" si="11"/>
        <v>0</v>
      </c>
      <c r="P25" s="388">
        <f t="shared" si="11"/>
        <v>0</v>
      </c>
      <c r="Q25" s="388">
        <f t="shared" si="11"/>
        <v>0</v>
      </c>
      <c r="R25" s="388">
        <f>SUM(R17:R24)</f>
        <v>0</v>
      </c>
      <c r="S25" s="392">
        <f t="shared" si="11"/>
        <v>0</v>
      </c>
      <c r="T25" s="392">
        <f t="shared" si="11"/>
        <v>0</v>
      </c>
      <c r="U25" s="385"/>
    </row>
    <row r="26" spans="1:21" s="386" customFormat="1">
      <c r="A26" s="391" t="s">
        <v>1032</v>
      </c>
      <c r="B26" s="388">
        <f t="shared" si="7"/>
        <v>0</v>
      </c>
      <c r="C26" s="389"/>
      <c r="D26" s="389"/>
      <c r="E26" s="389">
        <f>B26-SUM(F26:Q26)</f>
        <v>0</v>
      </c>
      <c r="F26" s="389"/>
      <c r="G26" s="389"/>
      <c r="H26" s="389"/>
      <c r="I26" s="389"/>
      <c r="J26" s="389"/>
      <c r="K26" s="389"/>
      <c r="L26" s="389"/>
      <c r="M26" s="389"/>
      <c r="N26" s="389"/>
      <c r="O26" s="389"/>
      <c r="P26" s="389"/>
      <c r="Q26" s="389"/>
      <c r="R26" s="389">
        <f t="shared" si="10"/>
        <v>0</v>
      </c>
      <c r="S26" s="389">
        <f>C26</f>
        <v>0</v>
      </c>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12">SUM(C28+D28)</f>
        <v>1700000</v>
      </c>
      <c r="C28" s="389">
        <v>1700000</v>
      </c>
      <c r="D28" s="389"/>
      <c r="E28" s="389">
        <f t="shared" ref="E28:E35" si="13">B28-SUM(F28:Q28)</f>
        <v>0</v>
      </c>
      <c r="F28" s="389">
        <f>B28</f>
        <v>1700000</v>
      </c>
      <c r="G28" s="389"/>
      <c r="H28" s="389"/>
      <c r="I28" s="389"/>
      <c r="J28" s="389"/>
      <c r="K28" s="389"/>
      <c r="L28" s="389"/>
      <c r="M28" s="389"/>
      <c r="N28" s="389"/>
      <c r="O28" s="389"/>
      <c r="P28" s="389"/>
      <c r="Q28" s="389"/>
      <c r="R28" s="389">
        <f t="shared" ref="R28:R35" si="14">SUM(E28:Q28)</f>
        <v>1700000</v>
      </c>
      <c r="S28" s="389">
        <f t="shared" ref="S28:S35" si="15">C28</f>
        <v>1700000</v>
      </c>
      <c r="T28" s="389"/>
      <c r="U28" s="385"/>
    </row>
    <row r="29" spans="1:21" s="386" customFormat="1">
      <c r="A29" s="387" t="s">
        <v>1026</v>
      </c>
      <c r="B29" s="388">
        <f t="shared" si="12"/>
        <v>66873268</v>
      </c>
      <c r="C29" s="389">
        <v>66873268</v>
      </c>
      <c r="D29" s="389"/>
      <c r="E29" s="389">
        <f t="shared" si="13"/>
        <v>0</v>
      </c>
      <c r="F29" s="389">
        <f>B29</f>
        <v>66873268</v>
      </c>
      <c r="G29" s="389">
        <f>'Applicant Notes'!BI3</f>
        <v>0</v>
      </c>
      <c r="H29" s="389"/>
      <c r="I29" s="389"/>
      <c r="J29" s="389"/>
      <c r="K29" s="389"/>
      <c r="L29" s="389"/>
      <c r="M29" s="389"/>
      <c r="N29" s="389"/>
      <c r="O29" s="389"/>
      <c r="P29" s="389"/>
      <c r="Q29" s="389"/>
      <c r="R29" s="389">
        <f t="shared" si="14"/>
        <v>66873268</v>
      </c>
      <c r="S29" s="389">
        <f t="shared" si="15"/>
        <v>66873268</v>
      </c>
      <c r="T29" s="389"/>
      <c r="U29" s="385"/>
    </row>
    <row r="30" spans="1:21" s="386" customFormat="1">
      <c r="A30" s="387" t="s">
        <v>1027</v>
      </c>
      <c r="B30" s="388">
        <f t="shared" si="12"/>
        <v>3154370</v>
      </c>
      <c r="C30" s="389">
        <f>ROUND((C$28+C$29+C$33)*0.04,0)</f>
        <v>3154370</v>
      </c>
      <c r="D30" s="389"/>
      <c r="E30" s="389">
        <f t="shared" si="13"/>
        <v>0</v>
      </c>
      <c r="F30" s="389">
        <f t="shared" ref="F30" si="16">B30</f>
        <v>3154370</v>
      </c>
      <c r="G30" s="389"/>
      <c r="H30" s="389"/>
      <c r="I30" s="389"/>
      <c r="J30" s="389"/>
      <c r="K30" s="389"/>
      <c r="L30" s="389"/>
      <c r="M30" s="389"/>
      <c r="N30" s="389"/>
      <c r="O30" s="389"/>
      <c r="P30" s="389"/>
      <c r="Q30" s="389"/>
      <c r="R30" s="389">
        <f t="shared" si="14"/>
        <v>3154370</v>
      </c>
      <c r="S30" s="389">
        <f t="shared" si="15"/>
        <v>3154370</v>
      </c>
      <c r="T30" s="389"/>
      <c r="U30" s="385"/>
    </row>
    <row r="31" spans="1:21" s="386" customFormat="1">
      <c r="A31" s="387" t="s">
        <v>1028</v>
      </c>
      <c r="B31" s="388">
        <f t="shared" si="12"/>
        <v>3280545</v>
      </c>
      <c r="C31" s="389">
        <f>ROUND((C$28+C$29+C$33+C$30)*0.04,0)</f>
        <v>3280545</v>
      </c>
      <c r="D31" s="389"/>
      <c r="E31" s="389">
        <f t="shared" si="13"/>
        <v>509712</v>
      </c>
      <c r="F31" s="389">
        <f>B31-509712</f>
        <v>2770833</v>
      </c>
      <c r="G31" s="389"/>
      <c r="H31" s="389"/>
      <c r="I31" s="389"/>
      <c r="J31" s="389"/>
      <c r="K31" s="389"/>
      <c r="L31" s="389"/>
      <c r="M31" s="389"/>
      <c r="N31" s="389"/>
      <c r="O31" s="389"/>
      <c r="P31" s="389"/>
      <c r="Q31" s="389"/>
      <c r="R31" s="389">
        <f t="shared" si="14"/>
        <v>3280545</v>
      </c>
      <c r="S31" s="389">
        <f t="shared" si="15"/>
        <v>3280545</v>
      </c>
      <c r="T31" s="389"/>
      <c r="U31" s="385"/>
    </row>
    <row r="32" spans="1:21" s="386" customFormat="1">
      <c r="A32" s="387" t="s">
        <v>1029</v>
      </c>
      <c r="B32" s="388">
        <f t="shared" si="12"/>
        <v>3280545</v>
      </c>
      <c r="C32" s="389">
        <f>ROUND((C$28+C$29+C$33+C$30)*0.04,0)</f>
        <v>3280545</v>
      </c>
      <c r="D32" s="389"/>
      <c r="E32" s="389">
        <f t="shared" si="13"/>
        <v>0</v>
      </c>
      <c r="F32" s="389">
        <f>B32</f>
        <v>3280545</v>
      </c>
      <c r="G32" s="389"/>
      <c r="H32" s="389"/>
      <c r="I32" s="389"/>
      <c r="J32" s="389"/>
      <c r="K32" s="389"/>
      <c r="L32" s="389"/>
      <c r="M32" s="389"/>
      <c r="N32" s="389"/>
      <c r="O32" s="389"/>
      <c r="P32" s="389"/>
      <c r="Q32" s="389"/>
      <c r="R32" s="389">
        <f t="shared" si="14"/>
        <v>3280545</v>
      </c>
      <c r="S32" s="389">
        <f t="shared" si="15"/>
        <v>3280545</v>
      </c>
      <c r="T32" s="389"/>
      <c r="U32" s="385"/>
    </row>
    <row r="33" spans="1:21" s="386" customFormat="1">
      <c r="A33" s="387" t="s">
        <v>1030</v>
      </c>
      <c r="B33" s="388">
        <f t="shared" si="12"/>
        <v>10285990</v>
      </c>
      <c r="C33" s="389">
        <f>ROUND(SUM(C28+C29)*0.15,0)</f>
        <v>10285990</v>
      </c>
      <c r="D33" s="389"/>
      <c r="E33" s="389">
        <f t="shared" si="13"/>
        <v>4592178</v>
      </c>
      <c r="F33" s="389">
        <v>5693812</v>
      </c>
      <c r="G33" s="389"/>
      <c r="H33" s="389"/>
      <c r="I33" s="389"/>
      <c r="J33" s="389"/>
      <c r="K33" s="389"/>
      <c r="L33" s="389"/>
      <c r="M33" s="389"/>
      <c r="N33" s="389"/>
      <c r="O33" s="389"/>
      <c r="P33" s="389"/>
      <c r="Q33" s="389"/>
      <c r="R33" s="389">
        <f t="shared" si="14"/>
        <v>10285990</v>
      </c>
      <c r="S33" s="389">
        <f t="shared" si="15"/>
        <v>10285990</v>
      </c>
      <c r="T33" s="389"/>
      <c r="U33" s="385"/>
    </row>
    <row r="34" spans="1:21" s="386" customFormat="1">
      <c r="A34" s="387" t="s">
        <v>1031</v>
      </c>
      <c r="B34" s="388">
        <f t="shared" si="12"/>
        <v>797172</v>
      </c>
      <c r="C34" s="389">
        <f>ROUND(SUM(C28:C33)*0.9%,0)</f>
        <v>797172</v>
      </c>
      <c r="D34" s="389"/>
      <c r="E34" s="389">
        <f t="shared" si="13"/>
        <v>0</v>
      </c>
      <c r="F34" s="389">
        <f>B34</f>
        <v>797172</v>
      </c>
      <c r="G34" s="389"/>
      <c r="H34" s="389"/>
      <c r="I34" s="389"/>
      <c r="J34" s="389"/>
      <c r="K34" s="389"/>
      <c r="L34" s="389"/>
      <c r="M34" s="389"/>
      <c r="N34" s="389"/>
      <c r="O34" s="389"/>
      <c r="P34" s="389"/>
      <c r="Q34" s="389"/>
      <c r="R34" s="389">
        <f t="shared" si="14"/>
        <v>797172</v>
      </c>
      <c r="S34" s="389">
        <f t="shared" si="15"/>
        <v>797172</v>
      </c>
      <c r="T34" s="389"/>
      <c r="U34" s="385"/>
    </row>
    <row r="35" spans="1:21" s="386" customFormat="1">
      <c r="A35" s="394" t="s">
        <v>600</v>
      </c>
      <c r="B35" s="388">
        <f t="shared" si="12"/>
        <v>0</v>
      </c>
      <c r="C35" s="389"/>
      <c r="D35" s="389"/>
      <c r="E35" s="389">
        <f t="shared" si="13"/>
        <v>0</v>
      </c>
      <c r="F35" s="389"/>
      <c r="G35" s="389"/>
      <c r="H35" s="389"/>
      <c r="I35" s="389"/>
      <c r="J35" s="389"/>
      <c r="K35" s="389"/>
      <c r="L35" s="389"/>
      <c r="M35" s="389"/>
      <c r="N35" s="389"/>
      <c r="O35" s="389"/>
      <c r="P35" s="389"/>
      <c r="Q35" s="389"/>
      <c r="R35" s="389">
        <f t="shared" si="14"/>
        <v>0</v>
      </c>
      <c r="S35" s="389">
        <f t="shared" si="15"/>
        <v>0</v>
      </c>
      <c r="T35" s="389"/>
      <c r="U35" s="385"/>
    </row>
    <row r="36" spans="1:21" s="386" customFormat="1">
      <c r="A36" s="391" t="s">
        <v>1034</v>
      </c>
      <c r="B36" s="388">
        <f t="shared" si="12"/>
        <v>89371890</v>
      </c>
      <c r="C36" s="388">
        <f>SUM(C28:C35)</f>
        <v>89371890</v>
      </c>
      <c r="D36" s="388">
        <f>SUM(D28:D35)</f>
        <v>0</v>
      </c>
      <c r="E36" s="388">
        <f>SUM(E28:E35)</f>
        <v>5101890</v>
      </c>
      <c r="F36" s="388">
        <f t="shared" ref="F36:T36" si="17">SUM(F28:F35)</f>
        <v>84270000</v>
      </c>
      <c r="G36" s="388">
        <f t="shared" si="17"/>
        <v>0</v>
      </c>
      <c r="H36" s="388">
        <f t="shared" si="17"/>
        <v>0</v>
      </c>
      <c r="I36" s="388">
        <f t="shared" si="17"/>
        <v>0</v>
      </c>
      <c r="J36" s="388">
        <f t="shared" si="17"/>
        <v>0</v>
      </c>
      <c r="K36" s="388">
        <f t="shared" si="17"/>
        <v>0</v>
      </c>
      <c r="L36" s="388">
        <f t="shared" si="17"/>
        <v>0</v>
      </c>
      <c r="M36" s="388">
        <f t="shared" si="17"/>
        <v>0</v>
      </c>
      <c r="N36" s="388">
        <f t="shared" si="17"/>
        <v>0</v>
      </c>
      <c r="O36" s="388">
        <f t="shared" si="17"/>
        <v>0</v>
      </c>
      <c r="P36" s="388">
        <f t="shared" si="17"/>
        <v>0</v>
      </c>
      <c r="Q36" s="388">
        <f t="shared" si="17"/>
        <v>0</v>
      </c>
      <c r="R36" s="388">
        <f t="shared" si="17"/>
        <v>89371890</v>
      </c>
      <c r="S36" s="392">
        <f t="shared" si="17"/>
        <v>89371890</v>
      </c>
      <c r="T36" s="392">
        <f t="shared" si="17"/>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1800000</v>
      </c>
      <c r="C38" s="389">
        <v>1800000</v>
      </c>
      <c r="D38" s="389"/>
      <c r="E38" s="389">
        <f t="shared" ref="E38:E39" si="18">B38-SUM(F38:Q38)</f>
        <v>0</v>
      </c>
      <c r="F38" s="389">
        <f>C38</f>
        <v>1800000</v>
      </c>
      <c r="G38" s="389"/>
      <c r="H38" s="389"/>
      <c r="I38" s="389"/>
      <c r="J38" s="389"/>
      <c r="K38" s="389"/>
      <c r="L38" s="389"/>
      <c r="M38" s="389"/>
      <c r="N38" s="389"/>
      <c r="O38" s="389"/>
      <c r="P38" s="389"/>
      <c r="Q38" s="389"/>
      <c r="R38" s="389">
        <f>SUM(E38:Q38)</f>
        <v>1800000</v>
      </c>
      <c r="S38" s="389">
        <f t="shared" ref="S38:S39" si="19">C38</f>
        <v>1800000</v>
      </c>
      <c r="T38" s="389"/>
      <c r="U38" s="385"/>
    </row>
    <row r="39" spans="1:21" s="386" customFormat="1">
      <c r="A39" s="387" t="s">
        <v>1037</v>
      </c>
      <c r="B39" s="388">
        <f>SUM(C39+D39)</f>
        <v>240000</v>
      </c>
      <c r="C39" s="389">
        <f>120000*2</f>
        <v>240000</v>
      </c>
      <c r="D39" s="389"/>
      <c r="E39" s="389">
        <f t="shared" si="18"/>
        <v>240000</v>
      </c>
      <c r="F39" s="389"/>
      <c r="G39" s="389"/>
      <c r="H39" s="389"/>
      <c r="I39" s="389"/>
      <c r="J39" s="389"/>
      <c r="K39" s="389"/>
      <c r="L39" s="389"/>
      <c r="M39" s="389"/>
      <c r="N39" s="389"/>
      <c r="O39" s="389"/>
      <c r="P39" s="389"/>
      <c r="Q39" s="389"/>
      <c r="R39" s="389">
        <f>SUM(E39:Q39)</f>
        <v>240000</v>
      </c>
      <c r="S39" s="389">
        <f t="shared" si="19"/>
        <v>240000</v>
      </c>
      <c r="T39" s="389"/>
      <c r="U39" s="385"/>
    </row>
    <row r="40" spans="1:21" s="386" customFormat="1">
      <c r="A40" s="391" t="s">
        <v>1038</v>
      </c>
      <c r="B40" s="388">
        <f>SUM(C40:D40)</f>
        <v>2040000</v>
      </c>
      <c r="C40" s="388">
        <f>SUM(C37:C39)</f>
        <v>2040000</v>
      </c>
      <c r="D40" s="388">
        <f>SUM(D37:D39)</f>
        <v>0</v>
      </c>
      <c r="E40" s="388">
        <f t="shared" ref="E40:T40" si="20">SUM(E38:E39)</f>
        <v>240000</v>
      </c>
      <c r="F40" s="388">
        <f t="shared" si="20"/>
        <v>1800000</v>
      </c>
      <c r="G40" s="388">
        <f t="shared" si="20"/>
        <v>0</v>
      </c>
      <c r="H40" s="388">
        <f t="shared" si="20"/>
        <v>0</v>
      </c>
      <c r="I40" s="388">
        <f t="shared" si="20"/>
        <v>0</v>
      </c>
      <c r="J40" s="388">
        <f t="shared" si="20"/>
        <v>0</v>
      </c>
      <c r="K40" s="388">
        <f t="shared" si="20"/>
        <v>0</v>
      </c>
      <c r="L40" s="388">
        <f t="shared" si="20"/>
        <v>0</v>
      </c>
      <c r="M40" s="388">
        <f t="shared" si="20"/>
        <v>0</v>
      </c>
      <c r="N40" s="388">
        <f t="shared" si="20"/>
        <v>0</v>
      </c>
      <c r="O40" s="388">
        <f t="shared" si="20"/>
        <v>0</v>
      </c>
      <c r="P40" s="388">
        <f t="shared" si="20"/>
        <v>0</v>
      </c>
      <c r="Q40" s="388">
        <f t="shared" si="20"/>
        <v>0</v>
      </c>
      <c r="R40" s="388">
        <f t="shared" si="20"/>
        <v>2040000</v>
      </c>
      <c r="S40" s="392">
        <f t="shared" si="20"/>
        <v>2040000</v>
      </c>
      <c r="T40" s="392">
        <f t="shared" si="20"/>
        <v>0</v>
      </c>
      <c r="U40" s="385"/>
    </row>
    <row r="41" spans="1:21" s="386" customFormat="1">
      <c r="A41" s="391" t="s">
        <v>1039</v>
      </c>
      <c r="B41" s="388">
        <f>SUM(C41:D41)</f>
        <v>800000</v>
      </c>
      <c r="C41" s="389">
        <v>800000</v>
      </c>
      <c r="D41" s="389"/>
      <c r="E41" s="389">
        <f>B41-SUM(F41:Q41)</f>
        <v>800000</v>
      </c>
      <c r="F41" s="389">
        <v>0</v>
      </c>
      <c r="G41" s="389"/>
      <c r="H41" s="389"/>
      <c r="I41" s="389"/>
      <c r="J41" s="389"/>
      <c r="K41" s="389"/>
      <c r="L41" s="389"/>
      <c r="M41" s="389"/>
      <c r="N41" s="389"/>
      <c r="O41" s="389"/>
      <c r="P41" s="389"/>
      <c r="Q41" s="389"/>
      <c r="R41" s="389">
        <f>SUM(E41:Q41)</f>
        <v>800000</v>
      </c>
      <c r="S41" s="389">
        <f>C41</f>
        <v>800000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21">SUM(C43+D43)</f>
        <v>2753273</v>
      </c>
      <c r="C43" s="389">
        <f>'Applicant Notes'!AW3</f>
        <v>2753273</v>
      </c>
      <c r="D43" s="389"/>
      <c r="E43" s="389">
        <f t="shared" ref="E43:E51" si="22">B43-SUM(F43:Q43)</f>
        <v>2753273</v>
      </c>
      <c r="F43" s="389"/>
      <c r="G43" s="389"/>
      <c r="H43" s="389"/>
      <c r="I43" s="389"/>
      <c r="J43" s="389"/>
      <c r="K43" s="389"/>
      <c r="L43" s="389"/>
      <c r="M43" s="389"/>
      <c r="N43" s="389"/>
      <c r="O43" s="389"/>
      <c r="P43" s="389"/>
      <c r="Q43" s="389"/>
      <c r="R43" s="389">
        <f t="shared" ref="R43:R51" si="23">SUM(E43:Q43)</f>
        <v>2753273</v>
      </c>
      <c r="S43" s="389">
        <f t="shared" ref="S43:S51" si="24">C43</f>
        <v>2753273</v>
      </c>
      <c r="T43" s="389"/>
      <c r="U43" s="385"/>
    </row>
    <row r="44" spans="1:21" s="386" customFormat="1">
      <c r="A44" s="387" t="s">
        <v>1042</v>
      </c>
      <c r="B44" s="388">
        <f t="shared" si="21"/>
        <v>924300</v>
      </c>
      <c r="C44" s="389">
        <f>'Applicant Notes'!X41</f>
        <v>924300</v>
      </c>
      <c r="D44" s="389"/>
      <c r="E44" s="389">
        <f t="shared" si="22"/>
        <v>924300</v>
      </c>
      <c r="F44" s="389"/>
      <c r="G44" s="389"/>
      <c r="H44" s="389"/>
      <c r="I44" s="389"/>
      <c r="J44" s="389"/>
      <c r="K44" s="389"/>
      <c r="L44" s="389"/>
      <c r="M44" s="389"/>
      <c r="N44" s="389"/>
      <c r="O44" s="389"/>
      <c r="P44" s="389"/>
      <c r="Q44" s="389"/>
      <c r="R44" s="389">
        <f t="shared" si="23"/>
        <v>924300</v>
      </c>
      <c r="S44" s="389">
        <f t="shared" si="24"/>
        <v>924300</v>
      </c>
      <c r="T44" s="389"/>
      <c r="U44" s="385"/>
    </row>
    <row r="45" spans="1:21" s="386" customFormat="1" ht="12" customHeight="1">
      <c r="A45" s="387" t="s">
        <v>1043</v>
      </c>
      <c r="B45" s="388">
        <f t="shared" si="21"/>
        <v>277290</v>
      </c>
      <c r="C45" s="389">
        <f>'Applicant Notes'!X42</f>
        <v>277290</v>
      </c>
      <c r="D45" s="389"/>
      <c r="E45" s="389">
        <f t="shared" si="22"/>
        <v>277290</v>
      </c>
      <c r="F45" s="389"/>
      <c r="G45" s="389"/>
      <c r="H45" s="389"/>
      <c r="I45" s="389"/>
      <c r="J45" s="389"/>
      <c r="K45" s="389"/>
      <c r="L45" s="389"/>
      <c r="M45" s="389"/>
      <c r="N45" s="389"/>
      <c r="O45" s="389"/>
      <c r="P45" s="389"/>
      <c r="Q45" s="389"/>
      <c r="R45" s="389">
        <f t="shared" si="23"/>
        <v>277290</v>
      </c>
      <c r="S45" s="389">
        <f t="shared" si="24"/>
        <v>277290</v>
      </c>
      <c r="T45" s="389"/>
      <c r="U45" s="385"/>
    </row>
    <row r="46" spans="1:21" s="386" customFormat="1">
      <c r="A46" s="387" t="s">
        <v>1044</v>
      </c>
      <c r="B46" s="388">
        <f t="shared" si="21"/>
        <v>0</v>
      </c>
      <c r="C46" s="389"/>
      <c r="D46" s="389"/>
      <c r="E46" s="389">
        <f t="shared" si="22"/>
        <v>0</v>
      </c>
      <c r="F46" s="389">
        <f t="shared" ref="F46:F49" si="25">B46</f>
        <v>0</v>
      </c>
      <c r="G46" s="389"/>
      <c r="H46" s="389"/>
      <c r="I46" s="389"/>
      <c r="J46" s="389"/>
      <c r="K46" s="389"/>
      <c r="L46" s="389"/>
      <c r="M46" s="389"/>
      <c r="N46" s="389"/>
      <c r="O46" s="389"/>
      <c r="P46" s="389"/>
      <c r="Q46" s="389"/>
      <c r="R46" s="389">
        <f t="shared" si="23"/>
        <v>0</v>
      </c>
      <c r="S46" s="389">
        <f t="shared" si="24"/>
        <v>0</v>
      </c>
      <c r="T46" s="389"/>
      <c r="U46" s="385"/>
    </row>
    <row r="47" spans="1:21" s="386" customFormat="1">
      <c r="A47" s="387" t="s">
        <v>1047</v>
      </c>
      <c r="B47" s="388">
        <f t="shared" si="21"/>
        <v>35000</v>
      </c>
      <c r="C47" s="389">
        <v>35000</v>
      </c>
      <c r="D47" s="389"/>
      <c r="E47" s="389">
        <f t="shared" si="22"/>
        <v>35000</v>
      </c>
      <c r="F47" s="389"/>
      <c r="G47" s="389"/>
      <c r="H47" s="389"/>
      <c r="I47" s="389"/>
      <c r="J47" s="389"/>
      <c r="K47" s="389"/>
      <c r="L47" s="389"/>
      <c r="M47" s="389"/>
      <c r="N47" s="389"/>
      <c r="O47" s="389"/>
      <c r="P47" s="389"/>
      <c r="Q47" s="389"/>
      <c r="R47" s="389">
        <f t="shared" si="23"/>
        <v>35000</v>
      </c>
      <c r="S47" s="389">
        <f t="shared" si="24"/>
        <v>35000</v>
      </c>
      <c r="T47" s="389"/>
      <c r="U47" s="385"/>
    </row>
    <row r="48" spans="1:21" s="386" customFormat="1">
      <c r="A48" s="387" t="s">
        <v>1045</v>
      </c>
      <c r="B48" s="388">
        <f t="shared" si="21"/>
        <v>0</v>
      </c>
      <c r="C48" s="389"/>
      <c r="D48" s="389"/>
      <c r="E48" s="389">
        <f t="shared" si="22"/>
        <v>0</v>
      </c>
      <c r="F48" s="389">
        <f t="shared" si="25"/>
        <v>0</v>
      </c>
      <c r="G48" s="389"/>
      <c r="H48" s="389"/>
      <c r="I48" s="389"/>
      <c r="J48" s="389"/>
      <c r="K48" s="389"/>
      <c r="L48" s="389"/>
      <c r="M48" s="389"/>
      <c r="N48" s="389"/>
      <c r="O48" s="389"/>
      <c r="P48" s="389"/>
      <c r="Q48" s="389"/>
      <c r="R48" s="389">
        <f t="shared" si="23"/>
        <v>0</v>
      </c>
      <c r="S48" s="389">
        <f t="shared" si="24"/>
        <v>0</v>
      </c>
      <c r="T48" s="389"/>
      <c r="U48" s="385"/>
    </row>
    <row r="49" spans="1:21" s="386" customFormat="1">
      <c r="A49" s="387" t="s">
        <v>1046</v>
      </c>
      <c r="B49" s="388">
        <f t="shared" si="21"/>
        <v>0</v>
      </c>
      <c r="C49" s="389"/>
      <c r="D49" s="389"/>
      <c r="E49" s="389">
        <f t="shared" si="22"/>
        <v>0</v>
      </c>
      <c r="F49" s="389">
        <f t="shared" si="25"/>
        <v>0</v>
      </c>
      <c r="G49" s="389"/>
      <c r="H49" s="389"/>
      <c r="I49" s="389"/>
      <c r="J49" s="389"/>
      <c r="K49" s="389"/>
      <c r="L49" s="389"/>
      <c r="M49" s="389"/>
      <c r="N49" s="389"/>
      <c r="O49" s="389"/>
      <c r="P49" s="389"/>
      <c r="Q49" s="389"/>
      <c r="R49" s="389">
        <f t="shared" si="23"/>
        <v>0</v>
      </c>
      <c r="S49" s="389">
        <f t="shared" si="24"/>
        <v>0</v>
      </c>
      <c r="T49" s="389"/>
      <c r="U49" s="385"/>
    </row>
    <row r="50" spans="1:21" s="386" customFormat="1">
      <c r="A50" s="394" t="str">
        <f>'Applicant Notes'!T44</f>
        <v>HUD FHA MIP</v>
      </c>
      <c r="B50" s="388">
        <f t="shared" si="21"/>
        <v>462150</v>
      </c>
      <c r="C50" s="389">
        <f>'Applicant Notes'!X44</f>
        <v>462150</v>
      </c>
      <c r="D50" s="389"/>
      <c r="E50" s="389">
        <f t="shared" si="22"/>
        <v>462150</v>
      </c>
      <c r="F50" s="389"/>
      <c r="G50" s="389"/>
      <c r="H50" s="389"/>
      <c r="I50" s="389"/>
      <c r="J50" s="389"/>
      <c r="K50" s="389"/>
      <c r="L50" s="389"/>
      <c r="M50" s="389"/>
      <c r="N50" s="389"/>
      <c r="O50" s="389"/>
      <c r="P50" s="389"/>
      <c r="Q50" s="389"/>
      <c r="R50" s="389">
        <f t="shared" si="23"/>
        <v>462150</v>
      </c>
      <c r="S50" s="389">
        <f t="shared" si="24"/>
        <v>462150</v>
      </c>
      <c r="T50" s="389"/>
      <c r="U50" s="385"/>
    </row>
    <row r="51" spans="1:21" s="386" customFormat="1">
      <c r="A51" s="394" t="str">
        <f>'Applicant Notes'!T43</f>
        <v>HUD Inspection Fee</v>
      </c>
      <c r="B51" s="388">
        <f t="shared" si="21"/>
        <v>462150</v>
      </c>
      <c r="C51" s="389">
        <f>'Applicant Notes'!X43</f>
        <v>462150</v>
      </c>
      <c r="D51" s="389"/>
      <c r="E51" s="389">
        <f t="shared" si="22"/>
        <v>462150</v>
      </c>
      <c r="F51" s="389"/>
      <c r="G51" s="389"/>
      <c r="H51" s="389"/>
      <c r="I51" s="389"/>
      <c r="J51" s="389"/>
      <c r="K51" s="389"/>
      <c r="L51" s="389"/>
      <c r="M51" s="389"/>
      <c r="N51" s="389"/>
      <c r="O51" s="389"/>
      <c r="P51" s="389"/>
      <c r="Q51" s="389"/>
      <c r="R51" s="389">
        <f t="shared" si="23"/>
        <v>462150</v>
      </c>
      <c r="S51" s="389">
        <f t="shared" si="24"/>
        <v>462150</v>
      </c>
      <c r="T51" s="389"/>
      <c r="U51" s="385"/>
    </row>
    <row r="52" spans="1:21" s="396" customFormat="1">
      <c r="A52" s="391" t="s">
        <v>1048</v>
      </c>
      <c r="B52" s="392">
        <f>SUM(C52:D52)</f>
        <v>4914163</v>
      </c>
      <c r="C52" s="392">
        <f t="shared" ref="C52:T52" si="26">SUM(C43:C51)</f>
        <v>4914163</v>
      </c>
      <c r="D52" s="392">
        <f t="shared" si="26"/>
        <v>0</v>
      </c>
      <c r="E52" s="392">
        <f t="shared" si="26"/>
        <v>4914163</v>
      </c>
      <c r="F52" s="392">
        <f t="shared" si="26"/>
        <v>0</v>
      </c>
      <c r="G52" s="392">
        <f t="shared" si="26"/>
        <v>0</v>
      </c>
      <c r="H52" s="392">
        <f t="shared" si="26"/>
        <v>0</v>
      </c>
      <c r="I52" s="392">
        <f t="shared" si="26"/>
        <v>0</v>
      </c>
      <c r="J52" s="392">
        <f t="shared" si="26"/>
        <v>0</v>
      </c>
      <c r="K52" s="392">
        <f t="shared" si="26"/>
        <v>0</v>
      </c>
      <c r="L52" s="392">
        <f t="shared" si="26"/>
        <v>0</v>
      </c>
      <c r="M52" s="392">
        <f t="shared" si="26"/>
        <v>0</v>
      </c>
      <c r="N52" s="392">
        <f t="shared" si="26"/>
        <v>0</v>
      </c>
      <c r="O52" s="392">
        <f t="shared" si="26"/>
        <v>0</v>
      </c>
      <c r="P52" s="392">
        <f t="shared" si="26"/>
        <v>0</v>
      </c>
      <c r="Q52" s="392">
        <f t="shared" si="26"/>
        <v>0</v>
      </c>
      <c r="R52" s="388">
        <f t="shared" si="26"/>
        <v>4914163</v>
      </c>
      <c r="S52" s="392">
        <f t="shared" si="26"/>
        <v>4914163</v>
      </c>
      <c r="T52" s="392">
        <f t="shared" si="26"/>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27">SUM(C54+D54)</f>
        <v>0</v>
      </c>
      <c r="C54" s="389"/>
      <c r="D54" s="389"/>
      <c r="E54" s="389">
        <f t="shared" ref="E54:E60" si="28">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1043</v>
      </c>
      <c r="B55" s="388">
        <f t="shared" si="27"/>
        <v>0</v>
      </c>
      <c r="C55" s="389"/>
      <c r="D55" s="389"/>
      <c r="E55" s="389">
        <f t="shared" si="28"/>
        <v>0</v>
      </c>
      <c r="F55" s="389"/>
      <c r="G55" s="389"/>
      <c r="H55" s="389"/>
      <c r="I55" s="389"/>
      <c r="J55" s="389"/>
      <c r="K55" s="389"/>
      <c r="L55" s="389"/>
      <c r="M55" s="389"/>
      <c r="N55" s="389"/>
      <c r="O55" s="389"/>
      <c r="P55" s="389"/>
      <c r="Q55" s="389"/>
      <c r="R55" s="389">
        <f t="shared" ref="R55:R60" si="29">SUM(E55:Q55)</f>
        <v>0</v>
      </c>
      <c r="S55" s="390"/>
      <c r="T55" s="390"/>
      <c r="U55" s="385"/>
    </row>
    <row r="56" spans="1:21" s="386" customFormat="1">
      <c r="A56" s="387" t="s">
        <v>1047</v>
      </c>
      <c r="B56" s="388">
        <f t="shared" si="27"/>
        <v>0</v>
      </c>
      <c r="C56" s="389"/>
      <c r="D56" s="389"/>
      <c r="E56" s="389">
        <f t="shared" si="28"/>
        <v>0</v>
      </c>
      <c r="F56" s="389"/>
      <c r="G56" s="389"/>
      <c r="H56" s="389"/>
      <c r="I56" s="389"/>
      <c r="J56" s="389"/>
      <c r="K56" s="389"/>
      <c r="L56" s="389"/>
      <c r="M56" s="389"/>
      <c r="N56" s="389"/>
      <c r="O56" s="389"/>
      <c r="P56" s="389"/>
      <c r="Q56" s="389"/>
      <c r="R56" s="389">
        <f t="shared" si="29"/>
        <v>0</v>
      </c>
      <c r="S56" s="390"/>
      <c r="T56" s="390"/>
      <c r="U56" s="385"/>
    </row>
    <row r="57" spans="1:21" s="386" customFormat="1">
      <c r="A57" s="387" t="s">
        <v>1045</v>
      </c>
      <c r="B57" s="388">
        <f t="shared" si="27"/>
        <v>0</v>
      </c>
      <c r="C57" s="389"/>
      <c r="D57" s="389"/>
      <c r="E57" s="389">
        <f t="shared" si="28"/>
        <v>0</v>
      </c>
      <c r="F57" s="389"/>
      <c r="G57" s="389"/>
      <c r="H57" s="389"/>
      <c r="I57" s="389"/>
      <c r="J57" s="389"/>
      <c r="K57" s="389"/>
      <c r="L57" s="389"/>
      <c r="M57" s="389"/>
      <c r="N57" s="389"/>
      <c r="O57" s="389"/>
      <c r="P57" s="389"/>
      <c r="Q57" s="389"/>
      <c r="R57" s="389">
        <f t="shared" si="29"/>
        <v>0</v>
      </c>
      <c r="S57" s="390"/>
      <c r="T57" s="390"/>
      <c r="U57" s="385"/>
    </row>
    <row r="58" spans="1:21" s="386" customFormat="1">
      <c r="A58" s="387" t="s">
        <v>1046</v>
      </c>
      <c r="B58" s="388">
        <f t="shared" si="27"/>
        <v>0</v>
      </c>
      <c r="C58" s="389"/>
      <c r="D58" s="389"/>
      <c r="E58" s="389">
        <f t="shared" si="28"/>
        <v>0</v>
      </c>
      <c r="F58" s="389"/>
      <c r="G58" s="389"/>
      <c r="H58" s="389"/>
      <c r="I58" s="389"/>
      <c r="J58" s="389"/>
      <c r="K58" s="389"/>
      <c r="L58" s="389"/>
      <c r="M58" s="389"/>
      <c r="N58" s="389"/>
      <c r="O58" s="389"/>
      <c r="P58" s="389"/>
      <c r="Q58" s="389"/>
      <c r="R58" s="389">
        <f t="shared" si="29"/>
        <v>0</v>
      </c>
      <c r="S58" s="390"/>
      <c r="T58" s="390"/>
      <c r="U58" s="385"/>
    </row>
    <row r="59" spans="1:21" s="386" customFormat="1">
      <c r="A59" s="394" t="s">
        <v>600</v>
      </c>
      <c r="B59" s="388">
        <f t="shared" si="27"/>
        <v>0</v>
      </c>
      <c r="C59" s="389"/>
      <c r="D59" s="389"/>
      <c r="E59" s="389">
        <f t="shared" si="28"/>
        <v>0</v>
      </c>
      <c r="F59" s="389"/>
      <c r="G59" s="389"/>
      <c r="H59" s="389"/>
      <c r="I59" s="389"/>
      <c r="J59" s="389"/>
      <c r="K59" s="389"/>
      <c r="L59" s="389"/>
      <c r="M59" s="389"/>
      <c r="N59" s="389"/>
      <c r="O59" s="389"/>
      <c r="P59" s="389"/>
      <c r="Q59" s="389"/>
      <c r="R59" s="389">
        <f t="shared" si="29"/>
        <v>0</v>
      </c>
      <c r="S59" s="390"/>
      <c r="T59" s="390"/>
      <c r="U59" s="385"/>
    </row>
    <row r="60" spans="1:21" s="386" customFormat="1">
      <c r="A60" s="394" t="s">
        <v>600</v>
      </c>
      <c r="B60" s="388">
        <f t="shared" si="27"/>
        <v>0</v>
      </c>
      <c r="C60" s="389"/>
      <c r="D60" s="389"/>
      <c r="E60" s="389">
        <f t="shared" si="28"/>
        <v>0</v>
      </c>
      <c r="F60" s="389"/>
      <c r="G60" s="389"/>
      <c r="H60" s="389"/>
      <c r="I60" s="389"/>
      <c r="J60" s="389"/>
      <c r="K60" s="389"/>
      <c r="L60" s="389"/>
      <c r="M60" s="389"/>
      <c r="N60" s="389"/>
      <c r="O60" s="389"/>
      <c r="P60" s="389"/>
      <c r="Q60" s="389"/>
      <c r="R60" s="389">
        <f t="shared" si="29"/>
        <v>0</v>
      </c>
      <c r="S60" s="390"/>
      <c r="T60" s="390"/>
      <c r="U60" s="385"/>
    </row>
    <row r="61" spans="1:21" s="386" customFormat="1" ht="13.9" customHeight="1">
      <c r="A61" s="391" t="s">
        <v>554</v>
      </c>
      <c r="B61" s="388">
        <f>SUM(C61:D61)</f>
        <v>0</v>
      </c>
      <c r="C61" s="388">
        <f t="shared" ref="C61:R61" si="30">SUM(C54:C60)</f>
        <v>0</v>
      </c>
      <c r="D61" s="388">
        <f t="shared" si="30"/>
        <v>0</v>
      </c>
      <c r="E61" s="388">
        <f t="shared" si="30"/>
        <v>0</v>
      </c>
      <c r="F61" s="388">
        <f t="shared" si="30"/>
        <v>0</v>
      </c>
      <c r="G61" s="388">
        <f t="shared" si="30"/>
        <v>0</v>
      </c>
      <c r="H61" s="388">
        <f t="shared" si="30"/>
        <v>0</v>
      </c>
      <c r="I61" s="388">
        <f t="shared" si="30"/>
        <v>0</v>
      </c>
      <c r="J61" s="388">
        <f t="shared" si="30"/>
        <v>0</v>
      </c>
      <c r="K61" s="388">
        <f t="shared" si="30"/>
        <v>0</v>
      </c>
      <c r="L61" s="388">
        <f t="shared" si="30"/>
        <v>0</v>
      </c>
      <c r="M61" s="388">
        <f t="shared" si="30"/>
        <v>0</v>
      </c>
      <c r="N61" s="388">
        <f t="shared" si="30"/>
        <v>0</v>
      </c>
      <c r="O61" s="388">
        <f t="shared" si="30"/>
        <v>0</v>
      </c>
      <c r="P61" s="388">
        <f t="shared" si="30"/>
        <v>0</v>
      </c>
      <c r="Q61" s="388">
        <f t="shared" si="30"/>
        <v>0</v>
      </c>
      <c r="R61" s="388">
        <f t="shared" si="30"/>
        <v>0</v>
      </c>
      <c r="S61" s="390"/>
      <c r="T61" s="390"/>
      <c r="U61" s="385"/>
    </row>
    <row r="62" spans="1:21" s="386" customFormat="1">
      <c r="A62" s="397" t="s">
        <v>555</v>
      </c>
      <c r="B62" s="388">
        <f>SUM(C62:D62)</f>
        <v>103766053</v>
      </c>
      <c r="C62" s="388">
        <f>SUM(C8+C11+C13+C14+C15+C25+C26+C36+C40+C41+C52+C61)</f>
        <v>103766053</v>
      </c>
      <c r="D62" s="388">
        <f>SUM(D8+D11+D13+D14+D15+D25+D26+D36+D40+D41+D52+D61)</f>
        <v>0</v>
      </c>
      <c r="E62" s="388">
        <f t="shared" ref="E62:R62" si="31">SUM(E8+E11+E13+E14+E15+E25+E26+E36+E40+E41+E52+E61)</f>
        <v>11336053</v>
      </c>
      <c r="F62" s="388">
        <f t="shared" si="31"/>
        <v>92430000</v>
      </c>
      <c r="G62" s="388">
        <f t="shared" si="31"/>
        <v>0</v>
      </c>
      <c r="H62" s="388">
        <f t="shared" si="31"/>
        <v>0</v>
      </c>
      <c r="I62" s="388">
        <f t="shared" si="31"/>
        <v>0</v>
      </c>
      <c r="J62" s="388">
        <f t="shared" si="31"/>
        <v>0</v>
      </c>
      <c r="K62" s="388">
        <f t="shared" si="31"/>
        <v>0</v>
      </c>
      <c r="L62" s="388">
        <f t="shared" si="31"/>
        <v>0</v>
      </c>
      <c r="M62" s="388">
        <f t="shared" si="31"/>
        <v>0</v>
      </c>
      <c r="N62" s="388">
        <f t="shared" si="31"/>
        <v>0</v>
      </c>
      <c r="O62" s="388">
        <f t="shared" si="31"/>
        <v>0</v>
      </c>
      <c r="P62" s="388">
        <f t="shared" si="31"/>
        <v>0</v>
      </c>
      <c r="Q62" s="388">
        <f t="shared" si="31"/>
        <v>0</v>
      </c>
      <c r="R62" s="388">
        <f t="shared" si="31"/>
        <v>103766053</v>
      </c>
      <c r="S62" s="388">
        <f>SUM(S10+S13+S14+S15+S25+S26+S36+S40+S41+S52)</f>
        <v>97126053</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25000</v>
      </c>
      <c r="C64" s="389">
        <v>25000</v>
      </c>
      <c r="D64" s="389"/>
      <c r="E64" s="389">
        <f t="shared" ref="E64:E65" si="32">B64-SUM(F64:Q64)</f>
        <v>25000</v>
      </c>
      <c r="F64" s="389"/>
      <c r="G64" s="389"/>
      <c r="H64" s="389"/>
      <c r="I64" s="389"/>
      <c r="J64" s="389"/>
      <c r="K64" s="389"/>
      <c r="L64" s="389"/>
      <c r="M64" s="389"/>
      <c r="N64" s="389"/>
      <c r="O64" s="389"/>
      <c r="P64" s="389"/>
      <c r="Q64" s="389"/>
      <c r="R64" s="389">
        <f>SUM(E64:Q64)</f>
        <v>25000</v>
      </c>
      <c r="S64" s="389">
        <f t="shared" ref="S64:S65" si="33">C64</f>
        <v>25000</v>
      </c>
      <c r="T64" s="389"/>
      <c r="U64" s="385"/>
    </row>
    <row r="65" spans="1:21" s="386" customFormat="1">
      <c r="A65" s="394" t="s">
        <v>2654</v>
      </c>
      <c r="B65" s="388">
        <f>SUM(C65+D65)</f>
        <v>25000</v>
      </c>
      <c r="C65" s="389">
        <v>25000</v>
      </c>
      <c r="D65" s="389"/>
      <c r="E65" s="389">
        <f t="shared" si="32"/>
        <v>25000</v>
      </c>
      <c r="F65" s="389"/>
      <c r="G65" s="389"/>
      <c r="H65" s="389"/>
      <c r="I65" s="389"/>
      <c r="J65" s="389"/>
      <c r="K65" s="389"/>
      <c r="L65" s="389"/>
      <c r="M65" s="389"/>
      <c r="N65" s="389"/>
      <c r="O65" s="389"/>
      <c r="P65" s="389"/>
      <c r="Q65" s="389"/>
      <c r="R65" s="389">
        <f>SUM(E65:Q65)</f>
        <v>25000</v>
      </c>
      <c r="S65" s="389">
        <f t="shared" si="33"/>
        <v>25000</v>
      </c>
      <c r="T65" s="389"/>
      <c r="U65" s="385"/>
    </row>
    <row r="66" spans="1:21" s="386" customFormat="1">
      <c r="A66" s="391" t="s">
        <v>314</v>
      </c>
      <c r="B66" s="388">
        <f>SUM(C66:D66)</f>
        <v>50000</v>
      </c>
      <c r="C66" s="388">
        <f>SUM(C63:C65)</f>
        <v>50000</v>
      </c>
      <c r="D66" s="388">
        <f>SUM(D63:D65)</f>
        <v>0</v>
      </c>
      <c r="E66" s="388">
        <f t="shared" ref="E66:T66" si="34">SUM(E64:E65)</f>
        <v>50000</v>
      </c>
      <c r="F66" s="388">
        <f t="shared" si="34"/>
        <v>0</v>
      </c>
      <c r="G66" s="388">
        <f t="shared" si="34"/>
        <v>0</v>
      </c>
      <c r="H66" s="388">
        <f t="shared" si="34"/>
        <v>0</v>
      </c>
      <c r="I66" s="388">
        <f t="shared" si="34"/>
        <v>0</v>
      </c>
      <c r="J66" s="388">
        <f t="shared" si="34"/>
        <v>0</v>
      </c>
      <c r="K66" s="388">
        <f t="shared" si="34"/>
        <v>0</v>
      </c>
      <c r="L66" s="388">
        <f t="shared" si="34"/>
        <v>0</v>
      </c>
      <c r="M66" s="388">
        <f t="shared" si="34"/>
        <v>0</v>
      </c>
      <c r="N66" s="388">
        <f t="shared" si="34"/>
        <v>0</v>
      </c>
      <c r="O66" s="388">
        <f t="shared" si="34"/>
        <v>0</v>
      </c>
      <c r="P66" s="388">
        <f t="shared" si="34"/>
        <v>0</v>
      </c>
      <c r="Q66" s="388">
        <f t="shared" si="34"/>
        <v>0</v>
      </c>
      <c r="R66" s="388">
        <f t="shared" si="34"/>
        <v>50000</v>
      </c>
      <c r="S66" s="392">
        <f t="shared" si="34"/>
        <v>50000</v>
      </c>
      <c r="T66" s="392">
        <f t="shared" si="34"/>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 t="shared" ref="E68:E72" si="35">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si="35"/>
        <v>0</v>
      </c>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f t="shared" si="35"/>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1800874</v>
      </c>
      <c r="C71" s="389">
        <f>'Applicant Notes'!X50</f>
        <v>1800874</v>
      </c>
      <c r="D71" s="389"/>
      <c r="E71" s="389">
        <f t="shared" si="35"/>
        <v>1800874</v>
      </c>
      <c r="F71" s="389"/>
      <c r="G71" s="389"/>
      <c r="H71" s="389"/>
      <c r="I71" s="389"/>
      <c r="J71" s="389"/>
      <c r="K71" s="389"/>
      <c r="L71" s="389"/>
      <c r="M71" s="389"/>
      <c r="N71" s="389"/>
      <c r="O71" s="389"/>
      <c r="P71" s="389"/>
      <c r="Q71" s="389"/>
      <c r="R71" s="389">
        <f>SUM(E71:Q71)</f>
        <v>1800874</v>
      </c>
      <c r="S71" s="390"/>
      <c r="T71" s="390"/>
      <c r="U71" s="385"/>
    </row>
    <row r="72" spans="1:21" s="386" customFormat="1">
      <c r="A72" s="394" t="s">
        <v>600</v>
      </c>
      <c r="B72" s="388">
        <f>SUM(C72+D72)</f>
        <v>0</v>
      </c>
      <c r="C72" s="389"/>
      <c r="D72" s="389"/>
      <c r="E72" s="389">
        <f t="shared" si="35"/>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1800874</v>
      </c>
      <c r="C73" s="388">
        <f t="shared" ref="C73:Q73" si="36">SUM(C68:C72)</f>
        <v>1800874</v>
      </c>
      <c r="D73" s="388">
        <f t="shared" si="36"/>
        <v>0</v>
      </c>
      <c r="E73" s="388">
        <f>SUM(E68:E72)</f>
        <v>1800874</v>
      </c>
      <c r="F73" s="388">
        <f>SUM(F68:F72)</f>
        <v>0</v>
      </c>
      <c r="G73" s="388">
        <f>SUM(G68:G72)</f>
        <v>0</v>
      </c>
      <c r="H73" s="388">
        <f t="shared" si="36"/>
        <v>0</v>
      </c>
      <c r="I73" s="388">
        <f t="shared" si="36"/>
        <v>0</v>
      </c>
      <c r="J73" s="388">
        <f t="shared" si="36"/>
        <v>0</v>
      </c>
      <c r="K73" s="388">
        <f t="shared" si="36"/>
        <v>0</v>
      </c>
      <c r="L73" s="388">
        <f t="shared" si="36"/>
        <v>0</v>
      </c>
      <c r="M73" s="388">
        <f t="shared" si="36"/>
        <v>0</v>
      </c>
      <c r="N73" s="388">
        <f t="shared" si="36"/>
        <v>0</v>
      </c>
      <c r="O73" s="388">
        <f t="shared" si="36"/>
        <v>0</v>
      </c>
      <c r="P73" s="388">
        <f t="shared" si="36"/>
        <v>0</v>
      </c>
      <c r="Q73" s="388">
        <f t="shared" si="36"/>
        <v>0</v>
      </c>
      <c r="R73" s="388">
        <f>SUM(R68:R72)</f>
        <v>1800874</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4468595</v>
      </c>
      <c r="C75" s="389">
        <f>ROUND(C36*5%,0)</f>
        <v>4468595</v>
      </c>
      <c r="D75" s="389"/>
      <c r="E75" s="389">
        <f t="shared" ref="E75:E76" si="37">B75-SUM(F75:Q75)</f>
        <v>4468595</v>
      </c>
      <c r="F75" s="389"/>
      <c r="G75" s="389"/>
      <c r="H75" s="389"/>
      <c r="I75" s="389"/>
      <c r="J75" s="389"/>
      <c r="K75" s="389"/>
      <c r="L75" s="389"/>
      <c r="M75" s="389"/>
      <c r="N75" s="389"/>
      <c r="O75" s="389"/>
      <c r="P75" s="389"/>
      <c r="Q75" s="389"/>
      <c r="R75" s="389">
        <f>SUM(E75:Q75)</f>
        <v>4468595</v>
      </c>
      <c r="S75" s="389">
        <f t="shared" ref="S75:S76" si="38">C75</f>
        <v>4468595</v>
      </c>
      <c r="T75" s="389"/>
      <c r="U75" s="385"/>
    </row>
    <row r="76" spans="1:21" s="386" customFormat="1">
      <c r="A76" s="387" t="s">
        <v>605</v>
      </c>
      <c r="B76" s="388">
        <f>SUM(C76+D76)</f>
        <v>0</v>
      </c>
      <c r="C76" s="389"/>
      <c r="D76" s="389"/>
      <c r="E76" s="389">
        <f t="shared" si="37"/>
        <v>0</v>
      </c>
      <c r="F76" s="389"/>
      <c r="G76" s="389"/>
      <c r="H76" s="389"/>
      <c r="I76" s="389"/>
      <c r="J76" s="389"/>
      <c r="K76" s="389"/>
      <c r="L76" s="389"/>
      <c r="M76" s="389"/>
      <c r="N76" s="389"/>
      <c r="O76" s="389"/>
      <c r="P76" s="389"/>
      <c r="Q76" s="389"/>
      <c r="R76" s="389">
        <f>SUM(E76:Q76)</f>
        <v>0</v>
      </c>
      <c r="S76" s="389">
        <f t="shared" si="38"/>
        <v>0</v>
      </c>
      <c r="T76" s="389"/>
      <c r="U76" s="385"/>
    </row>
    <row r="77" spans="1:21" s="386" customFormat="1">
      <c r="A77" s="391" t="s">
        <v>2024</v>
      </c>
      <c r="B77" s="388">
        <f>SUM(C77:D77)</f>
        <v>4468595</v>
      </c>
      <c r="C77" s="1178">
        <f>SUM(C75:C76)</f>
        <v>4468595</v>
      </c>
      <c r="D77" s="1178">
        <f t="shared" ref="D77:R77" si="39">SUM(D75:D76)</f>
        <v>0</v>
      </c>
      <c r="E77" s="1178">
        <f t="shared" si="39"/>
        <v>4468595</v>
      </c>
      <c r="F77" s="1178">
        <f t="shared" si="39"/>
        <v>0</v>
      </c>
      <c r="G77" s="1178">
        <f t="shared" si="39"/>
        <v>0</v>
      </c>
      <c r="H77" s="1178">
        <f t="shared" si="39"/>
        <v>0</v>
      </c>
      <c r="I77" s="1178">
        <f t="shared" si="39"/>
        <v>0</v>
      </c>
      <c r="J77" s="1178">
        <f t="shared" si="39"/>
        <v>0</v>
      </c>
      <c r="K77" s="1178">
        <f t="shared" si="39"/>
        <v>0</v>
      </c>
      <c r="L77" s="1178">
        <f t="shared" si="39"/>
        <v>0</v>
      </c>
      <c r="M77" s="1178">
        <f t="shared" si="39"/>
        <v>0</v>
      </c>
      <c r="N77" s="1178">
        <f t="shared" si="39"/>
        <v>0</v>
      </c>
      <c r="O77" s="1178">
        <f t="shared" si="39"/>
        <v>0</v>
      </c>
      <c r="P77" s="1178">
        <f t="shared" si="39"/>
        <v>0</v>
      </c>
      <c r="Q77" s="1178">
        <f t="shared" si="39"/>
        <v>0</v>
      </c>
      <c r="R77" s="1178">
        <f t="shared" si="39"/>
        <v>4468595</v>
      </c>
      <c r="S77" s="1178">
        <f t="shared" ref="S77" si="40">SUM(S75:S76)</f>
        <v>4468595</v>
      </c>
      <c r="T77" s="1178">
        <f t="shared" ref="T77" si="4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200000</v>
      </c>
      <c r="C79" s="389">
        <f>ROUND(2500000*0.04*2,0)</f>
        <v>200000</v>
      </c>
      <c r="D79" s="389"/>
      <c r="E79" s="389">
        <f t="shared" ref="E79:E93" si="42">B79-SUM(F79:Q79)</f>
        <v>200000</v>
      </c>
      <c r="F79" s="389"/>
      <c r="G79" s="389"/>
      <c r="H79" s="389"/>
      <c r="I79" s="389"/>
      <c r="J79" s="389"/>
      <c r="K79" s="389"/>
      <c r="L79" s="389"/>
      <c r="M79" s="389"/>
      <c r="N79" s="389"/>
      <c r="O79" s="389"/>
      <c r="P79" s="389"/>
      <c r="Q79" s="389"/>
      <c r="R79" s="389">
        <f>SUM(E79:Q79)</f>
        <v>200000</v>
      </c>
      <c r="S79" s="390"/>
      <c r="T79" s="390"/>
      <c r="U79" s="385"/>
    </row>
    <row r="80" spans="1:21" s="386" customFormat="1">
      <c r="A80" s="387" t="s">
        <v>581</v>
      </c>
      <c r="B80" s="388">
        <f t="shared" ref="B80:B92" si="43">SUM(C80+D80)</f>
        <v>14000</v>
      </c>
      <c r="C80" s="389">
        <v>14000</v>
      </c>
      <c r="D80" s="389"/>
      <c r="E80" s="389">
        <f t="shared" si="42"/>
        <v>14000</v>
      </c>
      <c r="F80" s="389"/>
      <c r="G80" s="389"/>
      <c r="H80" s="389"/>
      <c r="I80" s="389"/>
      <c r="J80" s="389"/>
      <c r="K80" s="389"/>
      <c r="L80" s="389"/>
      <c r="M80" s="389"/>
      <c r="N80" s="389"/>
      <c r="O80" s="389"/>
      <c r="P80" s="389"/>
      <c r="Q80" s="389"/>
      <c r="R80" s="389">
        <f t="shared" ref="R80:R92" si="44">SUM(E80:Q80)</f>
        <v>14000</v>
      </c>
      <c r="S80" s="389">
        <f t="shared" ref="S80:S83" si="45">C80</f>
        <v>14000</v>
      </c>
      <c r="T80" s="389"/>
      <c r="U80" s="385"/>
    </row>
    <row r="81" spans="1:21" s="386" customFormat="1">
      <c r="A81" s="387" t="s">
        <v>582</v>
      </c>
      <c r="B81" s="388">
        <f t="shared" si="43"/>
        <v>759137</v>
      </c>
      <c r="C81" s="389">
        <f>'Applicant Notes'!F93</f>
        <v>759137</v>
      </c>
      <c r="D81" s="389"/>
      <c r="E81" s="389">
        <f t="shared" si="42"/>
        <v>759137</v>
      </c>
      <c r="F81" s="389"/>
      <c r="G81" s="389"/>
      <c r="H81" s="389"/>
      <c r="I81" s="389"/>
      <c r="J81" s="389"/>
      <c r="K81" s="389"/>
      <c r="L81" s="389"/>
      <c r="M81" s="389"/>
      <c r="N81" s="389"/>
      <c r="O81" s="389"/>
      <c r="P81" s="389"/>
      <c r="Q81" s="389"/>
      <c r="R81" s="389">
        <f t="shared" si="44"/>
        <v>759137</v>
      </c>
      <c r="S81" s="389">
        <f t="shared" si="45"/>
        <v>759137</v>
      </c>
      <c r="T81" s="389"/>
      <c r="U81" s="385"/>
    </row>
    <row r="82" spans="1:21" s="386" customFormat="1">
      <c r="A82" s="387" t="s">
        <v>583</v>
      </c>
      <c r="B82" s="388">
        <f t="shared" si="43"/>
        <v>372811</v>
      </c>
      <c r="C82" s="389">
        <f>'Applicant Notes'!H107</f>
        <v>372811</v>
      </c>
      <c r="D82" s="389"/>
      <c r="E82" s="389">
        <f t="shared" si="42"/>
        <v>372811</v>
      </c>
      <c r="F82" s="389"/>
      <c r="G82" s="389"/>
      <c r="H82" s="389"/>
      <c r="I82" s="389"/>
      <c r="J82" s="389"/>
      <c r="K82" s="389"/>
      <c r="L82" s="389"/>
      <c r="M82" s="389"/>
      <c r="N82" s="389"/>
      <c r="O82" s="389"/>
      <c r="P82" s="389"/>
      <c r="Q82" s="389"/>
      <c r="R82" s="389">
        <f t="shared" si="44"/>
        <v>372811</v>
      </c>
      <c r="S82" s="389">
        <f t="shared" si="45"/>
        <v>372811</v>
      </c>
      <c r="T82" s="389"/>
      <c r="U82" s="385"/>
    </row>
    <row r="83" spans="1:21" s="386" customFormat="1">
      <c r="A83" s="387" t="s">
        <v>584</v>
      </c>
      <c r="B83" s="388">
        <f t="shared" si="43"/>
        <v>0</v>
      </c>
      <c r="C83" s="389"/>
      <c r="D83" s="389"/>
      <c r="E83" s="389">
        <f t="shared" si="42"/>
        <v>0</v>
      </c>
      <c r="F83" s="389"/>
      <c r="G83" s="389"/>
      <c r="H83" s="389"/>
      <c r="I83" s="389"/>
      <c r="J83" s="389"/>
      <c r="K83" s="389"/>
      <c r="L83" s="389"/>
      <c r="M83" s="389"/>
      <c r="N83" s="389"/>
      <c r="O83" s="389"/>
      <c r="P83" s="389"/>
      <c r="Q83" s="389"/>
      <c r="R83" s="389">
        <f t="shared" si="44"/>
        <v>0</v>
      </c>
      <c r="S83" s="389">
        <f t="shared" si="45"/>
        <v>0</v>
      </c>
      <c r="T83" s="389"/>
      <c r="U83" s="385"/>
    </row>
    <row r="84" spans="1:21" s="386" customFormat="1">
      <c r="A84" s="387" t="s">
        <v>585</v>
      </c>
      <c r="B84" s="388">
        <f t="shared" si="43"/>
        <v>12000</v>
      </c>
      <c r="C84" s="389">
        <v>12000</v>
      </c>
      <c r="D84" s="389"/>
      <c r="E84" s="389">
        <f t="shared" si="42"/>
        <v>12000</v>
      </c>
      <c r="F84" s="389"/>
      <c r="G84" s="389"/>
      <c r="H84" s="389"/>
      <c r="I84" s="389"/>
      <c r="J84" s="389"/>
      <c r="K84" s="389"/>
      <c r="L84" s="389"/>
      <c r="M84" s="389"/>
      <c r="N84" s="389"/>
      <c r="O84" s="389"/>
      <c r="P84" s="389"/>
      <c r="Q84" s="389"/>
      <c r="R84" s="389">
        <f t="shared" si="44"/>
        <v>12000</v>
      </c>
      <c r="S84" s="390"/>
      <c r="T84" s="390"/>
      <c r="U84" s="385"/>
    </row>
    <row r="85" spans="1:21" s="386" customFormat="1">
      <c r="A85" s="387" t="s">
        <v>586</v>
      </c>
      <c r="B85" s="388">
        <f t="shared" si="43"/>
        <v>960000</v>
      </c>
      <c r="C85" s="389">
        <f>1800*500+ROUND(1800*500/15,0)</f>
        <v>960000</v>
      </c>
      <c r="D85" s="389"/>
      <c r="E85" s="389">
        <f t="shared" si="42"/>
        <v>960000</v>
      </c>
      <c r="F85" s="389"/>
      <c r="G85" s="389"/>
      <c r="H85" s="389"/>
      <c r="I85" s="389"/>
      <c r="J85" s="389"/>
      <c r="K85" s="389"/>
      <c r="L85" s="389"/>
      <c r="M85" s="389"/>
      <c r="N85" s="389"/>
      <c r="O85" s="389"/>
      <c r="P85" s="389"/>
      <c r="Q85" s="389"/>
      <c r="R85" s="389">
        <f t="shared" si="44"/>
        <v>960000</v>
      </c>
      <c r="S85" s="389">
        <f t="shared" ref="S85:S93" si="46">C85</f>
        <v>960000</v>
      </c>
      <c r="T85" s="389"/>
      <c r="U85" s="385"/>
    </row>
    <row r="86" spans="1:21" s="386" customFormat="1">
      <c r="A86" s="387" t="s">
        <v>587</v>
      </c>
      <c r="B86" s="388">
        <f t="shared" si="43"/>
        <v>7000</v>
      </c>
      <c r="C86" s="389">
        <v>7000</v>
      </c>
      <c r="D86" s="389"/>
      <c r="E86" s="389">
        <f t="shared" si="42"/>
        <v>7000</v>
      </c>
      <c r="F86" s="389"/>
      <c r="G86" s="389"/>
      <c r="H86" s="389"/>
      <c r="I86" s="389"/>
      <c r="J86" s="389"/>
      <c r="K86" s="389"/>
      <c r="L86" s="389"/>
      <c r="M86" s="389"/>
      <c r="N86" s="389"/>
      <c r="O86" s="389"/>
      <c r="P86" s="389"/>
      <c r="Q86" s="389"/>
      <c r="R86" s="389">
        <f t="shared" si="44"/>
        <v>7000</v>
      </c>
      <c r="S86" s="389">
        <f t="shared" si="46"/>
        <v>7000</v>
      </c>
      <c r="T86" s="389"/>
      <c r="U86" s="385"/>
    </row>
    <row r="87" spans="1:21" s="386" customFormat="1">
      <c r="A87" s="398" t="s">
        <v>1482</v>
      </c>
      <c r="B87" s="388">
        <f t="shared" si="43"/>
        <v>55000</v>
      </c>
      <c r="C87" s="389">
        <v>55000</v>
      </c>
      <c r="D87" s="389"/>
      <c r="E87" s="389">
        <f t="shared" si="42"/>
        <v>55000</v>
      </c>
      <c r="F87" s="389"/>
      <c r="G87" s="389"/>
      <c r="H87" s="389"/>
      <c r="I87" s="389"/>
      <c r="J87" s="389"/>
      <c r="K87" s="389"/>
      <c r="L87" s="389"/>
      <c r="M87" s="389"/>
      <c r="N87" s="389"/>
      <c r="O87" s="389"/>
      <c r="P87" s="389"/>
      <c r="Q87" s="389"/>
      <c r="R87" s="389">
        <f t="shared" si="44"/>
        <v>55000</v>
      </c>
      <c r="S87" s="389">
        <f t="shared" si="46"/>
        <v>55000</v>
      </c>
      <c r="T87" s="389"/>
      <c r="U87" s="385"/>
    </row>
    <row r="88" spans="1:21" s="386" customFormat="1">
      <c r="A88" s="398" t="s">
        <v>2022</v>
      </c>
      <c r="B88" s="388">
        <f t="shared" si="43"/>
        <v>7000</v>
      </c>
      <c r="C88" s="389">
        <v>7000</v>
      </c>
      <c r="D88" s="389"/>
      <c r="E88" s="389">
        <f t="shared" si="42"/>
        <v>7000</v>
      </c>
      <c r="F88" s="389"/>
      <c r="G88" s="389"/>
      <c r="H88" s="389"/>
      <c r="I88" s="389"/>
      <c r="J88" s="389"/>
      <c r="K88" s="389"/>
      <c r="L88" s="389"/>
      <c r="M88" s="389"/>
      <c r="N88" s="389"/>
      <c r="O88" s="389"/>
      <c r="P88" s="389"/>
      <c r="Q88" s="389"/>
      <c r="R88" s="389">
        <f t="shared" si="44"/>
        <v>7000</v>
      </c>
      <c r="S88" s="389">
        <f t="shared" si="46"/>
        <v>7000</v>
      </c>
      <c r="T88" s="389"/>
      <c r="U88" s="385"/>
    </row>
    <row r="89" spans="1:21" s="386" customFormat="1">
      <c r="A89" s="394" t="s">
        <v>600</v>
      </c>
      <c r="B89" s="388">
        <f t="shared" si="43"/>
        <v>0</v>
      </c>
      <c r="C89" s="389"/>
      <c r="D89" s="389"/>
      <c r="E89" s="389">
        <f t="shared" si="42"/>
        <v>0</v>
      </c>
      <c r="F89" s="389"/>
      <c r="G89" s="389"/>
      <c r="H89" s="389"/>
      <c r="I89" s="389"/>
      <c r="J89" s="389"/>
      <c r="K89" s="389"/>
      <c r="L89" s="389"/>
      <c r="M89" s="389"/>
      <c r="N89" s="389"/>
      <c r="O89" s="389"/>
      <c r="P89" s="389"/>
      <c r="Q89" s="389"/>
      <c r="R89" s="389">
        <f t="shared" si="44"/>
        <v>0</v>
      </c>
      <c r="S89" s="389">
        <f t="shared" si="46"/>
        <v>0</v>
      </c>
      <c r="T89" s="389"/>
      <c r="U89" s="385"/>
    </row>
    <row r="90" spans="1:21" s="386" customFormat="1">
      <c r="A90" s="394" t="s">
        <v>600</v>
      </c>
      <c r="B90" s="388">
        <f t="shared" si="43"/>
        <v>0</v>
      </c>
      <c r="C90" s="389"/>
      <c r="D90" s="389"/>
      <c r="E90" s="389">
        <f t="shared" si="42"/>
        <v>0</v>
      </c>
      <c r="F90" s="389"/>
      <c r="G90" s="389"/>
      <c r="H90" s="389"/>
      <c r="I90" s="389"/>
      <c r="J90" s="389"/>
      <c r="K90" s="389"/>
      <c r="L90" s="389"/>
      <c r="M90" s="389"/>
      <c r="N90" s="389"/>
      <c r="O90" s="389"/>
      <c r="P90" s="389"/>
      <c r="Q90" s="389"/>
      <c r="R90" s="389">
        <f t="shared" si="44"/>
        <v>0</v>
      </c>
      <c r="S90" s="389">
        <f t="shared" si="46"/>
        <v>0</v>
      </c>
      <c r="T90" s="389"/>
      <c r="U90" s="385"/>
    </row>
    <row r="91" spans="1:21" s="386" customFormat="1">
      <c r="A91" s="394" t="s">
        <v>600</v>
      </c>
      <c r="B91" s="388">
        <f t="shared" si="43"/>
        <v>0</v>
      </c>
      <c r="C91" s="389"/>
      <c r="D91" s="389"/>
      <c r="E91" s="389">
        <f t="shared" si="42"/>
        <v>0</v>
      </c>
      <c r="F91" s="389"/>
      <c r="G91" s="389"/>
      <c r="H91" s="389"/>
      <c r="I91" s="389"/>
      <c r="J91" s="389"/>
      <c r="K91" s="389"/>
      <c r="L91" s="389"/>
      <c r="M91" s="389"/>
      <c r="N91" s="389"/>
      <c r="O91" s="389"/>
      <c r="P91" s="389"/>
      <c r="Q91" s="389"/>
      <c r="R91" s="389">
        <f t="shared" si="44"/>
        <v>0</v>
      </c>
      <c r="S91" s="389">
        <f t="shared" si="46"/>
        <v>0</v>
      </c>
      <c r="T91" s="389"/>
      <c r="U91" s="385"/>
    </row>
    <row r="92" spans="1:21" s="386" customFormat="1">
      <c r="A92" s="394" t="s">
        <v>600</v>
      </c>
      <c r="B92" s="388">
        <f t="shared" si="43"/>
        <v>0</v>
      </c>
      <c r="C92" s="389"/>
      <c r="D92" s="389"/>
      <c r="E92" s="389">
        <f t="shared" si="42"/>
        <v>0</v>
      </c>
      <c r="F92" s="389"/>
      <c r="G92" s="389"/>
      <c r="H92" s="389"/>
      <c r="I92" s="389"/>
      <c r="J92" s="389"/>
      <c r="K92" s="389"/>
      <c r="L92" s="389"/>
      <c r="M92" s="389"/>
      <c r="N92" s="389"/>
      <c r="O92" s="389"/>
      <c r="P92" s="389"/>
      <c r="Q92" s="389"/>
      <c r="R92" s="389">
        <f t="shared" si="44"/>
        <v>0</v>
      </c>
      <c r="S92" s="389">
        <f t="shared" si="46"/>
        <v>0</v>
      </c>
      <c r="T92" s="389"/>
      <c r="U92" s="385"/>
    </row>
    <row r="93" spans="1:21" s="386" customFormat="1">
      <c r="A93" s="394" t="s">
        <v>600</v>
      </c>
      <c r="B93" s="388">
        <f>SUM(C93+D93)</f>
        <v>0</v>
      </c>
      <c r="C93" s="389"/>
      <c r="D93" s="389"/>
      <c r="E93" s="389">
        <f t="shared" si="42"/>
        <v>0</v>
      </c>
      <c r="F93" s="389"/>
      <c r="G93" s="389"/>
      <c r="H93" s="389"/>
      <c r="I93" s="389"/>
      <c r="J93" s="389"/>
      <c r="K93" s="389"/>
      <c r="L93" s="389"/>
      <c r="M93" s="389"/>
      <c r="N93" s="389"/>
      <c r="O93" s="389"/>
      <c r="P93" s="389"/>
      <c r="Q93" s="389"/>
      <c r="R93" s="389">
        <f>SUM(E93:Q93)</f>
        <v>0</v>
      </c>
      <c r="S93" s="389">
        <f t="shared" si="46"/>
        <v>0</v>
      </c>
      <c r="T93" s="389"/>
      <c r="U93" s="385"/>
    </row>
    <row r="94" spans="1:21" s="386" customFormat="1">
      <c r="A94" s="391" t="s">
        <v>588</v>
      </c>
      <c r="B94" s="388">
        <f>SUM(C94:D94)</f>
        <v>2386948</v>
      </c>
      <c r="C94" s="388">
        <f>SUM(C79:C93)</f>
        <v>2386948</v>
      </c>
      <c r="D94" s="388">
        <f t="shared" ref="D94:R94" si="47">SUM(D79:D93)</f>
        <v>0</v>
      </c>
      <c r="E94" s="388">
        <f>SUM(E79:E93)</f>
        <v>2386948</v>
      </c>
      <c r="F94" s="388">
        <f t="shared" si="47"/>
        <v>0</v>
      </c>
      <c r="G94" s="388">
        <f t="shared" si="47"/>
        <v>0</v>
      </c>
      <c r="H94" s="388">
        <f t="shared" si="47"/>
        <v>0</v>
      </c>
      <c r="I94" s="388">
        <f t="shared" si="47"/>
        <v>0</v>
      </c>
      <c r="J94" s="388">
        <f t="shared" si="47"/>
        <v>0</v>
      </c>
      <c r="K94" s="388">
        <f t="shared" si="47"/>
        <v>0</v>
      </c>
      <c r="L94" s="388">
        <f t="shared" si="47"/>
        <v>0</v>
      </c>
      <c r="M94" s="388">
        <f t="shared" si="47"/>
        <v>0</v>
      </c>
      <c r="N94" s="388">
        <f t="shared" si="47"/>
        <v>0</v>
      </c>
      <c r="O94" s="388">
        <f t="shared" si="47"/>
        <v>0</v>
      </c>
      <c r="P94" s="388">
        <f t="shared" si="47"/>
        <v>0</v>
      </c>
      <c r="Q94" s="388">
        <f>SUM(Q79:Q93)</f>
        <v>0</v>
      </c>
      <c r="R94" s="388">
        <f t="shared" si="47"/>
        <v>2386948</v>
      </c>
      <c r="S94" s="392">
        <f>SUM(S80:S83,S85:S93)</f>
        <v>2174948</v>
      </c>
      <c r="T94" s="388">
        <f>SUM(T80:T83,T85:T93)</f>
        <v>0</v>
      </c>
      <c r="U94" s="385"/>
    </row>
    <row r="95" spans="1:21" s="386" customFormat="1">
      <c r="A95" s="391" t="s">
        <v>589</v>
      </c>
      <c r="B95" s="388">
        <f>SUM(C95:D95)</f>
        <v>112472470</v>
      </c>
      <c r="C95" s="388">
        <f>SUM(C62+C66+C73+C77+C94)</f>
        <v>112472470</v>
      </c>
      <c r="D95" s="388">
        <f t="shared" ref="D95:Q95" si="48">SUM(D62+D66+D73+D77+D94)</f>
        <v>0</v>
      </c>
      <c r="E95" s="388">
        <f t="shared" si="48"/>
        <v>20042470</v>
      </c>
      <c r="F95" s="388">
        <f t="shared" si="48"/>
        <v>92430000</v>
      </c>
      <c r="G95" s="388">
        <f t="shared" si="48"/>
        <v>0</v>
      </c>
      <c r="H95" s="388">
        <f t="shared" si="48"/>
        <v>0</v>
      </c>
      <c r="I95" s="388">
        <f t="shared" si="48"/>
        <v>0</v>
      </c>
      <c r="J95" s="388">
        <f t="shared" si="48"/>
        <v>0</v>
      </c>
      <c r="K95" s="388">
        <f t="shared" si="48"/>
        <v>0</v>
      </c>
      <c r="L95" s="388">
        <f t="shared" si="48"/>
        <v>0</v>
      </c>
      <c r="M95" s="388">
        <f t="shared" si="48"/>
        <v>0</v>
      </c>
      <c r="N95" s="388">
        <f t="shared" si="48"/>
        <v>0</v>
      </c>
      <c r="O95" s="388">
        <f t="shared" si="48"/>
        <v>0</v>
      </c>
      <c r="P95" s="388">
        <f t="shared" si="48"/>
        <v>0</v>
      </c>
      <c r="Q95" s="388">
        <f t="shared" si="48"/>
        <v>0</v>
      </c>
      <c r="R95" s="388">
        <f>SUM(R62+R66+R73+R77+R94)</f>
        <v>112472470</v>
      </c>
      <c r="S95" s="392">
        <f>SUM(+S62+S66+S77+S94)</f>
        <v>103819596</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49">SUM(C97+D97)</f>
        <v>2200000</v>
      </c>
      <c r="C97" s="389">
        <f>MIN(ROUNDDOWN($S95*0.15,0),2200000)</f>
        <v>2200000</v>
      </c>
      <c r="D97" s="389"/>
      <c r="E97" s="389">
        <f t="shared" ref="E97:E102" si="50">B97-SUM(F97:Q97)</f>
        <v>1207497</v>
      </c>
      <c r="F97" s="389"/>
      <c r="G97" s="389">
        <f>'Applicant Notes'!BM3</f>
        <v>992503</v>
      </c>
      <c r="H97" s="389"/>
      <c r="I97" s="389"/>
      <c r="J97" s="389"/>
      <c r="K97" s="389"/>
      <c r="L97" s="389"/>
      <c r="M97" s="389"/>
      <c r="N97" s="389"/>
      <c r="O97" s="389"/>
      <c r="P97" s="389"/>
      <c r="Q97" s="389"/>
      <c r="R97" s="389">
        <f t="shared" ref="R97:R102" si="51">SUM(E97:Q97)</f>
        <v>2200000</v>
      </c>
      <c r="S97" s="389">
        <f>MIN(ROUNDDOWN($S95*0.15,0),2200000)</f>
        <v>2200000</v>
      </c>
      <c r="T97" s="389"/>
      <c r="U97" s="385"/>
    </row>
    <row r="98" spans="1:21" s="386" customFormat="1">
      <c r="A98" s="387" t="s">
        <v>592</v>
      </c>
      <c r="B98" s="388">
        <f t="shared" si="49"/>
        <v>0</v>
      </c>
      <c r="C98" s="389"/>
      <c r="D98" s="389"/>
      <c r="E98" s="389">
        <f t="shared" si="50"/>
        <v>0</v>
      </c>
      <c r="F98" s="389"/>
      <c r="G98" s="389"/>
      <c r="H98" s="389"/>
      <c r="I98" s="389"/>
      <c r="J98" s="389"/>
      <c r="K98" s="389"/>
      <c r="L98" s="389"/>
      <c r="M98" s="389"/>
      <c r="N98" s="389"/>
      <c r="O98" s="389"/>
      <c r="P98" s="389"/>
      <c r="Q98" s="389"/>
      <c r="R98" s="389">
        <f t="shared" si="51"/>
        <v>0</v>
      </c>
      <c r="S98" s="389">
        <f t="shared" ref="S98:S102" si="52">C98</f>
        <v>0</v>
      </c>
      <c r="T98" s="389"/>
      <c r="U98" s="385"/>
    </row>
    <row r="99" spans="1:21" s="386" customFormat="1">
      <c r="A99" s="387" t="s">
        <v>593</v>
      </c>
      <c r="B99" s="388">
        <f t="shared" si="49"/>
        <v>0</v>
      </c>
      <c r="C99" s="389"/>
      <c r="D99" s="389"/>
      <c r="E99" s="389">
        <f t="shared" si="50"/>
        <v>0</v>
      </c>
      <c r="F99" s="389"/>
      <c r="G99" s="389"/>
      <c r="H99" s="389"/>
      <c r="I99" s="389"/>
      <c r="J99" s="389"/>
      <c r="K99" s="389"/>
      <c r="L99" s="389"/>
      <c r="M99" s="389"/>
      <c r="N99" s="389"/>
      <c r="O99" s="389"/>
      <c r="P99" s="389"/>
      <c r="Q99" s="389"/>
      <c r="R99" s="389">
        <f t="shared" si="51"/>
        <v>0</v>
      </c>
      <c r="S99" s="389">
        <f t="shared" si="52"/>
        <v>0</v>
      </c>
      <c r="T99" s="389"/>
      <c r="U99" s="385"/>
    </row>
    <row r="100" spans="1:21" s="386" customFormat="1" ht="12" customHeight="1">
      <c r="A100" s="387" t="s">
        <v>594</v>
      </c>
      <c r="B100" s="388">
        <f t="shared" si="49"/>
        <v>0</v>
      </c>
      <c r="C100" s="389"/>
      <c r="D100" s="389"/>
      <c r="E100" s="389">
        <f t="shared" si="50"/>
        <v>0</v>
      </c>
      <c r="F100" s="389"/>
      <c r="G100" s="389"/>
      <c r="H100" s="389"/>
      <c r="I100" s="389"/>
      <c r="J100" s="389"/>
      <c r="K100" s="389"/>
      <c r="L100" s="389"/>
      <c r="M100" s="389"/>
      <c r="N100" s="389"/>
      <c r="O100" s="389"/>
      <c r="P100" s="389"/>
      <c r="Q100" s="389"/>
      <c r="R100" s="389">
        <f t="shared" si="51"/>
        <v>0</v>
      </c>
      <c r="S100" s="389">
        <f t="shared" si="52"/>
        <v>0</v>
      </c>
      <c r="T100" s="389"/>
      <c r="U100" s="385"/>
    </row>
    <row r="101" spans="1:21" s="386" customFormat="1">
      <c r="A101" s="387" t="s">
        <v>1400</v>
      </c>
      <c r="B101" s="388">
        <f t="shared" si="49"/>
        <v>0</v>
      </c>
      <c r="C101" s="389"/>
      <c r="D101" s="389"/>
      <c r="E101" s="389">
        <f t="shared" si="50"/>
        <v>0</v>
      </c>
      <c r="F101" s="389"/>
      <c r="G101" s="389"/>
      <c r="H101" s="389"/>
      <c r="I101" s="389"/>
      <c r="J101" s="389"/>
      <c r="K101" s="389"/>
      <c r="L101" s="389"/>
      <c r="M101" s="389"/>
      <c r="N101" s="389"/>
      <c r="O101" s="389"/>
      <c r="P101" s="389"/>
      <c r="Q101" s="389"/>
      <c r="R101" s="389">
        <f t="shared" si="51"/>
        <v>0</v>
      </c>
      <c r="S101" s="389">
        <f t="shared" si="52"/>
        <v>0</v>
      </c>
      <c r="T101" s="389"/>
      <c r="U101" s="385"/>
    </row>
    <row r="102" spans="1:21" s="386" customFormat="1">
      <c r="A102" s="394" t="s">
        <v>600</v>
      </c>
      <c r="B102" s="388">
        <f t="shared" si="49"/>
        <v>0</v>
      </c>
      <c r="C102" s="389"/>
      <c r="D102" s="389"/>
      <c r="E102" s="389">
        <f t="shared" si="50"/>
        <v>0</v>
      </c>
      <c r="F102" s="389"/>
      <c r="G102" s="389"/>
      <c r="H102" s="389"/>
      <c r="I102" s="389"/>
      <c r="J102" s="389"/>
      <c r="K102" s="389"/>
      <c r="L102" s="389"/>
      <c r="M102" s="389"/>
      <c r="N102" s="389"/>
      <c r="O102" s="389"/>
      <c r="P102" s="389"/>
      <c r="Q102" s="389"/>
      <c r="R102" s="389">
        <f t="shared" si="51"/>
        <v>0</v>
      </c>
      <c r="S102" s="389">
        <f t="shared" si="52"/>
        <v>0</v>
      </c>
      <c r="T102" s="389"/>
      <c r="U102" s="385"/>
    </row>
    <row r="103" spans="1:21" s="386" customFormat="1">
      <c r="A103" s="391" t="s">
        <v>595</v>
      </c>
      <c r="B103" s="388">
        <f>SUM(C103:D103)</f>
        <v>2200000</v>
      </c>
      <c r="C103" s="388">
        <f t="shared" ref="C103:T103" si="53">SUM(C97:C102)</f>
        <v>2200000</v>
      </c>
      <c r="D103" s="388">
        <f t="shared" si="53"/>
        <v>0</v>
      </c>
      <c r="E103" s="388">
        <f t="shared" si="53"/>
        <v>1207497</v>
      </c>
      <c r="F103" s="388">
        <f t="shared" si="53"/>
        <v>0</v>
      </c>
      <c r="G103" s="388">
        <f t="shared" si="53"/>
        <v>992503</v>
      </c>
      <c r="H103" s="388">
        <f t="shared" si="53"/>
        <v>0</v>
      </c>
      <c r="I103" s="388">
        <f t="shared" si="53"/>
        <v>0</v>
      </c>
      <c r="J103" s="388">
        <f t="shared" si="53"/>
        <v>0</v>
      </c>
      <c r="K103" s="388">
        <f t="shared" si="53"/>
        <v>0</v>
      </c>
      <c r="L103" s="388">
        <f t="shared" si="53"/>
        <v>0</v>
      </c>
      <c r="M103" s="388">
        <f t="shared" si="53"/>
        <v>0</v>
      </c>
      <c r="N103" s="388">
        <f t="shared" si="53"/>
        <v>0</v>
      </c>
      <c r="O103" s="388">
        <f t="shared" si="53"/>
        <v>0</v>
      </c>
      <c r="P103" s="388">
        <f t="shared" si="53"/>
        <v>0</v>
      </c>
      <c r="Q103" s="388">
        <f>SUM(Q97:Q102)</f>
        <v>0</v>
      </c>
      <c r="R103" s="388">
        <f t="shared" si="53"/>
        <v>2200000</v>
      </c>
      <c r="S103" s="392">
        <f t="shared" si="53"/>
        <v>2200000</v>
      </c>
      <c r="T103" s="392">
        <f t="shared" si="53"/>
        <v>0</v>
      </c>
      <c r="U103" s="385"/>
    </row>
    <row r="104" spans="1:21" s="386" customFormat="1">
      <c r="A104" s="391" t="s">
        <v>1309</v>
      </c>
      <c r="B104" s="392">
        <f>SUM(C104:D104)</f>
        <v>114672470</v>
      </c>
      <c r="C104" s="392">
        <f t="shared" ref="C104:R104" si="54">SUM(C95+C103)</f>
        <v>114672470</v>
      </c>
      <c r="D104" s="392">
        <f t="shared" si="54"/>
        <v>0</v>
      </c>
      <c r="E104" s="392">
        <f t="shared" si="54"/>
        <v>21249967</v>
      </c>
      <c r="F104" s="392">
        <f t="shared" si="54"/>
        <v>92430000</v>
      </c>
      <c r="G104" s="392">
        <f t="shared" si="54"/>
        <v>992503</v>
      </c>
      <c r="H104" s="392">
        <f t="shared" si="54"/>
        <v>0</v>
      </c>
      <c r="I104" s="392">
        <f t="shared" si="54"/>
        <v>0</v>
      </c>
      <c r="J104" s="392">
        <f t="shared" si="54"/>
        <v>0</v>
      </c>
      <c r="K104" s="392">
        <f t="shared" si="54"/>
        <v>0</v>
      </c>
      <c r="L104" s="392">
        <f t="shared" si="54"/>
        <v>0</v>
      </c>
      <c r="M104" s="392">
        <f t="shared" si="54"/>
        <v>0</v>
      </c>
      <c r="N104" s="392">
        <f t="shared" si="54"/>
        <v>0</v>
      </c>
      <c r="O104" s="392">
        <f t="shared" si="54"/>
        <v>0</v>
      </c>
      <c r="P104" s="392">
        <f t="shared" si="54"/>
        <v>0</v>
      </c>
      <c r="Q104" s="392">
        <f t="shared" si="54"/>
        <v>0</v>
      </c>
      <c r="R104" s="388">
        <f t="shared" si="54"/>
        <v>114672470</v>
      </c>
      <c r="S104" s="392">
        <f>S95+S103</f>
        <v>106019596</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106019596</v>
      </c>
      <c r="T106" s="406">
        <f>T104+T105</f>
        <v>0</v>
      </c>
      <c r="U106" s="404"/>
    </row>
    <row r="107" spans="1:21" s="407" customFormat="1">
      <c r="A107" s="405" t="s">
        <v>1250</v>
      </c>
      <c r="B107" s="400"/>
      <c r="C107" s="400"/>
      <c r="D107" s="400"/>
      <c r="E107" s="682">
        <f>Application!AG630</f>
        <v>21249967</v>
      </c>
      <c r="F107" s="682">
        <f>Application!AG617</f>
        <v>92430000</v>
      </c>
      <c r="G107" s="682">
        <f>Application!AG618</f>
        <v>992503</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805" t="s">
        <v>1455</v>
      </c>
      <c r="E122" s="2805"/>
      <c r="F122" s="2805"/>
      <c r="U122" s="404"/>
    </row>
    <row r="123" spans="1:21" s="401" customFormat="1">
      <c r="A123" s="401" t="s">
        <v>1456</v>
      </c>
      <c r="B123" s="915"/>
      <c r="D123" s="2808" t="s">
        <v>1483</v>
      </c>
      <c r="E123" s="2809"/>
      <c r="F123" s="2809"/>
      <c r="G123" s="2809"/>
      <c r="H123" s="2809"/>
      <c r="I123" s="2809"/>
      <c r="J123" s="2809"/>
      <c r="K123" s="2809"/>
      <c r="L123" s="2809"/>
      <c r="M123" s="2809"/>
      <c r="N123" s="2809"/>
      <c r="O123" s="2809"/>
      <c r="P123" s="2809"/>
      <c r="Q123" s="2809"/>
      <c r="R123" s="2809"/>
      <c r="S123" s="2809"/>
      <c r="U123" s="404"/>
    </row>
    <row r="124" spans="1:21" s="401" customFormat="1" ht="12.75">
      <c r="A124" s="918" t="s">
        <v>1457</v>
      </c>
      <c r="B124" s="915"/>
      <c r="C124" s="918"/>
      <c r="D124" s="2809"/>
      <c r="E124" s="2809"/>
      <c r="F124" s="2809"/>
      <c r="G124" s="2809"/>
      <c r="H124" s="2809"/>
      <c r="I124" s="2809"/>
      <c r="J124" s="2809"/>
      <c r="K124" s="2809"/>
      <c r="L124" s="2809"/>
      <c r="M124" s="2809"/>
      <c r="N124" s="2809"/>
      <c r="O124" s="2809"/>
      <c r="P124" s="2809"/>
      <c r="Q124" s="2809"/>
      <c r="R124" s="2809"/>
      <c r="S124" s="2809"/>
      <c r="U124" s="404"/>
    </row>
    <row r="125" spans="1:21" s="401" customFormat="1" ht="12.75">
      <c r="A125" s="918" t="s">
        <v>1458</v>
      </c>
      <c r="B125" s="915"/>
      <c r="C125" s="918"/>
      <c r="D125" s="2809"/>
      <c r="E125" s="2809"/>
      <c r="F125" s="2809"/>
      <c r="G125" s="2809"/>
      <c r="H125" s="2809"/>
      <c r="I125" s="2809"/>
      <c r="J125" s="2809"/>
      <c r="K125" s="2809"/>
      <c r="L125" s="2809"/>
      <c r="M125" s="2809"/>
      <c r="N125" s="2809"/>
      <c r="O125" s="2809"/>
      <c r="P125" s="2809"/>
      <c r="Q125" s="2809"/>
      <c r="R125" s="2809"/>
      <c r="S125" s="2809"/>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802"/>
      <c r="E128" s="2802"/>
      <c r="F128" s="2802"/>
      <c r="G128" s="2802"/>
      <c r="H128" s="2802"/>
      <c r="I128" s="918"/>
      <c r="J128" s="2803"/>
      <c r="K128" s="2803"/>
      <c r="L128" s="918"/>
      <c r="M128" s="918"/>
      <c r="N128" s="918"/>
      <c r="O128" s="918"/>
      <c r="P128" s="918"/>
      <c r="Q128" s="918"/>
      <c r="R128" s="918"/>
      <c r="S128" s="918"/>
      <c r="U128" s="404"/>
    </row>
    <row r="129" spans="1:21" s="401" customFormat="1" ht="12.75">
      <c r="A129" s="918" t="s">
        <v>553</v>
      </c>
      <c r="B129" s="915"/>
      <c r="C129" s="918"/>
      <c r="D129" s="2804" t="s">
        <v>1462</v>
      </c>
      <c r="E129" s="2804"/>
      <c r="F129" s="2804"/>
      <c r="G129" s="2804"/>
      <c r="H129" s="2804"/>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2548"/>
      <c r="E131" s="2548"/>
      <c r="F131" s="2548"/>
      <c r="G131" s="2548"/>
      <c r="H131" s="2548"/>
      <c r="I131" s="918"/>
      <c r="J131" s="2548"/>
      <c r="K131" s="2548"/>
      <c r="L131" s="2548"/>
      <c r="M131" s="2548"/>
      <c r="N131" s="918"/>
      <c r="O131" s="918"/>
      <c r="P131" s="918"/>
      <c r="Q131" s="918"/>
      <c r="R131" s="918"/>
      <c r="S131" s="918"/>
      <c r="U131" s="404"/>
    </row>
    <row r="132" spans="1:21" s="401" customFormat="1" ht="12.75">
      <c r="A132" s="920"/>
      <c r="B132" s="918"/>
      <c r="C132" s="918"/>
      <c r="D132" s="2810" t="s">
        <v>1465</v>
      </c>
      <c r="E132" s="2810"/>
      <c r="F132" s="2810"/>
      <c r="G132" s="2810"/>
      <c r="H132" s="2810"/>
      <c r="I132" s="918"/>
      <c r="J132" s="2810" t="s">
        <v>1466</v>
      </c>
      <c r="K132" s="2810"/>
      <c r="L132" s="2810"/>
      <c r="M132" s="2810"/>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811"/>
      <c r="B138" s="2812"/>
      <c r="C138" s="2812"/>
      <c r="D138" s="591"/>
      <c r="E138" s="2803"/>
      <c r="F138" s="2803"/>
      <c r="G138" s="918"/>
      <c r="H138" s="918"/>
      <c r="I138" s="918"/>
      <c r="J138" s="918"/>
      <c r="K138" s="918"/>
      <c r="L138" s="918"/>
      <c r="M138" s="918"/>
      <c r="N138" s="918"/>
      <c r="O138" s="918"/>
      <c r="P138" s="918"/>
      <c r="Q138" s="918"/>
      <c r="R138" s="918"/>
      <c r="S138" s="918"/>
    </row>
    <row r="139" spans="1:21" ht="12" customHeight="1">
      <c r="A139" s="2806" t="s">
        <v>1469</v>
      </c>
      <c r="B139" s="2807"/>
      <c r="C139" s="2807"/>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topLeftCell="A16" workbookViewId="0">
      <selection sqref="A1:J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813" t="s">
        <v>2123</v>
      </c>
      <c r="B1" s="2814"/>
      <c r="C1" s="2814"/>
      <c r="D1" s="2814"/>
      <c r="E1" s="2814"/>
      <c r="F1" s="2814"/>
      <c r="G1" s="2814"/>
      <c r="H1" s="2814"/>
      <c r="I1" s="2814"/>
      <c r="J1" s="2815"/>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6360000</v>
      </c>
      <c r="C4" s="970">
        <f>B4</f>
        <v>6360000</v>
      </c>
      <c r="D4" s="970"/>
      <c r="E4" s="971"/>
      <c r="F4" s="971"/>
      <c r="G4" s="971"/>
      <c r="H4" s="971"/>
      <c r="I4" s="971"/>
      <c r="J4" s="971"/>
      <c r="K4" s="964"/>
    </row>
    <row r="5" spans="1:11" s="401" customFormat="1" ht="13.5">
      <c r="A5" s="499" t="s">
        <v>74</v>
      </c>
      <c r="B5" s="969">
        <f>'Sources and Uses Budget'!C5</f>
        <v>280000</v>
      </c>
      <c r="C5" s="970">
        <f t="shared" ref="C5:C7" si="0">B5</f>
        <v>280000</v>
      </c>
      <c r="D5" s="970"/>
      <c r="E5" s="971"/>
      <c r="F5" s="971"/>
      <c r="G5" s="971"/>
      <c r="H5" s="971"/>
      <c r="I5" s="971"/>
      <c r="J5" s="971"/>
      <c r="K5" s="964"/>
    </row>
    <row r="6" spans="1:11" s="401" customFormat="1">
      <c r="A6" s="387" t="s">
        <v>386</v>
      </c>
      <c r="B6" s="969">
        <f>'Sources and Uses Budget'!C6</f>
        <v>0</v>
      </c>
      <c r="C6" s="970">
        <f t="shared" si="0"/>
        <v>0</v>
      </c>
      <c r="D6" s="970"/>
      <c r="E6" s="971"/>
      <c r="F6" s="971"/>
      <c r="G6" s="971"/>
      <c r="H6" s="971"/>
      <c r="I6" s="971"/>
      <c r="J6" s="971"/>
      <c r="K6" s="964"/>
    </row>
    <row r="7" spans="1:11" s="401" customFormat="1">
      <c r="A7" s="387" t="s">
        <v>310</v>
      </c>
      <c r="B7" s="969">
        <f>'Sources and Uses Budget'!C7</f>
        <v>0</v>
      </c>
      <c r="C7" s="970">
        <f t="shared" si="0"/>
        <v>0</v>
      </c>
      <c r="D7" s="970"/>
      <c r="E7" s="971"/>
      <c r="F7" s="971"/>
      <c r="G7" s="971"/>
      <c r="H7" s="971"/>
      <c r="I7" s="971"/>
      <c r="J7" s="971"/>
      <c r="K7" s="964"/>
    </row>
    <row r="8" spans="1:11" s="401" customFormat="1" ht="13.5">
      <c r="A8" s="500" t="s">
        <v>777</v>
      </c>
      <c r="B8" s="969">
        <f>'Sources and Uses Budget'!C8</f>
        <v>6640000</v>
      </c>
      <c r="C8" s="969">
        <f>SUM(C4:C7)</f>
        <v>6640000</v>
      </c>
      <c r="D8" s="969">
        <f>SUM(D4:D7)</f>
        <v>0</v>
      </c>
      <c r="E8" s="971"/>
      <c r="F8" s="971"/>
      <c r="G8" s="971"/>
      <c r="H8" s="971"/>
      <c r="I8" s="971"/>
      <c r="J8" s="971"/>
      <c r="K8" s="964"/>
    </row>
    <row r="9" spans="1:11" s="401" customFormat="1">
      <c r="A9" s="387" t="s">
        <v>1991</v>
      </c>
      <c r="B9" s="969">
        <f>'Sources and Uses Budget'!C9</f>
        <v>0</v>
      </c>
      <c r="C9" s="970">
        <f t="shared" ref="C9:C10" si="1">B9</f>
        <v>0</v>
      </c>
      <c r="D9" s="970"/>
      <c r="E9" s="971"/>
      <c r="F9" s="971"/>
      <c r="G9" s="971"/>
      <c r="H9" s="969">
        <f>'Sources and Uses Budget'!T9</f>
        <v>0</v>
      </c>
      <c r="I9" s="970"/>
      <c r="J9" s="970"/>
      <c r="K9" s="964"/>
    </row>
    <row r="10" spans="1:11" s="401" customFormat="1" ht="13.5">
      <c r="A10" s="499" t="s">
        <v>75</v>
      </c>
      <c r="B10" s="969">
        <f>'Sources and Uses Budget'!C10</f>
        <v>0</v>
      </c>
      <c r="C10" s="970">
        <f t="shared" si="1"/>
        <v>0</v>
      </c>
      <c r="D10" s="970"/>
      <c r="E10" s="969">
        <f>'Sources and Uses Budget'!S10</f>
        <v>0</v>
      </c>
      <c r="F10" s="970">
        <f>E10</f>
        <v>0</v>
      </c>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6640000</v>
      </c>
      <c r="C12" s="969">
        <f>SUM(C8+C11)</f>
        <v>6640000</v>
      </c>
      <c r="D12" s="969">
        <f>SUM(D8+D11)</f>
        <v>0</v>
      </c>
      <c r="E12" s="971"/>
      <c r="F12" s="971"/>
      <c r="G12" s="971"/>
      <c r="H12" s="971"/>
      <c r="I12" s="971"/>
      <c r="J12" s="971"/>
      <c r="K12" s="964"/>
    </row>
    <row r="13" spans="1:11" s="401" customFormat="1">
      <c r="A13" s="755" t="s">
        <v>1253</v>
      </c>
      <c r="B13" s="969">
        <f>'Sources and Uses Budget'!C13</f>
        <v>0</v>
      </c>
      <c r="C13" s="970">
        <f t="shared" ref="C13:C15" si="2">B13</f>
        <v>0</v>
      </c>
      <c r="D13" s="970"/>
      <c r="E13" s="969">
        <f>'Sources and Uses Budget'!S13</f>
        <v>0</v>
      </c>
      <c r="F13" s="970">
        <f t="shared" ref="F13:F14" si="3">E13</f>
        <v>0</v>
      </c>
      <c r="G13" s="970"/>
      <c r="H13" s="969">
        <f>'Sources and Uses Budget'!T13</f>
        <v>0</v>
      </c>
      <c r="I13" s="970"/>
      <c r="J13" s="970"/>
      <c r="K13" s="964"/>
    </row>
    <row r="14" spans="1:11" s="401" customFormat="1" ht="24">
      <c r="A14" s="756" t="s">
        <v>1290</v>
      </c>
      <c r="B14" s="969">
        <f>'Sources and Uses Budget'!C14</f>
        <v>0</v>
      </c>
      <c r="C14" s="970">
        <f t="shared" si="2"/>
        <v>0</v>
      </c>
      <c r="D14" s="970"/>
      <c r="E14" s="969">
        <f>'Sources and Uses Budget'!S14</f>
        <v>0</v>
      </c>
      <c r="F14" s="970">
        <f t="shared" si="3"/>
        <v>0</v>
      </c>
      <c r="G14" s="970"/>
      <c r="H14" s="969">
        <f>'Sources and Uses Budget'!T14</f>
        <v>0</v>
      </c>
      <c r="I14" s="970"/>
      <c r="J14" s="970"/>
      <c r="K14" s="964"/>
    </row>
    <row r="15" spans="1:11" s="401" customFormat="1">
      <c r="A15" s="756" t="s">
        <v>1944</v>
      </c>
      <c r="B15" s="969">
        <f>'Sources and Uses Budget'!C15</f>
        <v>0</v>
      </c>
      <c r="C15" s="970">
        <f t="shared" si="2"/>
        <v>0</v>
      </c>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f t="shared" ref="C17:C24" si="4">B17</f>
        <v>0</v>
      </c>
      <c r="D17" s="970"/>
      <c r="E17" s="969">
        <f>'Sources and Uses Budget'!S17</f>
        <v>0</v>
      </c>
      <c r="F17" s="970">
        <f t="shared" ref="F17:F24" si="5">E17</f>
        <v>0</v>
      </c>
      <c r="G17" s="970"/>
      <c r="H17" s="969">
        <f>'Sources and Uses Budget'!T17</f>
        <v>0</v>
      </c>
      <c r="I17" s="970"/>
      <c r="J17" s="970"/>
      <c r="K17" s="964"/>
    </row>
    <row r="18" spans="1:11" s="401" customFormat="1">
      <c r="A18" s="387" t="s">
        <v>1026</v>
      </c>
      <c r="B18" s="969">
        <f>'Sources and Uses Budget'!C18</f>
        <v>0</v>
      </c>
      <c r="C18" s="970">
        <f t="shared" si="4"/>
        <v>0</v>
      </c>
      <c r="D18" s="970"/>
      <c r="E18" s="969">
        <f>'Sources and Uses Budget'!S18</f>
        <v>0</v>
      </c>
      <c r="F18" s="970">
        <f t="shared" si="5"/>
        <v>0</v>
      </c>
      <c r="G18" s="970"/>
      <c r="H18" s="969">
        <f>'Sources and Uses Budget'!T18</f>
        <v>0</v>
      </c>
      <c r="I18" s="970"/>
      <c r="J18" s="970"/>
      <c r="K18" s="964"/>
    </row>
    <row r="19" spans="1:11" s="401" customFormat="1">
      <c r="A19" s="387" t="s">
        <v>1027</v>
      </c>
      <c r="B19" s="969">
        <f>'Sources and Uses Budget'!C19</f>
        <v>0</v>
      </c>
      <c r="C19" s="970">
        <f t="shared" si="4"/>
        <v>0</v>
      </c>
      <c r="D19" s="970"/>
      <c r="E19" s="969">
        <f>'Sources and Uses Budget'!S19</f>
        <v>0</v>
      </c>
      <c r="F19" s="970">
        <f t="shared" si="5"/>
        <v>0</v>
      </c>
      <c r="G19" s="970"/>
      <c r="H19" s="969">
        <f>'Sources and Uses Budget'!T19</f>
        <v>0</v>
      </c>
      <c r="I19" s="970"/>
      <c r="J19" s="970"/>
      <c r="K19" s="964"/>
    </row>
    <row r="20" spans="1:11" s="401" customFormat="1">
      <c r="A20" s="387" t="s">
        <v>1028</v>
      </c>
      <c r="B20" s="969">
        <f>'Sources and Uses Budget'!C20</f>
        <v>0</v>
      </c>
      <c r="C20" s="970">
        <f t="shared" si="4"/>
        <v>0</v>
      </c>
      <c r="D20" s="970"/>
      <c r="E20" s="969">
        <f>'Sources and Uses Budget'!S20</f>
        <v>0</v>
      </c>
      <c r="F20" s="970">
        <f t="shared" si="5"/>
        <v>0</v>
      </c>
      <c r="G20" s="970"/>
      <c r="H20" s="969">
        <f>'Sources and Uses Budget'!T20</f>
        <v>0</v>
      </c>
      <c r="I20" s="970"/>
      <c r="J20" s="970"/>
      <c r="K20" s="964"/>
    </row>
    <row r="21" spans="1:11" s="401" customFormat="1">
      <c r="A21" s="387" t="s">
        <v>1029</v>
      </c>
      <c r="B21" s="969">
        <f>'Sources and Uses Budget'!C21</f>
        <v>0</v>
      </c>
      <c r="C21" s="970">
        <f t="shared" si="4"/>
        <v>0</v>
      </c>
      <c r="D21" s="970"/>
      <c r="E21" s="969">
        <f>'Sources and Uses Budget'!S21</f>
        <v>0</v>
      </c>
      <c r="F21" s="970">
        <f t="shared" si="5"/>
        <v>0</v>
      </c>
      <c r="G21" s="970"/>
      <c r="H21" s="969">
        <f>'Sources and Uses Budget'!T21</f>
        <v>0</v>
      </c>
      <c r="I21" s="970"/>
      <c r="J21" s="970"/>
      <c r="K21" s="964"/>
    </row>
    <row r="22" spans="1:11" s="401" customFormat="1">
      <c r="A22" s="387" t="s">
        <v>1030</v>
      </c>
      <c r="B22" s="969">
        <f>'Sources and Uses Budget'!C22</f>
        <v>0</v>
      </c>
      <c r="C22" s="970">
        <f t="shared" si="4"/>
        <v>0</v>
      </c>
      <c r="D22" s="970"/>
      <c r="E22" s="969">
        <f>'Sources and Uses Budget'!S22</f>
        <v>0</v>
      </c>
      <c r="F22" s="970">
        <f t="shared" si="5"/>
        <v>0</v>
      </c>
      <c r="G22" s="970"/>
      <c r="H22" s="969">
        <f>'Sources and Uses Budget'!T22</f>
        <v>0</v>
      </c>
      <c r="I22" s="970"/>
      <c r="J22" s="970"/>
      <c r="K22" s="964"/>
    </row>
    <row r="23" spans="1:11" s="401" customFormat="1">
      <c r="A23" s="387" t="s">
        <v>1031</v>
      </c>
      <c r="B23" s="969">
        <f>'Sources and Uses Budget'!C23</f>
        <v>0</v>
      </c>
      <c r="C23" s="970">
        <f t="shared" si="4"/>
        <v>0</v>
      </c>
      <c r="D23" s="970"/>
      <c r="E23" s="969">
        <f>'Sources and Uses Budget'!S23</f>
        <v>0</v>
      </c>
      <c r="F23" s="970">
        <f t="shared" si="5"/>
        <v>0</v>
      </c>
      <c r="G23" s="970"/>
      <c r="H23" s="969">
        <f>'Sources and Uses Budget'!T23</f>
        <v>0</v>
      </c>
      <c r="I23" s="970"/>
      <c r="J23" s="970"/>
      <c r="K23" s="964"/>
    </row>
    <row r="24" spans="1:11" s="401" customFormat="1">
      <c r="A24" s="756" t="str">
        <f>'Sources and Uses Budget'!$A24</f>
        <v>Other: (Specify)</v>
      </c>
      <c r="B24" s="969">
        <f>'Sources and Uses Budget'!C24</f>
        <v>0</v>
      </c>
      <c r="C24" s="970">
        <f t="shared" si="4"/>
        <v>0</v>
      </c>
      <c r="D24" s="970"/>
      <c r="E24" s="969">
        <f>'Sources and Uses Budget'!S24</f>
        <v>0</v>
      </c>
      <c r="F24" s="970">
        <f t="shared" si="5"/>
        <v>0</v>
      </c>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f>B26</f>
        <v>0</v>
      </c>
      <c r="D26" s="970"/>
      <c r="E26" s="969">
        <f>'Sources and Uses Budget'!S26</f>
        <v>0</v>
      </c>
      <c r="F26" s="970">
        <f>E26</f>
        <v>0</v>
      </c>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1700000</v>
      </c>
      <c r="C28" s="970">
        <f t="shared" ref="C28:C35" si="6">B28</f>
        <v>1700000</v>
      </c>
      <c r="D28" s="970"/>
      <c r="E28" s="969">
        <f>'Sources and Uses Budget'!S28</f>
        <v>1700000</v>
      </c>
      <c r="F28" s="970">
        <f t="shared" ref="F28:F35" si="7">E28</f>
        <v>1700000</v>
      </c>
      <c r="G28" s="970"/>
      <c r="H28" s="969">
        <f>'Sources and Uses Budget'!T28</f>
        <v>0</v>
      </c>
      <c r="I28" s="970"/>
      <c r="J28" s="970"/>
      <c r="K28" s="964"/>
    </row>
    <row r="29" spans="1:11" s="401" customFormat="1">
      <c r="A29" s="387" t="s">
        <v>1026</v>
      </c>
      <c r="B29" s="969">
        <f>'Sources and Uses Budget'!C29</f>
        <v>66873268</v>
      </c>
      <c r="C29" s="970">
        <f t="shared" si="6"/>
        <v>66873268</v>
      </c>
      <c r="D29" s="970"/>
      <c r="E29" s="969">
        <f>'Sources and Uses Budget'!S29</f>
        <v>66873268</v>
      </c>
      <c r="F29" s="970">
        <f t="shared" si="7"/>
        <v>66873268</v>
      </c>
      <c r="G29" s="970"/>
      <c r="H29" s="969">
        <f>'Sources and Uses Budget'!T29</f>
        <v>0</v>
      </c>
      <c r="I29" s="970"/>
      <c r="J29" s="970"/>
      <c r="K29" s="964"/>
    </row>
    <row r="30" spans="1:11" s="401" customFormat="1">
      <c r="A30" s="387" t="s">
        <v>1027</v>
      </c>
      <c r="B30" s="969">
        <f>'Sources and Uses Budget'!C30</f>
        <v>3154370</v>
      </c>
      <c r="C30" s="970">
        <f t="shared" si="6"/>
        <v>3154370</v>
      </c>
      <c r="D30" s="970"/>
      <c r="E30" s="969">
        <f>'Sources and Uses Budget'!S30</f>
        <v>3154370</v>
      </c>
      <c r="F30" s="970">
        <f t="shared" si="7"/>
        <v>3154370</v>
      </c>
      <c r="G30" s="970"/>
      <c r="H30" s="969">
        <f>'Sources and Uses Budget'!T30</f>
        <v>0</v>
      </c>
      <c r="I30" s="970"/>
      <c r="J30" s="970"/>
      <c r="K30" s="964"/>
    </row>
    <row r="31" spans="1:11" s="401" customFormat="1">
      <c r="A31" s="387" t="s">
        <v>1028</v>
      </c>
      <c r="B31" s="969">
        <f>'Sources and Uses Budget'!C31</f>
        <v>3280545</v>
      </c>
      <c r="C31" s="970">
        <f t="shared" si="6"/>
        <v>3280545</v>
      </c>
      <c r="D31" s="970"/>
      <c r="E31" s="969">
        <f>'Sources and Uses Budget'!S31</f>
        <v>3280545</v>
      </c>
      <c r="F31" s="970">
        <f t="shared" si="7"/>
        <v>3280545</v>
      </c>
      <c r="G31" s="970"/>
      <c r="H31" s="969">
        <f>'Sources and Uses Budget'!T31</f>
        <v>0</v>
      </c>
      <c r="I31" s="970"/>
      <c r="J31" s="970"/>
      <c r="K31" s="964"/>
    </row>
    <row r="32" spans="1:11" s="401" customFormat="1">
      <c r="A32" s="387" t="s">
        <v>1029</v>
      </c>
      <c r="B32" s="969">
        <f>'Sources and Uses Budget'!C32</f>
        <v>3280545</v>
      </c>
      <c r="C32" s="970">
        <f t="shared" si="6"/>
        <v>3280545</v>
      </c>
      <c r="D32" s="970"/>
      <c r="E32" s="969">
        <f>'Sources and Uses Budget'!S32</f>
        <v>3280545</v>
      </c>
      <c r="F32" s="970">
        <f t="shared" si="7"/>
        <v>3280545</v>
      </c>
      <c r="G32" s="970"/>
      <c r="H32" s="969">
        <f>'Sources and Uses Budget'!T32</f>
        <v>0</v>
      </c>
      <c r="I32" s="970"/>
      <c r="J32" s="970"/>
      <c r="K32" s="964"/>
    </row>
    <row r="33" spans="1:11" s="401" customFormat="1">
      <c r="A33" s="387" t="s">
        <v>1030</v>
      </c>
      <c r="B33" s="969">
        <f>'Sources and Uses Budget'!C33</f>
        <v>10285990</v>
      </c>
      <c r="C33" s="970">
        <f t="shared" si="6"/>
        <v>10285990</v>
      </c>
      <c r="D33" s="970"/>
      <c r="E33" s="969">
        <f>'Sources and Uses Budget'!S33</f>
        <v>10285990</v>
      </c>
      <c r="F33" s="970">
        <f t="shared" si="7"/>
        <v>10285990</v>
      </c>
      <c r="G33" s="970"/>
      <c r="H33" s="969">
        <f>'Sources and Uses Budget'!T33</f>
        <v>0</v>
      </c>
      <c r="I33" s="970"/>
      <c r="J33" s="970"/>
      <c r="K33" s="964"/>
    </row>
    <row r="34" spans="1:11" s="401" customFormat="1">
      <c r="A34" s="387" t="s">
        <v>1031</v>
      </c>
      <c r="B34" s="969">
        <f>'Sources and Uses Budget'!C34</f>
        <v>797172</v>
      </c>
      <c r="C34" s="970">
        <f t="shared" si="6"/>
        <v>797172</v>
      </c>
      <c r="D34" s="970"/>
      <c r="E34" s="969">
        <f>'Sources and Uses Budget'!S34</f>
        <v>797172</v>
      </c>
      <c r="F34" s="970">
        <f t="shared" si="7"/>
        <v>797172</v>
      </c>
      <c r="G34" s="970"/>
      <c r="H34" s="969">
        <f>'Sources and Uses Budget'!T34</f>
        <v>0</v>
      </c>
      <c r="I34" s="970"/>
      <c r="J34" s="970"/>
      <c r="K34" s="964"/>
    </row>
    <row r="35" spans="1:11" s="401" customFormat="1">
      <c r="A35" s="756" t="str">
        <f>'Sources and Uses Budget'!$A35</f>
        <v>Other: (Specify)</v>
      </c>
      <c r="B35" s="969">
        <f>'Sources and Uses Budget'!C35</f>
        <v>0</v>
      </c>
      <c r="C35" s="970">
        <f t="shared" si="6"/>
        <v>0</v>
      </c>
      <c r="D35" s="970"/>
      <c r="E35" s="969">
        <f>'Sources and Uses Budget'!S35</f>
        <v>0</v>
      </c>
      <c r="F35" s="970">
        <f t="shared" si="7"/>
        <v>0</v>
      </c>
      <c r="G35" s="970"/>
      <c r="H35" s="969">
        <f>'Sources and Uses Budget'!T35</f>
        <v>0</v>
      </c>
      <c r="I35" s="970"/>
      <c r="J35" s="970"/>
      <c r="K35" s="964"/>
    </row>
    <row r="36" spans="1:11" s="401" customFormat="1">
      <c r="A36" s="962" t="s">
        <v>1034</v>
      </c>
      <c r="B36" s="969">
        <f>'Sources and Uses Budget'!C36</f>
        <v>89371890</v>
      </c>
      <c r="C36" s="969">
        <f>SUM(C28:C35)</f>
        <v>89371890</v>
      </c>
      <c r="D36" s="969">
        <f>SUM(D28:D35)</f>
        <v>0</v>
      </c>
      <c r="E36" s="969">
        <f>'Sources and Uses Budget'!S36</f>
        <v>89371890</v>
      </c>
      <c r="F36" s="972">
        <f>SUM(F28:F35)</f>
        <v>89371890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1800000</v>
      </c>
      <c r="C38" s="970">
        <f t="shared" ref="C38:C39" si="8">B38</f>
        <v>1800000</v>
      </c>
      <c r="D38" s="970"/>
      <c r="E38" s="969">
        <f>'Sources and Uses Budget'!S38</f>
        <v>1800000</v>
      </c>
      <c r="F38" s="970">
        <f t="shared" ref="F38:F39" si="9">E38</f>
        <v>1800000</v>
      </c>
      <c r="G38" s="970"/>
      <c r="H38" s="969">
        <f>'Sources and Uses Budget'!T38</f>
        <v>0</v>
      </c>
      <c r="I38" s="970"/>
      <c r="J38" s="970"/>
      <c r="K38" s="964"/>
    </row>
    <row r="39" spans="1:11" s="401" customFormat="1">
      <c r="A39" s="387" t="s">
        <v>1037</v>
      </c>
      <c r="B39" s="969">
        <f>'Sources and Uses Budget'!C39</f>
        <v>240000</v>
      </c>
      <c r="C39" s="970">
        <f t="shared" si="8"/>
        <v>240000</v>
      </c>
      <c r="D39" s="970"/>
      <c r="E39" s="969">
        <f>'Sources and Uses Budget'!S39</f>
        <v>240000</v>
      </c>
      <c r="F39" s="970">
        <f t="shared" si="9"/>
        <v>240000</v>
      </c>
      <c r="G39" s="970"/>
      <c r="H39" s="969">
        <f>'Sources and Uses Budget'!T39</f>
        <v>0</v>
      </c>
      <c r="I39" s="970"/>
      <c r="J39" s="970"/>
      <c r="K39" s="964"/>
    </row>
    <row r="40" spans="1:11" s="401" customFormat="1">
      <c r="A40" s="391" t="s">
        <v>1038</v>
      </c>
      <c r="B40" s="969">
        <f>'Sources and Uses Budget'!C40</f>
        <v>2040000</v>
      </c>
      <c r="C40" s="969">
        <f>SUM(C37:C39)</f>
        <v>2040000</v>
      </c>
      <c r="D40" s="969">
        <f>SUM(D37:D39)</f>
        <v>0</v>
      </c>
      <c r="E40" s="969">
        <f>'Sources and Uses Budget'!S40</f>
        <v>2040000</v>
      </c>
      <c r="F40" s="972">
        <f>SUM(F38:F39)</f>
        <v>2040000</v>
      </c>
      <c r="G40" s="972">
        <f>SUM(G38:G39)</f>
        <v>0</v>
      </c>
      <c r="H40" s="969">
        <f>'Sources and Uses Budget'!T40</f>
        <v>0</v>
      </c>
      <c r="I40" s="972">
        <f>SUM(I38:I39)</f>
        <v>0</v>
      </c>
      <c r="J40" s="972">
        <f>SUM(J38:J39)</f>
        <v>0</v>
      </c>
      <c r="K40" s="964"/>
    </row>
    <row r="41" spans="1:11" s="401" customFormat="1">
      <c r="A41" s="391" t="s">
        <v>1039</v>
      </c>
      <c r="B41" s="969">
        <f>'Sources and Uses Budget'!C41</f>
        <v>800000</v>
      </c>
      <c r="C41" s="970">
        <f>B41</f>
        <v>800000</v>
      </c>
      <c r="D41" s="970"/>
      <c r="E41" s="969">
        <f>'Sources and Uses Budget'!S41</f>
        <v>800000</v>
      </c>
      <c r="F41" s="970">
        <f>E41</f>
        <v>800000</v>
      </c>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2753273</v>
      </c>
      <c r="C43" s="970">
        <f t="shared" ref="C43:C51" si="10">B43</f>
        <v>2753273</v>
      </c>
      <c r="D43" s="970"/>
      <c r="E43" s="969">
        <f>'Sources and Uses Budget'!S43</f>
        <v>2753273</v>
      </c>
      <c r="F43" s="970">
        <f t="shared" ref="F43:F51" si="11">E43</f>
        <v>2753273</v>
      </c>
      <c r="G43" s="970"/>
      <c r="H43" s="969">
        <f>'Sources and Uses Budget'!T43</f>
        <v>0</v>
      </c>
      <c r="I43" s="970"/>
      <c r="J43" s="970"/>
      <c r="K43" s="964"/>
    </row>
    <row r="44" spans="1:11" s="401" customFormat="1">
      <c r="A44" s="387" t="s">
        <v>1042</v>
      </c>
      <c r="B44" s="969">
        <f>'Sources and Uses Budget'!C44</f>
        <v>924300</v>
      </c>
      <c r="C44" s="970">
        <f t="shared" si="10"/>
        <v>924300</v>
      </c>
      <c r="D44" s="970"/>
      <c r="E44" s="969">
        <f>'Sources and Uses Budget'!S44</f>
        <v>924300</v>
      </c>
      <c r="F44" s="970">
        <f t="shared" si="11"/>
        <v>924300</v>
      </c>
      <c r="G44" s="970"/>
      <c r="H44" s="969">
        <f>'Sources and Uses Budget'!T44</f>
        <v>0</v>
      </c>
      <c r="I44" s="970"/>
      <c r="J44" s="970"/>
      <c r="K44" s="964"/>
    </row>
    <row r="45" spans="1:11" s="401" customFormat="1" ht="12" customHeight="1">
      <c r="A45" s="387" t="s">
        <v>1043</v>
      </c>
      <c r="B45" s="969">
        <f>'Sources and Uses Budget'!C45</f>
        <v>277290</v>
      </c>
      <c r="C45" s="970">
        <f t="shared" si="10"/>
        <v>277290</v>
      </c>
      <c r="D45" s="970"/>
      <c r="E45" s="969">
        <f>'Sources and Uses Budget'!S45</f>
        <v>277290</v>
      </c>
      <c r="F45" s="970">
        <f t="shared" si="11"/>
        <v>277290</v>
      </c>
      <c r="G45" s="970"/>
      <c r="H45" s="969">
        <f>'Sources and Uses Budget'!T45</f>
        <v>0</v>
      </c>
      <c r="I45" s="970"/>
      <c r="J45" s="970"/>
      <c r="K45" s="964"/>
    </row>
    <row r="46" spans="1:11" s="401" customFormat="1">
      <c r="A46" s="387" t="s">
        <v>1044</v>
      </c>
      <c r="B46" s="969">
        <f>'Sources and Uses Budget'!C46</f>
        <v>0</v>
      </c>
      <c r="C46" s="970">
        <f t="shared" si="10"/>
        <v>0</v>
      </c>
      <c r="D46" s="970"/>
      <c r="E46" s="969">
        <f>'Sources and Uses Budget'!S46</f>
        <v>0</v>
      </c>
      <c r="F46" s="970">
        <f t="shared" si="11"/>
        <v>0</v>
      </c>
      <c r="G46" s="970"/>
      <c r="H46" s="969">
        <f>'Sources and Uses Budget'!T46</f>
        <v>0</v>
      </c>
      <c r="I46" s="970"/>
      <c r="J46" s="970"/>
      <c r="K46" s="964"/>
    </row>
    <row r="47" spans="1:11" s="401" customFormat="1">
      <c r="A47" s="387" t="s">
        <v>1047</v>
      </c>
      <c r="B47" s="969">
        <f>'Sources and Uses Budget'!C47</f>
        <v>35000</v>
      </c>
      <c r="C47" s="970">
        <f t="shared" si="10"/>
        <v>35000</v>
      </c>
      <c r="D47" s="970"/>
      <c r="E47" s="969">
        <f>'Sources and Uses Budget'!S47</f>
        <v>35000</v>
      </c>
      <c r="F47" s="970">
        <f t="shared" si="11"/>
        <v>35000</v>
      </c>
      <c r="G47" s="970"/>
      <c r="H47" s="969">
        <f>'Sources and Uses Budget'!T47</f>
        <v>0</v>
      </c>
      <c r="I47" s="970"/>
      <c r="J47" s="970"/>
      <c r="K47" s="964"/>
    </row>
    <row r="48" spans="1:11" s="401" customFormat="1">
      <c r="A48" s="387" t="s">
        <v>1045</v>
      </c>
      <c r="B48" s="969">
        <f>'Sources and Uses Budget'!C48</f>
        <v>0</v>
      </c>
      <c r="C48" s="970">
        <f t="shared" si="10"/>
        <v>0</v>
      </c>
      <c r="D48" s="970"/>
      <c r="E48" s="969">
        <f>'Sources and Uses Budget'!S48</f>
        <v>0</v>
      </c>
      <c r="F48" s="970">
        <f t="shared" si="11"/>
        <v>0</v>
      </c>
      <c r="G48" s="970"/>
      <c r="H48" s="969">
        <f>'Sources and Uses Budget'!T48</f>
        <v>0</v>
      </c>
      <c r="I48" s="970"/>
      <c r="J48" s="970"/>
      <c r="K48" s="964"/>
    </row>
    <row r="49" spans="1:11" s="401" customFormat="1">
      <c r="A49" s="387" t="s">
        <v>1046</v>
      </c>
      <c r="B49" s="969">
        <f>'Sources and Uses Budget'!C49</f>
        <v>0</v>
      </c>
      <c r="C49" s="970">
        <f t="shared" si="10"/>
        <v>0</v>
      </c>
      <c r="D49" s="970"/>
      <c r="E49" s="969">
        <f>'Sources and Uses Budget'!S49</f>
        <v>0</v>
      </c>
      <c r="F49" s="970">
        <f t="shared" si="11"/>
        <v>0</v>
      </c>
      <c r="G49" s="970"/>
      <c r="H49" s="969">
        <f>'Sources and Uses Budget'!T49</f>
        <v>0</v>
      </c>
      <c r="I49" s="970"/>
      <c r="J49" s="970"/>
      <c r="K49" s="964"/>
    </row>
    <row r="50" spans="1:11" s="401" customFormat="1">
      <c r="A50" s="756" t="str">
        <f>'Sources and Uses Budget'!$A50</f>
        <v>HUD FHA MIP</v>
      </c>
      <c r="B50" s="969">
        <f>'Sources and Uses Budget'!C50</f>
        <v>462150</v>
      </c>
      <c r="C50" s="970">
        <f t="shared" si="10"/>
        <v>462150</v>
      </c>
      <c r="D50" s="970"/>
      <c r="E50" s="969">
        <f>'Sources and Uses Budget'!S50</f>
        <v>462150</v>
      </c>
      <c r="F50" s="970">
        <f t="shared" si="11"/>
        <v>462150</v>
      </c>
      <c r="G50" s="970"/>
      <c r="H50" s="969">
        <f>'Sources and Uses Budget'!T50</f>
        <v>0</v>
      </c>
      <c r="I50" s="970"/>
      <c r="J50" s="970"/>
      <c r="K50" s="964"/>
    </row>
    <row r="51" spans="1:11" s="401" customFormat="1">
      <c r="A51" s="756" t="str">
        <f>'Sources and Uses Budget'!$A51</f>
        <v>HUD Inspection Fee</v>
      </c>
      <c r="B51" s="969">
        <f>'Sources and Uses Budget'!C51</f>
        <v>462150</v>
      </c>
      <c r="C51" s="970">
        <f t="shared" si="10"/>
        <v>462150</v>
      </c>
      <c r="D51" s="970"/>
      <c r="E51" s="969">
        <f>'Sources and Uses Budget'!S51</f>
        <v>462150</v>
      </c>
      <c r="F51" s="970">
        <f t="shared" si="11"/>
        <v>462150</v>
      </c>
      <c r="G51" s="970"/>
      <c r="H51" s="969">
        <f>'Sources and Uses Budget'!T51</f>
        <v>0</v>
      </c>
      <c r="I51" s="970"/>
      <c r="J51" s="970"/>
      <c r="K51" s="964"/>
    </row>
    <row r="52" spans="1:11" s="961" customFormat="1">
      <c r="A52" s="391" t="s">
        <v>1048</v>
      </c>
      <c r="B52" s="969">
        <f>'Sources and Uses Budget'!C52</f>
        <v>4914163</v>
      </c>
      <c r="C52" s="972">
        <f>SUM(C43:C51)</f>
        <v>4914163</v>
      </c>
      <c r="D52" s="972">
        <f>SUM(D43:D51)</f>
        <v>0</v>
      </c>
      <c r="E52" s="969">
        <f>'Sources and Uses Budget'!S52</f>
        <v>4914163</v>
      </c>
      <c r="F52" s="972">
        <f>SUM(F43:F51)</f>
        <v>4914163</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0</v>
      </c>
      <c r="C54" s="970">
        <f t="shared" ref="C54:C60" si="12">B54</f>
        <v>0</v>
      </c>
      <c r="D54" s="970"/>
      <c r="E54" s="971"/>
      <c r="F54" s="971"/>
      <c r="G54" s="971"/>
      <c r="H54" s="971"/>
      <c r="I54" s="971"/>
      <c r="J54" s="971"/>
      <c r="K54" s="964"/>
    </row>
    <row r="55" spans="1:11" s="401" customFormat="1" ht="12" customHeight="1">
      <c r="A55" s="387" t="s">
        <v>1043</v>
      </c>
      <c r="B55" s="969">
        <f>'Sources and Uses Budget'!C55</f>
        <v>0</v>
      </c>
      <c r="C55" s="970">
        <f t="shared" si="12"/>
        <v>0</v>
      </c>
      <c r="D55" s="970"/>
      <c r="E55" s="971"/>
      <c r="F55" s="971"/>
      <c r="G55" s="971"/>
      <c r="H55" s="971"/>
      <c r="I55" s="971"/>
      <c r="J55" s="971"/>
      <c r="K55" s="964"/>
    </row>
    <row r="56" spans="1:11" s="401" customFormat="1">
      <c r="A56" s="387" t="s">
        <v>1047</v>
      </c>
      <c r="B56" s="969">
        <f>'Sources and Uses Budget'!C56</f>
        <v>0</v>
      </c>
      <c r="C56" s="970">
        <f t="shared" si="12"/>
        <v>0</v>
      </c>
      <c r="D56" s="970"/>
      <c r="E56" s="971"/>
      <c r="F56" s="971"/>
      <c r="G56" s="971"/>
      <c r="H56" s="971"/>
      <c r="I56" s="971"/>
      <c r="J56" s="971"/>
      <c r="K56" s="964"/>
    </row>
    <row r="57" spans="1:11" s="401" customFormat="1">
      <c r="A57" s="387" t="s">
        <v>1045</v>
      </c>
      <c r="B57" s="969">
        <f>'Sources and Uses Budget'!C57</f>
        <v>0</v>
      </c>
      <c r="C57" s="970">
        <f t="shared" si="12"/>
        <v>0</v>
      </c>
      <c r="D57" s="970"/>
      <c r="E57" s="971"/>
      <c r="F57" s="971"/>
      <c r="G57" s="971"/>
      <c r="H57" s="971"/>
      <c r="I57" s="971"/>
      <c r="J57" s="971"/>
      <c r="K57" s="964"/>
    </row>
    <row r="58" spans="1:11" s="401" customFormat="1">
      <c r="A58" s="387" t="s">
        <v>1046</v>
      </c>
      <c r="B58" s="969">
        <f>'Sources and Uses Budget'!C58</f>
        <v>0</v>
      </c>
      <c r="C58" s="970">
        <f t="shared" si="12"/>
        <v>0</v>
      </c>
      <c r="D58" s="970"/>
      <c r="E58" s="971"/>
      <c r="F58" s="971"/>
      <c r="G58" s="971"/>
      <c r="H58" s="971"/>
      <c r="I58" s="971"/>
      <c r="J58" s="971"/>
      <c r="K58" s="964"/>
    </row>
    <row r="59" spans="1:11" s="401" customFormat="1">
      <c r="A59" s="756" t="str">
        <f>'Sources and Uses Budget'!$A59</f>
        <v>Other: (Specify)</v>
      </c>
      <c r="B59" s="969">
        <f>'Sources and Uses Budget'!C59</f>
        <v>0</v>
      </c>
      <c r="C59" s="970">
        <f t="shared" si="12"/>
        <v>0</v>
      </c>
      <c r="D59" s="970"/>
      <c r="E59" s="971"/>
      <c r="F59" s="971"/>
      <c r="G59" s="971"/>
      <c r="H59" s="971"/>
      <c r="I59" s="971"/>
      <c r="J59" s="971"/>
      <c r="K59" s="964"/>
    </row>
    <row r="60" spans="1:11" s="401" customFormat="1">
      <c r="A60" s="756" t="str">
        <f>'Sources and Uses Budget'!$A60</f>
        <v>Other: (Specify)</v>
      </c>
      <c r="B60" s="969">
        <f>'Sources and Uses Budget'!C60</f>
        <v>0</v>
      </c>
      <c r="C60" s="970">
        <f t="shared" si="12"/>
        <v>0</v>
      </c>
      <c r="D60" s="970"/>
      <c r="E60" s="971"/>
      <c r="F60" s="971"/>
      <c r="G60" s="971"/>
      <c r="H60" s="971"/>
      <c r="I60" s="971"/>
      <c r="J60" s="971"/>
      <c r="K60" s="964"/>
    </row>
    <row r="61" spans="1:11" s="401" customFormat="1" ht="13.9" customHeight="1">
      <c r="A61" s="391" t="s">
        <v>554</v>
      </c>
      <c r="B61" s="969">
        <f>'Sources and Uses Budget'!C61</f>
        <v>0</v>
      </c>
      <c r="C61" s="969">
        <f>SUM(C54:C60)</f>
        <v>0</v>
      </c>
      <c r="D61" s="969">
        <f>SUM(D54:D60)</f>
        <v>0</v>
      </c>
      <c r="E61" s="971"/>
      <c r="F61" s="971"/>
      <c r="G61" s="971"/>
      <c r="H61" s="971"/>
      <c r="I61" s="971"/>
      <c r="J61" s="971"/>
      <c r="K61" s="964"/>
    </row>
    <row r="62" spans="1:11" s="401" customFormat="1">
      <c r="A62" s="397" t="s">
        <v>555</v>
      </c>
      <c r="B62" s="969">
        <f>'Sources and Uses Budget'!C62</f>
        <v>103766053</v>
      </c>
      <c r="C62" s="969">
        <f>SUM(C8+C11+C13+C14+C15+C25+C26+C36+C40+C41+C52+C61)</f>
        <v>103766053</v>
      </c>
      <c r="D62" s="969">
        <f>SUM(D8+D11+D13+D14+D15+D25+D26+D36+D40+D41+D52+D61)</f>
        <v>0</v>
      </c>
      <c r="E62" s="969">
        <f>'Sources and Uses Budget'!S62</f>
        <v>97126053</v>
      </c>
      <c r="F62" s="969">
        <f>SUM(F10+F13+F14+F15+F25+F26+F36+F40+F41+F52)</f>
        <v>97126053</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25000</v>
      </c>
      <c r="C64" s="970">
        <f t="shared" ref="C64:C65" si="13">B64</f>
        <v>25000</v>
      </c>
      <c r="D64" s="970"/>
      <c r="E64" s="969">
        <f>'Sources and Uses Budget'!S64</f>
        <v>25000</v>
      </c>
      <c r="F64" s="970">
        <f t="shared" ref="F64:F65" si="14">E64</f>
        <v>25000</v>
      </c>
      <c r="G64" s="970"/>
      <c r="H64" s="969">
        <f>'Sources and Uses Budget'!T64</f>
        <v>0</v>
      </c>
      <c r="I64" s="970"/>
      <c r="J64" s="970"/>
      <c r="K64" s="964"/>
    </row>
    <row r="65" spans="1:11" s="401" customFormat="1">
      <c r="A65" s="756" t="str">
        <f>'Sources and Uses Budget'!$A65</f>
        <v xml:space="preserve">Borrower Legal </v>
      </c>
      <c r="B65" s="969">
        <f>'Sources and Uses Budget'!C65</f>
        <v>25000</v>
      </c>
      <c r="C65" s="970">
        <f t="shared" si="13"/>
        <v>25000</v>
      </c>
      <c r="D65" s="970"/>
      <c r="E65" s="969">
        <f>'Sources and Uses Budget'!S65</f>
        <v>25000</v>
      </c>
      <c r="F65" s="970">
        <f t="shared" si="14"/>
        <v>25000</v>
      </c>
      <c r="G65" s="970"/>
      <c r="H65" s="969">
        <f>'Sources and Uses Budget'!T65</f>
        <v>0</v>
      </c>
      <c r="I65" s="970"/>
      <c r="J65" s="970"/>
      <c r="K65" s="964"/>
    </row>
    <row r="66" spans="1:11" s="401" customFormat="1">
      <c r="A66" s="391" t="s">
        <v>314</v>
      </c>
      <c r="B66" s="969">
        <f>'Sources and Uses Budget'!C66</f>
        <v>50000</v>
      </c>
      <c r="C66" s="969">
        <f>SUM(C63:C65)</f>
        <v>50000</v>
      </c>
      <c r="D66" s="969">
        <f>SUM(D63:D65)</f>
        <v>0</v>
      </c>
      <c r="E66" s="969">
        <f>'Sources and Uses Budget'!S66</f>
        <v>50000</v>
      </c>
      <c r="F66" s="972">
        <f>SUM(F64:F65)</f>
        <v>50000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f t="shared" ref="C68:C72" si="15">B68</f>
        <v>0</v>
      </c>
      <c r="D68" s="970"/>
      <c r="E68" s="971"/>
      <c r="F68" s="971"/>
      <c r="G68" s="971"/>
      <c r="H68" s="971"/>
      <c r="I68" s="971"/>
      <c r="J68" s="971"/>
      <c r="K68" s="964"/>
    </row>
    <row r="69" spans="1:11" s="401" customFormat="1">
      <c r="A69" s="387" t="s">
        <v>317</v>
      </c>
      <c r="B69" s="969">
        <f>'Sources and Uses Budget'!C69</f>
        <v>0</v>
      </c>
      <c r="C69" s="970">
        <f t="shared" si="15"/>
        <v>0</v>
      </c>
      <c r="D69" s="970"/>
      <c r="E69" s="971"/>
      <c r="F69" s="971"/>
      <c r="G69" s="971"/>
      <c r="H69" s="971"/>
      <c r="I69" s="971"/>
      <c r="J69" s="971"/>
      <c r="K69" s="964"/>
    </row>
    <row r="70" spans="1:11" s="401" customFormat="1">
      <c r="A70" s="1049" t="s">
        <v>1399</v>
      </c>
      <c r="B70" s="969">
        <f>'Sources and Uses Budget'!C70</f>
        <v>0</v>
      </c>
      <c r="C70" s="970">
        <f t="shared" si="15"/>
        <v>0</v>
      </c>
      <c r="D70" s="970"/>
      <c r="E70" s="971"/>
      <c r="F70" s="971"/>
      <c r="G70" s="971"/>
      <c r="H70" s="971"/>
      <c r="I70" s="971"/>
      <c r="J70" s="971"/>
      <c r="K70" s="964"/>
    </row>
    <row r="71" spans="1:11" s="401" customFormat="1">
      <c r="A71" s="387" t="s">
        <v>318</v>
      </c>
      <c r="B71" s="969">
        <f>'Sources and Uses Budget'!C71</f>
        <v>1800874</v>
      </c>
      <c r="C71" s="970">
        <f t="shared" si="15"/>
        <v>1800874</v>
      </c>
      <c r="D71" s="970"/>
      <c r="E71" s="971"/>
      <c r="F71" s="971"/>
      <c r="G71" s="971"/>
      <c r="H71" s="971"/>
      <c r="I71" s="971"/>
      <c r="J71" s="971"/>
      <c r="K71" s="964"/>
    </row>
    <row r="72" spans="1:11" s="401" customFormat="1">
      <c r="A72" s="756" t="str">
        <f>'Sources and Uses Budget'!$A72</f>
        <v>Other: (Specify)</v>
      </c>
      <c r="B72" s="969">
        <f>'Sources and Uses Budget'!C72</f>
        <v>0</v>
      </c>
      <c r="C72" s="970">
        <f t="shared" si="15"/>
        <v>0</v>
      </c>
      <c r="D72" s="970"/>
      <c r="E72" s="971"/>
      <c r="F72" s="971"/>
      <c r="G72" s="971"/>
      <c r="H72" s="971"/>
      <c r="I72" s="971"/>
      <c r="J72" s="971"/>
      <c r="K72" s="964"/>
    </row>
    <row r="73" spans="1:11" s="401" customFormat="1">
      <c r="A73" s="391" t="s">
        <v>319</v>
      </c>
      <c r="B73" s="969">
        <f>'Sources and Uses Budget'!C73</f>
        <v>1800874</v>
      </c>
      <c r="C73" s="969">
        <f>SUM(C68:C72)</f>
        <v>1800874</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4468595</v>
      </c>
      <c r="C75" s="970">
        <f t="shared" ref="C75:C76" si="16">B75</f>
        <v>4468595</v>
      </c>
      <c r="D75" s="970"/>
      <c r="E75" s="969">
        <f>'Sources and Uses Budget'!S75</f>
        <v>4468595</v>
      </c>
      <c r="F75" s="970">
        <f t="shared" ref="F75:F76" si="17">E75</f>
        <v>4468595</v>
      </c>
      <c r="G75" s="970"/>
      <c r="H75" s="969">
        <f>'Sources and Uses Budget'!T75</f>
        <v>0</v>
      </c>
      <c r="I75" s="970"/>
      <c r="J75" s="970"/>
      <c r="K75" s="964"/>
    </row>
    <row r="76" spans="1:11" s="1143" customFormat="1">
      <c r="A76" s="387" t="s">
        <v>605</v>
      </c>
      <c r="B76" s="969">
        <f>'Sources and Uses Budget'!C76</f>
        <v>0</v>
      </c>
      <c r="C76" s="970">
        <f t="shared" si="16"/>
        <v>0</v>
      </c>
      <c r="D76" s="970"/>
      <c r="E76" s="969">
        <f>'Sources and Uses Budget'!S76</f>
        <v>0</v>
      </c>
      <c r="F76" s="970">
        <f t="shared" si="17"/>
        <v>0</v>
      </c>
      <c r="G76" s="970"/>
      <c r="H76" s="969">
        <f>'Sources and Uses Budget'!T76</f>
        <v>0</v>
      </c>
      <c r="I76" s="970"/>
      <c r="J76" s="970"/>
      <c r="K76" s="964"/>
    </row>
    <row r="77" spans="1:11" s="401" customFormat="1">
      <c r="A77" s="391" t="s">
        <v>2024</v>
      </c>
      <c r="B77" s="969">
        <f>'Sources and Uses Budget'!C77</f>
        <v>4468595</v>
      </c>
      <c r="C77" s="1179">
        <f>SUM(C75:C76)</f>
        <v>4468595</v>
      </c>
      <c r="D77" s="1179">
        <f>SUM(D75:D76)</f>
        <v>0</v>
      </c>
      <c r="E77" s="969">
        <f>'Sources and Uses Budget'!S77</f>
        <v>4468595</v>
      </c>
      <c r="F77" s="1179">
        <f>SUM(F75:F76)</f>
        <v>4468595</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200000</v>
      </c>
      <c r="C79" s="970">
        <f t="shared" ref="C79:C93" si="18">B79</f>
        <v>200000</v>
      </c>
      <c r="D79" s="970"/>
      <c r="E79" s="971"/>
      <c r="F79" s="971"/>
      <c r="G79" s="971"/>
      <c r="H79" s="971"/>
      <c r="I79" s="971"/>
      <c r="J79" s="971"/>
      <c r="K79" s="964"/>
    </row>
    <row r="80" spans="1:11" s="401" customFormat="1">
      <c r="A80" s="387" t="s">
        <v>581</v>
      </c>
      <c r="B80" s="969">
        <f>'Sources and Uses Budget'!C80</f>
        <v>14000</v>
      </c>
      <c r="C80" s="970">
        <f t="shared" si="18"/>
        <v>14000</v>
      </c>
      <c r="D80" s="970"/>
      <c r="E80" s="969">
        <f>'Sources and Uses Budget'!S80</f>
        <v>14000</v>
      </c>
      <c r="F80" s="970">
        <f t="shared" ref="F80:F83" si="19">E80</f>
        <v>14000</v>
      </c>
      <c r="G80" s="970"/>
      <c r="H80" s="969">
        <f>'Sources and Uses Budget'!T80</f>
        <v>0</v>
      </c>
      <c r="I80" s="970"/>
      <c r="J80" s="970"/>
      <c r="K80" s="964"/>
    </row>
    <row r="81" spans="1:11" s="401" customFormat="1">
      <c r="A81" s="387" t="s">
        <v>582</v>
      </c>
      <c r="B81" s="969">
        <f>'Sources and Uses Budget'!C81</f>
        <v>759137</v>
      </c>
      <c r="C81" s="970">
        <f t="shared" si="18"/>
        <v>759137</v>
      </c>
      <c r="D81" s="970"/>
      <c r="E81" s="969">
        <f>'Sources and Uses Budget'!S81</f>
        <v>759137</v>
      </c>
      <c r="F81" s="970">
        <f t="shared" si="19"/>
        <v>759137</v>
      </c>
      <c r="G81" s="970"/>
      <c r="H81" s="969">
        <f>'Sources and Uses Budget'!T81</f>
        <v>0</v>
      </c>
      <c r="I81" s="970"/>
      <c r="J81" s="970"/>
      <c r="K81" s="964"/>
    </row>
    <row r="82" spans="1:11" s="401" customFormat="1">
      <c r="A82" s="387" t="s">
        <v>583</v>
      </c>
      <c r="B82" s="969">
        <f>'Sources and Uses Budget'!C82</f>
        <v>372811</v>
      </c>
      <c r="C82" s="970">
        <f t="shared" si="18"/>
        <v>372811</v>
      </c>
      <c r="D82" s="970"/>
      <c r="E82" s="969">
        <f>'Sources and Uses Budget'!S82</f>
        <v>372811</v>
      </c>
      <c r="F82" s="970">
        <f t="shared" si="19"/>
        <v>372811</v>
      </c>
      <c r="G82" s="970"/>
      <c r="H82" s="969">
        <f>'Sources and Uses Budget'!T82</f>
        <v>0</v>
      </c>
      <c r="I82" s="970"/>
      <c r="J82" s="970"/>
      <c r="K82" s="964"/>
    </row>
    <row r="83" spans="1:11" s="401" customFormat="1">
      <c r="A83" s="387" t="s">
        <v>584</v>
      </c>
      <c r="B83" s="969">
        <f>'Sources and Uses Budget'!C83</f>
        <v>0</v>
      </c>
      <c r="C83" s="970">
        <f t="shared" si="18"/>
        <v>0</v>
      </c>
      <c r="D83" s="970"/>
      <c r="E83" s="969">
        <f>'Sources and Uses Budget'!S83</f>
        <v>0</v>
      </c>
      <c r="F83" s="970">
        <f t="shared" si="19"/>
        <v>0</v>
      </c>
      <c r="G83" s="970"/>
      <c r="H83" s="969">
        <f>'Sources and Uses Budget'!T83</f>
        <v>0</v>
      </c>
      <c r="I83" s="970"/>
      <c r="J83" s="970"/>
      <c r="K83" s="964"/>
    </row>
    <row r="84" spans="1:11" s="401" customFormat="1">
      <c r="A84" s="387" t="s">
        <v>585</v>
      </c>
      <c r="B84" s="969">
        <f>'Sources and Uses Budget'!C84</f>
        <v>12000</v>
      </c>
      <c r="C84" s="970">
        <f t="shared" si="18"/>
        <v>12000</v>
      </c>
      <c r="D84" s="970"/>
      <c r="E84" s="971"/>
      <c r="F84" s="971"/>
      <c r="G84" s="971"/>
      <c r="H84" s="971"/>
      <c r="I84" s="971"/>
      <c r="J84" s="971"/>
      <c r="K84" s="964"/>
    </row>
    <row r="85" spans="1:11" s="401" customFormat="1">
      <c r="A85" s="387" t="s">
        <v>586</v>
      </c>
      <c r="B85" s="969">
        <f>'Sources and Uses Budget'!C85</f>
        <v>960000</v>
      </c>
      <c r="C85" s="970">
        <f t="shared" si="18"/>
        <v>960000</v>
      </c>
      <c r="D85" s="970"/>
      <c r="E85" s="969">
        <f>'Sources and Uses Budget'!S85</f>
        <v>960000</v>
      </c>
      <c r="F85" s="970">
        <f t="shared" ref="F85:F93" si="20">E85</f>
        <v>960000</v>
      </c>
      <c r="G85" s="970"/>
      <c r="H85" s="969">
        <f>'Sources and Uses Budget'!T85</f>
        <v>0</v>
      </c>
      <c r="I85" s="970"/>
      <c r="J85" s="970"/>
      <c r="K85" s="964"/>
    </row>
    <row r="86" spans="1:11" s="401" customFormat="1">
      <c r="A86" s="387" t="s">
        <v>587</v>
      </c>
      <c r="B86" s="969">
        <f>'Sources and Uses Budget'!C86</f>
        <v>7000</v>
      </c>
      <c r="C86" s="970">
        <f t="shared" si="18"/>
        <v>7000</v>
      </c>
      <c r="D86" s="970"/>
      <c r="E86" s="969">
        <f>'Sources and Uses Budget'!S86</f>
        <v>7000</v>
      </c>
      <c r="F86" s="970">
        <f t="shared" si="20"/>
        <v>7000</v>
      </c>
      <c r="G86" s="970"/>
      <c r="H86" s="969">
        <f>'Sources and Uses Budget'!T86</f>
        <v>0</v>
      </c>
      <c r="I86" s="970"/>
      <c r="J86" s="970"/>
      <c r="K86" s="964"/>
    </row>
    <row r="87" spans="1:11" s="401" customFormat="1">
      <c r="A87" s="756" t="s">
        <v>1482</v>
      </c>
      <c r="B87" s="969">
        <f>'Sources and Uses Budget'!C87</f>
        <v>55000</v>
      </c>
      <c r="C87" s="970">
        <f t="shared" si="18"/>
        <v>55000</v>
      </c>
      <c r="D87" s="970"/>
      <c r="E87" s="969">
        <f>'Sources and Uses Budget'!S87</f>
        <v>55000</v>
      </c>
      <c r="F87" s="970">
        <f t="shared" si="20"/>
        <v>55000</v>
      </c>
      <c r="G87" s="970"/>
      <c r="H87" s="969">
        <f>'Sources and Uses Budget'!T87</f>
        <v>0</v>
      </c>
      <c r="I87" s="970"/>
      <c r="J87" s="970"/>
      <c r="K87" s="964"/>
    </row>
    <row r="88" spans="1:11" s="401" customFormat="1">
      <c r="A88" s="756" t="s">
        <v>2022</v>
      </c>
      <c r="B88" s="969">
        <f>'Sources and Uses Budget'!C88</f>
        <v>7000</v>
      </c>
      <c r="C88" s="970">
        <f t="shared" si="18"/>
        <v>7000</v>
      </c>
      <c r="D88" s="970"/>
      <c r="E88" s="969">
        <f>'Sources and Uses Budget'!S88</f>
        <v>7000</v>
      </c>
      <c r="F88" s="970">
        <f t="shared" si="20"/>
        <v>7000</v>
      </c>
      <c r="G88" s="970"/>
      <c r="H88" s="969">
        <f>'Sources and Uses Budget'!T88</f>
        <v>0</v>
      </c>
      <c r="I88" s="970"/>
      <c r="J88" s="970"/>
      <c r="K88" s="964"/>
    </row>
    <row r="89" spans="1:11" s="401" customFormat="1">
      <c r="A89" s="756" t="str">
        <f>'Sources and Uses Budget'!$A89</f>
        <v>Other: (Specify)</v>
      </c>
      <c r="B89" s="969">
        <f>'Sources and Uses Budget'!C89</f>
        <v>0</v>
      </c>
      <c r="C89" s="970">
        <f t="shared" si="18"/>
        <v>0</v>
      </c>
      <c r="D89" s="970"/>
      <c r="E89" s="969">
        <f>'Sources and Uses Budget'!S89</f>
        <v>0</v>
      </c>
      <c r="F89" s="970">
        <f t="shared" si="20"/>
        <v>0</v>
      </c>
      <c r="G89" s="970"/>
      <c r="H89" s="969">
        <f>'Sources and Uses Budget'!T89</f>
        <v>0</v>
      </c>
      <c r="I89" s="970"/>
      <c r="J89" s="970"/>
      <c r="K89" s="964"/>
    </row>
    <row r="90" spans="1:11" s="401" customFormat="1">
      <c r="A90" s="756" t="str">
        <f>'Sources and Uses Budget'!$A90</f>
        <v>Other: (Specify)</v>
      </c>
      <c r="B90" s="969">
        <f>'Sources and Uses Budget'!C90</f>
        <v>0</v>
      </c>
      <c r="C90" s="970">
        <f t="shared" si="18"/>
        <v>0</v>
      </c>
      <c r="D90" s="970"/>
      <c r="E90" s="969">
        <f>'Sources and Uses Budget'!S90</f>
        <v>0</v>
      </c>
      <c r="F90" s="970">
        <f t="shared" si="20"/>
        <v>0</v>
      </c>
      <c r="G90" s="970"/>
      <c r="H90" s="969">
        <f>'Sources and Uses Budget'!T90</f>
        <v>0</v>
      </c>
      <c r="I90" s="970"/>
      <c r="J90" s="970"/>
      <c r="K90" s="964"/>
    </row>
    <row r="91" spans="1:11" s="401" customFormat="1">
      <c r="A91" s="756" t="str">
        <f>'Sources and Uses Budget'!$A91</f>
        <v>Other: (Specify)</v>
      </c>
      <c r="B91" s="969">
        <f>'Sources and Uses Budget'!C91</f>
        <v>0</v>
      </c>
      <c r="C91" s="970">
        <f t="shared" si="18"/>
        <v>0</v>
      </c>
      <c r="D91" s="970"/>
      <c r="E91" s="969">
        <f>'Sources and Uses Budget'!S91</f>
        <v>0</v>
      </c>
      <c r="F91" s="970">
        <f t="shared" si="20"/>
        <v>0</v>
      </c>
      <c r="G91" s="970"/>
      <c r="H91" s="969">
        <f>'Sources and Uses Budget'!T91</f>
        <v>0</v>
      </c>
      <c r="I91" s="970"/>
      <c r="J91" s="970"/>
      <c r="K91" s="964"/>
    </row>
    <row r="92" spans="1:11" s="401" customFormat="1">
      <c r="A92" s="756" t="str">
        <f>'Sources and Uses Budget'!$A92</f>
        <v>Other: (Specify)</v>
      </c>
      <c r="B92" s="969">
        <f>'Sources and Uses Budget'!C92</f>
        <v>0</v>
      </c>
      <c r="C92" s="970">
        <f t="shared" si="18"/>
        <v>0</v>
      </c>
      <c r="D92" s="970"/>
      <c r="E92" s="969">
        <f>'Sources and Uses Budget'!S92</f>
        <v>0</v>
      </c>
      <c r="F92" s="970">
        <f t="shared" si="20"/>
        <v>0</v>
      </c>
      <c r="G92" s="970"/>
      <c r="H92" s="969">
        <f>'Sources and Uses Budget'!T92</f>
        <v>0</v>
      </c>
      <c r="I92" s="970"/>
      <c r="J92" s="970"/>
      <c r="K92" s="964"/>
    </row>
    <row r="93" spans="1:11" s="401" customFormat="1">
      <c r="A93" s="756" t="str">
        <f>'Sources and Uses Budget'!$A93</f>
        <v>Other: (Specify)</v>
      </c>
      <c r="B93" s="969">
        <f>'Sources and Uses Budget'!C93</f>
        <v>0</v>
      </c>
      <c r="C93" s="970">
        <f t="shared" si="18"/>
        <v>0</v>
      </c>
      <c r="D93" s="970"/>
      <c r="E93" s="969">
        <f>'Sources and Uses Budget'!S93</f>
        <v>0</v>
      </c>
      <c r="F93" s="970">
        <f t="shared" si="20"/>
        <v>0</v>
      </c>
      <c r="G93" s="970"/>
      <c r="H93" s="969">
        <f>'Sources and Uses Budget'!T93</f>
        <v>0</v>
      </c>
      <c r="I93" s="970"/>
      <c r="J93" s="970"/>
      <c r="K93" s="964"/>
    </row>
    <row r="94" spans="1:11" s="401" customFormat="1">
      <c r="A94" s="391" t="s">
        <v>588</v>
      </c>
      <c r="B94" s="969">
        <f>'Sources and Uses Budget'!C94</f>
        <v>2386948</v>
      </c>
      <c r="C94" s="969">
        <f>SUM(C79:C93)</f>
        <v>2386948</v>
      </c>
      <c r="D94" s="969">
        <f>SUM(D79:D93)</f>
        <v>0</v>
      </c>
      <c r="E94" s="969">
        <f>'Sources and Uses Budget'!S94</f>
        <v>2174948</v>
      </c>
      <c r="F94" s="972">
        <f>SUM(F80:F83,F85:F93)</f>
        <v>2174948</v>
      </c>
      <c r="G94" s="972">
        <f>SUM(G80:G83,G85:G93)</f>
        <v>0</v>
      </c>
      <c r="H94" s="969">
        <f>'Sources and Uses Budget'!T94</f>
        <v>0</v>
      </c>
      <c r="I94" s="969">
        <f>SUM(I80:I83,I85:I93)</f>
        <v>0</v>
      </c>
      <c r="J94" s="969">
        <f>SUM(J80:J83,J85:J93)</f>
        <v>0</v>
      </c>
      <c r="K94" s="964"/>
    </row>
    <row r="95" spans="1:11" s="401" customFormat="1">
      <c r="A95" s="391" t="s">
        <v>1536</v>
      </c>
      <c r="B95" s="969">
        <f>'Sources and Uses Budget'!C95</f>
        <v>112472470</v>
      </c>
      <c r="C95" s="969">
        <f>SUM(C62+C66+C73+C77+C94)</f>
        <v>112472470</v>
      </c>
      <c r="D95" s="969">
        <f>SUM(D62+D66+D73+D77+D94)</f>
        <v>0</v>
      </c>
      <c r="E95" s="969">
        <f>'Sources and Uses Budget'!S95</f>
        <v>103819596</v>
      </c>
      <c r="F95" s="972">
        <f>SUM(+F62+F66+F77+F94)</f>
        <v>103819596</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f t="shared" ref="C97:C102" si="21">B97</f>
        <v>2200000</v>
      </c>
      <c r="D97" s="970"/>
      <c r="E97" s="969">
        <f>'Sources and Uses Budget'!S97</f>
        <v>2200000</v>
      </c>
      <c r="F97" s="970">
        <f t="shared" ref="F97:F102" si="22">E97</f>
        <v>2200000</v>
      </c>
      <c r="G97" s="970"/>
      <c r="H97" s="969">
        <f>'Sources and Uses Budget'!T97</f>
        <v>0</v>
      </c>
      <c r="I97" s="970"/>
      <c r="J97" s="970"/>
      <c r="K97" s="964"/>
    </row>
    <row r="98" spans="1:11" s="401" customFormat="1">
      <c r="A98" s="387" t="s">
        <v>592</v>
      </c>
      <c r="B98" s="969">
        <f>'Sources and Uses Budget'!C98</f>
        <v>0</v>
      </c>
      <c r="C98" s="970">
        <f t="shared" si="21"/>
        <v>0</v>
      </c>
      <c r="D98" s="970"/>
      <c r="E98" s="969">
        <f>'Sources and Uses Budget'!S98</f>
        <v>0</v>
      </c>
      <c r="F98" s="970">
        <f t="shared" si="22"/>
        <v>0</v>
      </c>
      <c r="G98" s="970"/>
      <c r="H98" s="969">
        <f>'Sources and Uses Budget'!T98</f>
        <v>0</v>
      </c>
      <c r="I98" s="970"/>
      <c r="J98" s="970"/>
      <c r="K98" s="964"/>
    </row>
    <row r="99" spans="1:11" s="401" customFormat="1">
      <c r="A99" s="387" t="s">
        <v>593</v>
      </c>
      <c r="B99" s="969">
        <f>'Sources and Uses Budget'!C99</f>
        <v>0</v>
      </c>
      <c r="C99" s="970">
        <f t="shared" si="21"/>
        <v>0</v>
      </c>
      <c r="D99" s="970"/>
      <c r="E99" s="969">
        <f>'Sources and Uses Budget'!S99</f>
        <v>0</v>
      </c>
      <c r="F99" s="970">
        <f t="shared" si="22"/>
        <v>0</v>
      </c>
      <c r="G99" s="970"/>
      <c r="H99" s="969">
        <f>'Sources and Uses Budget'!T99</f>
        <v>0</v>
      </c>
      <c r="I99" s="970"/>
      <c r="J99" s="970"/>
      <c r="K99" s="964"/>
    </row>
    <row r="100" spans="1:11" s="401" customFormat="1" ht="12" customHeight="1">
      <c r="A100" s="387" t="s">
        <v>594</v>
      </c>
      <c r="B100" s="969">
        <f>'Sources and Uses Budget'!C100</f>
        <v>0</v>
      </c>
      <c r="C100" s="970">
        <f t="shared" si="21"/>
        <v>0</v>
      </c>
      <c r="D100" s="970"/>
      <c r="E100" s="969">
        <f>'Sources and Uses Budget'!S100</f>
        <v>0</v>
      </c>
      <c r="F100" s="970">
        <f t="shared" si="22"/>
        <v>0</v>
      </c>
      <c r="G100" s="970"/>
      <c r="H100" s="969">
        <f>'Sources and Uses Budget'!T100</f>
        <v>0</v>
      </c>
      <c r="I100" s="970"/>
      <c r="J100" s="970"/>
      <c r="K100" s="964"/>
    </row>
    <row r="101" spans="1:11" s="401" customFormat="1">
      <c r="A101" s="387" t="s">
        <v>1400</v>
      </c>
      <c r="B101" s="969">
        <f>'Sources and Uses Budget'!C101</f>
        <v>0</v>
      </c>
      <c r="C101" s="970">
        <f t="shared" si="21"/>
        <v>0</v>
      </c>
      <c r="D101" s="970"/>
      <c r="E101" s="969">
        <f>'Sources and Uses Budget'!S101</f>
        <v>0</v>
      </c>
      <c r="F101" s="970">
        <f t="shared" si="22"/>
        <v>0</v>
      </c>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21"/>
        <v>0</v>
      </c>
      <c r="D102" s="970"/>
      <c r="E102" s="969">
        <f>'Sources and Uses Budget'!S102</f>
        <v>0</v>
      </c>
      <c r="F102" s="970">
        <f t="shared" si="22"/>
        <v>0</v>
      </c>
      <c r="G102" s="970"/>
      <c r="H102" s="969">
        <f>'Sources and Uses Budget'!T102</f>
        <v>0</v>
      </c>
      <c r="I102" s="970"/>
      <c r="J102" s="970"/>
      <c r="K102" s="964"/>
    </row>
    <row r="103" spans="1:11" s="401" customFormat="1">
      <c r="A103" s="391" t="s">
        <v>595</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1537</v>
      </c>
      <c r="B104" s="969">
        <f>'Sources and Uses Budget'!C104</f>
        <v>114672470</v>
      </c>
      <c r="C104" s="972">
        <f>SUM(C95+C103)</f>
        <v>114672470</v>
      </c>
      <c r="D104" s="972">
        <f>SUM(D95+D103)</f>
        <v>0</v>
      </c>
      <c r="E104" s="969">
        <f>'Sources and Uses Budget'!S104</f>
        <v>106019596</v>
      </c>
      <c r="F104" s="972">
        <f>F95+F103</f>
        <v>106019596</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106019596</v>
      </c>
      <c r="F106" s="975">
        <f>F104+F105</f>
        <v>106019596</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topLeftCell="A52" workbookViewId="0">
      <selection activeCell="Y41" sqref="Y41:AH4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855" t="s">
        <v>2028</v>
      </c>
      <c r="B1" s="2856"/>
      <c r="C1" s="2856"/>
      <c r="D1" s="2856"/>
      <c r="E1" s="2856"/>
      <c r="F1" s="2856"/>
      <c r="G1" s="2856"/>
      <c r="H1" s="2856"/>
      <c r="I1" s="2856"/>
      <c r="J1" s="2856"/>
      <c r="K1" s="2856"/>
      <c r="L1" s="2856"/>
      <c r="M1" s="2856"/>
      <c r="N1" s="2856"/>
      <c r="O1" s="2856"/>
      <c r="P1" s="2856"/>
      <c r="Q1" s="2856"/>
      <c r="R1" s="2856"/>
      <c r="S1" s="2856"/>
      <c r="T1" s="2856"/>
      <c r="U1" s="2856"/>
      <c r="V1" s="2856"/>
      <c r="W1" s="2856"/>
      <c r="X1" s="2856"/>
      <c r="Y1" s="2856"/>
      <c r="Z1" s="2856"/>
      <c r="AA1" s="2856"/>
      <c r="AB1" s="2856"/>
      <c r="AC1" s="2856"/>
      <c r="AD1" s="2856"/>
      <c r="AE1" s="2856"/>
      <c r="AF1" s="2856"/>
      <c r="AG1" s="2856"/>
      <c r="AH1" s="2856"/>
      <c r="AI1" s="2856"/>
      <c r="AJ1" s="2856"/>
      <c r="AK1" s="2856"/>
      <c r="AL1" s="2856"/>
      <c r="AM1" s="2856"/>
      <c r="AN1" s="2856"/>
    </row>
    <row r="2" spans="1:40" ht="13.5" thickBot="1">
      <c r="A2" s="2857"/>
      <c r="B2" s="2857"/>
      <c r="C2" s="2857"/>
      <c r="D2" s="2857"/>
      <c r="E2" s="2857"/>
      <c r="F2" s="2857"/>
      <c r="G2" s="2857"/>
      <c r="H2" s="2857"/>
      <c r="I2" s="2857"/>
      <c r="J2" s="2857"/>
      <c r="K2" s="2857"/>
      <c r="L2" s="2857"/>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835" t="str">
        <f>IF(T25=100%,'Sources and Basis Breakdown'!G2,'Sources and Basis Breakdown'!F2)</f>
        <v>70% PVC for New Const/
Rehabilitation
DDA/QCT
Building(s)</v>
      </c>
      <c r="U7" s="2835"/>
      <c r="V7" s="2835"/>
      <c r="W7" s="2835"/>
      <c r="X7" s="2835"/>
      <c r="Y7" s="2835" t="str">
        <f>IF(T25=100%," ",'Sources and Basis Breakdown'!G2)</f>
        <v>70% PVC for New Const/
Rehabilitation
NON-DDA/
NON-QCT Building(s)</v>
      </c>
      <c r="Z7" s="2835"/>
      <c r="AA7" s="2835"/>
      <c r="AB7" s="2835"/>
      <c r="AC7" s="2835"/>
      <c r="AD7" s="2835" t="str">
        <f>IF(T25=100%,'Sources and Basis Breakdown'!J2,'Sources and Basis Breakdown'!I2)</f>
        <v>30% PVC for Acquisition
DDA/QCT Building(s)</v>
      </c>
      <c r="AE7" s="2835"/>
      <c r="AF7" s="2835"/>
      <c r="AG7" s="2835"/>
      <c r="AH7" s="2835"/>
      <c r="AI7" s="2835" t="str">
        <f>IF(T25=100%," ",'Sources and Basis Breakdown'!J2)</f>
        <v>30% PVC for Acquisition
NON-DDA/
NON-QCT Building(s)</v>
      </c>
      <c r="AJ7" s="2835"/>
      <c r="AK7" s="2835"/>
      <c r="AL7" s="2835"/>
      <c r="AM7" s="2835"/>
    </row>
    <row r="8" spans="1:40" ht="12.75" customHeight="1">
      <c r="B8" s="354"/>
      <c r="C8" s="1"/>
      <c r="D8" s="1"/>
      <c r="E8" s="1"/>
      <c r="F8" s="1"/>
      <c r="G8" s="1"/>
      <c r="H8" s="1"/>
      <c r="I8" s="1"/>
      <c r="J8" s="1"/>
      <c r="K8" s="1"/>
      <c r="L8" s="1"/>
      <c r="M8" s="1"/>
      <c r="N8" s="1"/>
      <c r="O8" s="1"/>
      <c r="P8" s="1"/>
      <c r="Q8" s="1"/>
      <c r="R8" s="1"/>
      <c r="S8" s="1"/>
      <c r="T8" s="2835"/>
      <c r="U8" s="2835"/>
      <c r="V8" s="2835"/>
      <c r="W8" s="2835"/>
      <c r="X8" s="2835"/>
      <c r="Y8" s="2835"/>
      <c r="Z8" s="2835"/>
      <c r="AA8" s="2835"/>
      <c r="AB8" s="2835"/>
      <c r="AC8" s="2835"/>
      <c r="AD8" s="2835"/>
      <c r="AE8" s="2835"/>
      <c r="AF8" s="2835"/>
      <c r="AG8" s="2835"/>
      <c r="AH8" s="2835"/>
      <c r="AI8" s="2835"/>
      <c r="AJ8" s="2835"/>
      <c r="AK8" s="2835"/>
      <c r="AL8" s="2835"/>
      <c r="AM8" s="2835"/>
    </row>
    <row r="9" spans="1:40" ht="12.75">
      <c r="B9" s="354"/>
      <c r="C9" s="1"/>
      <c r="D9" s="1"/>
      <c r="E9" s="1"/>
      <c r="F9" s="1"/>
      <c r="G9" s="1"/>
      <c r="H9" s="1"/>
      <c r="I9" s="1"/>
      <c r="J9" s="1"/>
      <c r="K9" s="1"/>
      <c r="L9" s="1"/>
      <c r="M9" s="1"/>
      <c r="N9" s="1"/>
      <c r="O9" s="1"/>
      <c r="P9" s="1"/>
      <c r="Q9" s="1"/>
      <c r="R9" s="1"/>
      <c r="S9" s="1"/>
      <c r="T9" s="2835"/>
      <c r="U9" s="2835"/>
      <c r="V9" s="2835"/>
      <c r="W9" s="2835"/>
      <c r="X9" s="2835"/>
      <c r="Y9" s="2835"/>
      <c r="Z9" s="2835"/>
      <c r="AA9" s="2835"/>
      <c r="AB9" s="2835"/>
      <c r="AC9" s="2835"/>
      <c r="AD9" s="2835"/>
      <c r="AE9" s="2835"/>
      <c r="AF9" s="2835"/>
      <c r="AG9" s="2835"/>
      <c r="AH9" s="2835"/>
      <c r="AI9" s="2835"/>
      <c r="AJ9" s="2835"/>
      <c r="AK9" s="2835"/>
      <c r="AL9" s="2835"/>
      <c r="AM9" s="2835"/>
    </row>
    <row r="10" spans="1:40" ht="41.45" customHeight="1">
      <c r="B10" s="289"/>
      <c r="C10" s="290"/>
      <c r="D10" s="290"/>
      <c r="E10" s="290"/>
      <c r="F10" s="290"/>
      <c r="G10" s="290"/>
      <c r="H10" s="290"/>
      <c r="I10" s="290"/>
      <c r="J10" s="290"/>
      <c r="K10" s="290"/>
      <c r="L10" s="290"/>
      <c r="M10" s="290"/>
      <c r="N10" s="290"/>
      <c r="O10" s="290"/>
      <c r="P10" s="290"/>
      <c r="Q10" s="290"/>
      <c r="R10" s="290"/>
      <c r="S10" s="290"/>
      <c r="T10" s="2835"/>
      <c r="U10" s="2835"/>
      <c r="V10" s="2835"/>
      <c r="W10" s="2835"/>
      <c r="X10" s="2835"/>
      <c r="Y10" s="2835"/>
      <c r="Z10" s="2835"/>
      <c r="AA10" s="2835"/>
      <c r="AB10" s="2835"/>
      <c r="AC10" s="2835"/>
      <c r="AD10" s="2835"/>
      <c r="AE10" s="2835"/>
      <c r="AF10" s="2835"/>
      <c r="AG10" s="2835"/>
      <c r="AH10" s="2835"/>
      <c r="AI10" s="2835"/>
      <c r="AJ10" s="2835"/>
      <c r="AK10" s="2835"/>
      <c r="AL10" s="2835"/>
      <c r="AM10" s="2835"/>
    </row>
    <row r="11" spans="1:40" ht="12.75">
      <c r="B11" s="2832" t="s">
        <v>572</v>
      </c>
      <c r="C11" s="2833"/>
      <c r="D11" s="2833"/>
      <c r="E11" s="2833"/>
      <c r="F11" s="2833"/>
      <c r="G11" s="2833"/>
      <c r="H11" s="2833"/>
      <c r="I11" s="2833"/>
      <c r="J11" s="2833"/>
      <c r="K11" s="2833"/>
      <c r="L11" s="2833"/>
      <c r="M11" s="2833"/>
      <c r="N11" s="2833"/>
      <c r="O11" s="2833"/>
      <c r="P11" s="2833"/>
      <c r="Q11" s="2833"/>
      <c r="R11" s="2833"/>
      <c r="S11" s="2834"/>
      <c r="T11" s="2874">
        <f>IF('Sources and Basis Breakdown'!F106=0,'Sources and Basis Breakdown'!E106,'Sources and Basis Breakdown'!F106)</f>
        <v>106019596</v>
      </c>
      <c r="U11" s="2860"/>
      <c r="V11" s="2860"/>
      <c r="W11" s="2860"/>
      <c r="X11" s="2860"/>
      <c r="Y11" s="2859">
        <f>IF(Y7=" ",0,IF('Sources and Basis Breakdown'!G106+'Sources and Basis Breakdown'!F106='Sources and Basis Breakdown'!E106,'Sources and Basis Breakdown'!G106,0))</f>
        <v>0</v>
      </c>
      <c r="Z11" s="2860"/>
      <c r="AA11" s="2860"/>
      <c r="AB11" s="2860"/>
      <c r="AC11" s="2860"/>
      <c r="AD11" s="2860">
        <f>IF('Sources and Basis Breakdown'!I106=0,'Sources and Basis Breakdown'!H106,'Sources and Basis Breakdown'!I106)</f>
        <v>0</v>
      </c>
      <c r="AE11" s="2860"/>
      <c r="AF11" s="2860"/>
      <c r="AG11" s="2860"/>
      <c r="AH11" s="2860"/>
      <c r="AI11" s="2860">
        <f>IF(AI7=" ",0,IF('Sources and Basis Breakdown'!I106+'Sources and Basis Breakdown'!J106='Sources and Basis Breakdown'!H106,'Sources and Basis Breakdown'!J106,0))</f>
        <v>0</v>
      </c>
      <c r="AJ11" s="2860"/>
      <c r="AK11" s="2860"/>
      <c r="AL11" s="2860"/>
      <c r="AM11" s="2860"/>
    </row>
    <row r="12" spans="1:40" ht="12.75">
      <c r="B12" s="2867" t="s">
        <v>501</v>
      </c>
      <c r="C12" s="2868"/>
      <c r="D12" s="2868"/>
      <c r="E12" s="2868"/>
      <c r="F12" s="2868"/>
      <c r="G12" s="2868"/>
      <c r="H12" s="2868"/>
      <c r="I12" s="2868"/>
      <c r="J12" s="2868"/>
      <c r="K12" s="2868"/>
      <c r="L12" s="2868"/>
      <c r="M12" s="2868"/>
      <c r="N12" s="2868"/>
      <c r="O12" s="2868"/>
      <c r="P12" s="2868"/>
      <c r="Q12" s="2868"/>
      <c r="R12" s="2868"/>
      <c r="S12" s="2869"/>
      <c r="T12" s="2862"/>
      <c r="U12" s="2863"/>
      <c r="V12" s="2863"/>
      <c r="W12" s="2863"/>
      <c r="X12" s="2864"/>
      <c r="Y12" s="2862"/>
      <c r="Z12" s="2863"/>
      <c r="AA12" s="2863"/>
      <c r="AB12" s="2863"/>
      <c r="AC12" s="2864"/>
      <c r="AD12" s="2862"/>
      <c r="AE12" s="2863"/>
      <c r="AF12" s="2863"/>
      <c r="AG12" s="2863"/>
      <c r="AH12" s="2864"/>
      <c r="AI12" s="2862"/>
      <c r="AJ12" s="2863"/>
      <c r="AK12" s="2863"/>
      <c r="AL12" s="2863"/>
      <c r="AM12" s="2864"/>
    </row>
    <row r="13" spans="1:40" ht="12.75">
      <c r="B13" s="11"/>
      <c r="C13" s="2870" t="s">
        <v>1981</v>
      </c>
      <c r="D13" s="2871"/>
      <c r="E13" s="2871"/>
      <c r="F13" s="2871"/>
      <c r="G13" s="2871"/>
      <c r="H13" s="2871"/>
      <c r="I13" s="2871"/>
      <c r="J13" s="2871"/>
      <c r="K13" s="2871"/>
      <c r="L13" s="2871"/>
      <c r="M13" s="2871"/>
      <c r="N13" s="2871"/>
      <c r="O13" s="2871"/>
      <c r="P13" s="2871"/>
      <c r="Q13" s="2871"/>
      <c r="R13" s="2871"/>
      <c r="S13" s="2872"/>
      <c r="T13" s="2861"/>
      <c r="U13" s="2858"/>
      <c r="V13" s="2858"/>
      <c r="W13" s="2858"/>
      <c r="X13" s="2858"/>
      <c r="Y13" s="2861"/>
      <c r="Z13" s="2858"/>
      <c r="AA13" s="2858"/>
      <c r="AB13" s="2858"/>
      <c r="AC13" s="2858"/>
      <c r="AD13" s="2858"/>
      <c r="AE13" s="2858"/>
      <c r="AF13" s="2858"/>
      <c r="AG13" s="2858"/>
      <c r="AH13" s="2858"/>
      <c r="AI13" s="2858"/>
      <c r="AJ13" s="2858"/>
      <c r="AK13" s="2858"/>
      <c r="AL13" s="2858"/>
      <c r="AM13" s="2858"/>
    </row>
    <row r="14" spans="1:40" ht="12.75">
      <c r="B14" s="11"/>
      <c r="C14" s="2871" t="s">
        <v>848</v>
      </c>
      <c r="D14" s="2871"/>
      <c r="E14" s="2871"/>
      <c r="F14" s="2871"/>
      <c r="G14" s="2871"/>
      <c r="H14" s="2871"/>
      <c r="I14" s="2871"/>
      <c r="J14" s="2871"/>
      <c r="K14" s="2871"/>
      <c r="L14" s="2871"/>
      <c r="M14" s="2871"/>
      <c r="N14" s="2871"/>
      <c r="O14" s="2871"/>
      <c r="P14" s="2871"/>
      <c r="Q14" s="2871"/>
      <c r="R14" s="2871"/>
      <c r="S14" s="2872"/>
      <c r="T14" s="2486"/>
      <c r="U14" s="2483"/>
      <c r="V14" s="2483"/>
      <c r="W14" s="2483"/>
      <c r="X14" s="2483"/>
      <c r="Y14" s="2486"/>
      <c r="Z14" s="2483"/>
      <c r="AA14" s="2483"/>
      <c r="AB14" s="2483"/>
      <c r="AC14" s="2483"/>
      <c r="AD14" s="2483"/>
      <c r="AE14" s="2483"/>
      <c r="AF14" s="2483"/>
      <c r="AG14" s="2483"/>
      <c r="AH14" s="2483"/>
      <c r="AI14" s="2483"/>
      <c r="AJ14" s="2483"/>
      <c r="AK14" s="2483"/>
      <c r="AL14" s="2483"/>
      <c r="AM14" s="2483"/>
    </row>
    <row r="15" spans="1:40" ht="12.75">
      <c r="B15" s="11"/>
      <c r="C15" s="2871" t="s">
        <v>849</v>
      </c>
      <c r="D15" s="2871"/>
      <c r="E15" s="2871"/>
      <c r="F15" s="2871"/>
      <c r="G15" s="2871"/>
      <c r="H15" s="2871"/>
      <c r="I15" s="2871"/>
      <c r="J15" s="2871"/>
      <c r="K15" s="2871"/>
      <c r="L15" s="2871"/>
      <c r="M15" s="2871"/>
      <c r="N15" s="2871"/>
      <c r="O15" s="2871"/>
      <c r="P15" s="2871"/>
      <c r="Q15" s="2871"/>
      <c r="R15" s="2871"/>
      <c r="S15" s="2872"/>
      <c r="T15" s="2486"/>
      <c r="U15" s="2483"/>
      <c r="V15" s="2483"/>
      <c r="W15" s="2483"/>
      <c r="X15" s="2483"/>
      <c r="Y15" s="2486"/>
      <c r="Z15" s="2483"/>
      <c r="AA15" s="2483"/>
      <c r="AB15" s="2483"/>
      <c r="AC15" s="2483"/>
      <c r="AD15" s="2483"/>
      <c r="AE15" s="2483"/>
      <c r="AF15" s="2483"/>
      <c r="AG15" s="2483"/>
      <c r="AH15" s="2483"/>
      <c r="AI15" s="2483"/>
      <c r="AJ15" s="2483"/>
      <c r="AK15" s="2483"/>
      <c r="AL15" s="2483"/>
      <c r="AM15" s="2483"/>
    </row>
    <row r="16" spans="1:40" ht="12.75">
      <c r="B16" s="11"/>
      <c r="C16" s="2870" t="s">
        <v>1137</v>
      </c>
      <c r="D16" s="2870"/>
      <c r="E16" s="2870"/>
      <c r="F16" s="2870"/>
      <c r="G16" s="2870"/>
      <c r="H16" s="2870"/>
      <c r="I16" s="2870"/>
      <c r="J16" s="2870"/>
      <c r="K16" s="2870"/>
      <c r="L16" s="2870"/>
      <c r="M16" s="2870"/>
      <c r="N16" s="2870"/>
      <c r="O16" s="2870"/>
      <c r="P16" s="2870"/>
      <c r="Q16" s="2870"/>
      <c r="R16" s="2870"/>
      <c r="S16" s="2873"/>
      <c r="T16" s="2486"/>
      <c r="U16" s="2483"/>
      <c r="V16" s="2483"/>
      <c r="W16" s="2483"/>
      <c r="X16" s="2483"/>
      <c r="Y16" s="2486"/>
      <c r="Z16" s="2483"/>
      <c r="AA16" s="2483"/>
      <c r="AB16" s="2483"/>
      <c r="AC16" s="2483"/>
      <c r="AD16" s="2483"/>
      <c r="AE16" s="2483"/>
      <c r="AF16" s="2483"/>
      <c r="AG16" s="2483"/>
      <c r="AH16" s="2483"/>
      <c r="AI16" s="2483"/>
      <c r="AJ16" s="2483"/>
      <c r="AK16" s="2483"/>
      <c r="AL16" s="2483"/>
      <c r="AM16" s="2483"/>
    </row>
    <row r="17" spans="1:39" ht="12.75">
      <c r="B17" s="11"/>
      <c r="C17" s="2871" t="s">
        <v>850</v>
      </c>
      <c r="D17" s="2871"/>
      <c r="E17" s="2871"/>
      <c r="F17" s="2871"/>
      <c r="G17" s="2871"/>
      <c r="H17" s="2871"/>
      <c r="I17" s="2871"/>
      <c r="J17" s="2871"/>
      <c r="K17" s="2871"/>
      <c r="L17" s="2871"/>
      <c r="M17" s="2871"/>
      <c r="N17" s="2871"/>
      <c r="O17" s="2871"/>
      <c r="P17" s="2871"/>
      <c r="Q17" s="2871"/>
      <c r="R17" s="2871"/>
      <c r="S17" s="2872"/>
      <c r="T17" s="2486"/>
      <c r="U17" s="2483"/>
      <c r="V17" s="2483"/>
      <c r="W17" s="2483"/>
      <c r="X17" s="2483"/>
      <c r="Y17" s="2486"/>
      <c r="Z17" s="2483"/>
      <c r="AA17" s="2483"/>
      <c r="AB17" s="2483"/>
      <c r="AC17" s="2483"/>
      <c r="AD17" s="2483"/>
      <c r="AE17" s="2483"/>
      <c r="AF17" s="2483"/>
      <c r="AG17" s="2483"/>
      <c r="AH17" s="2483"/>
      <c r="AI17" s="2483"/>
      <c r="AJ17" s="2483"/>
      <c r="AK17" s="2483"/>
      <c r="AL17" s="2483"/>
      <c r="AM17" s="2483"/>
    </row>
    <row r="18" spans="1:39" ht="12.75">
      <c r="B18" s="979"/>
      <c r="C18" s="2865" t="s">
        <v>1375</v>
      </c>
      <c r="D18" s="2865"/>
      <c r="E18" s="2865"/>
      <c r="F18" s="2865"/>
      <c r="G18" s="2865"/>
      <c r="H18" s="2865"/>
      <c r="I18" s="2865"/>
      <c r="J18" s="2865"/>
      <c r="K18" s="2865"/>
      <c r="L18" s="2865"/>
      <c r="M18" s="2865"/>
      <c r="N18" s="2865"/>
      <c r="O18" s="2865"/>
      <c r="P18" s="2865"/>
      <c r="Q18" s="2865"/>
      <c r="R18" s="2865"/>
      <c r="S18" s="2866"/>
      <c r="T18" s="2484"/>
      <c r="U18" s="2485"/>
      <c r="V18" s="2485"/>
      <c r="W18" s="2485"/>
      <c r="X18" s="2486"/>
      <c r="Y18" s="2486"/>
      <c r="Z18" s="2483"/>
      <c r="AA18" s="2483"/>
      <c r="AB18" s="2483"/>
      <c r="AC18" s="2483"/>
      <c r="AD18" s="2483"/>
      <c r="AE18" s="2483"/>
      <c r="AF18" s="2483"/>
      <c r="AG18" s="2483"/>
      <c r="AH18" s="2483"/>
      <c r="AI18" s="2483"/>
      <c r="AJ18" s="2483"/>
      <c r="AK18" s="2483"/>
      <c r="AL18" s="2483"/>
      <c r="AM18" s="2483"/>
    </row>
    <row r="19" spans="1:39" ht="12.75">
      <c r="B19" s="802"/>
      <c r="C19" s="2865" t="s">
        <v>1375</v>
      </c>
      <c r="D19" s="2865"/>
      <c r="E19" s="2865"/>
      <c r="F19" s="2865"/>
      <c r="G19" s="2865"/>
      <c r="H19" s="2865"/>
      <c r="I19" s="2865"/>
      <c r="J19" s="2865"/>
      <c r="K19" s="2865"/>
      <c r="L19" s="2865"/>
      <c r="M19" s="2865"/>
      <c r="N19" s="2865"/>
      <c r="O19" s="2865"/>
      <c r="P19" s="2865"/>
      <c r="Q19" s="2865"/>
      <c r="R19" s="2865"/>
      <c r="S19" s="2866"/>
      <c r="T19" s="2486"/>
      <c r="U19" s="2483"/>
      <c r="V19" s="2483"/>
      <c r="W19" s="2483"/>
      <c r="X19" s="2483"/>
      <c r="Y19" s="2486"/>
      <c r="Z19" s="2483"/>
      <c r="AA19" s="2483"/>
      <c r="AB19" s="2483"/>
      <c r="AC19" s="2483"/>
      <c r="AD19" s="2483"/>
      <c r="AE19" s="2483"/>
      <c r="AF19" s="2483"/>
      <c r="AG19" s="2483"/>
      <c r="AH19" s="2483"/>
      <c r="AI19" s="2483"/>
      <c r="AJ19" s="2483"/>
      <c r="AK19" s="2483"/>
      <c r="AL19" s="2483"/>
      <c r="AM19" s="2483"/>
    </row>
    <row r="20" spans="1:39" ht="12.75">
      <c r="B20" s="2832" t="s">
        <v>851</v>
      </c>
      <c r="C20" s="2833"/>
      <c r="D20" s="2833"/>
      <c r="E20" s="2833"/>
      <c r="F20" s="2833"/>
      <c r="G20" s="2833"/>
      <c r="H20" s="2833"/>
      <c r="I20" s="2833"/>
      <c r="J20" s="2833"/>
      <c r="K20" s="2833"/>
      <c r="L20" s="2833"/>
      <c r="M20" s="2833"/>
      <c r="N20" s="2833"/>
      <c r="O20" s="2833"/>
      <c r="P20" s="2833"/>
      <c r="Q20" s="2833"/>
      <c r="R20" s="2833"/>
      <c r="S20" s="2834"/>
      <c r="T20" s="2827">
        <f>SUM(T13:X19)</f>
        <v>0</v>
      </c>
      <c r="U20" s="2828"/>
      <c r="V20" s="2828"/>
      <c r="W20" s="2828"/>
      <c r="X20" s="2828"/>
      <c r="Y20" s="2827">
        <f>SUM(Y13:AC19)</f>
        <v>0</v>
      </c>
      <c r="Z20" s="2828"/>
      <c r="AA20" s="2828"/>
      <c r="AB20" s="2828"/>
      <c r="AC20" s="2828"/>
      <c r="AD20" s="2828">
        <f>SUM(AD13:AH19)</f>
        <v>0</v>
      </c>
      <c r="AE20" s="2828"/>
      <c r="AF20" s="2828"/>
      <c r="AG20" s="2828"/>
      <c r="AH20" s="2828"/>
      <c r="AI20" s="2828">
        <f>SUM(AI13:AM19)</f>
        <v>0</v>
      </c>
      <c r="AJ20" s="2828"/>
      <c r="AK20" s="2828"/>
      <c r="AL20" s="2828"/>
      <c r="AM20" s="2828"/>
    </row>
    <row r="21" spans="1:39" ht="12.75">
      <c r="B21" s="2832" t="s">
        <v>1980</v>
      </c>
      <c r="C21" s="2833"/>
      <c r="D21" s="2833"/>
      <c r="E21" s="2833"/>
      <c r="F21" s="2833"/>
      <c r="G21" s="2833"/>
      <c r="H21" s="2833"/>
      <c r="I21" s="2833"/>
      <c r="J21" s="2833"/>
      <c r="K21" s="2833"/>
      <c r="L21" s="2833"/>
      <c r="M21" s="2833"/>
      <c r="N21" s="2833"/>
      <c r="O21" s="2833"/>
      <c r="P21" s="2833"/>
      <c r="Q21" s="2833"/>
      <c r="R21" s="2833"/>
      <c r="S21" s="2834"/>
      <c r="T21" s="2486"/>
      <c r="U21" s="2483"/>
      <c r="V21" s="2483"/>
      <c r="W21" s="2483"/>
      <c r="X21" s="2483"/>
      <c r="Y21" s="2486"/>
      <c r="Z21" s="2483"/>
      <c r="AA21" s="2483"/>
      <c r="AB21" s="2483"/>
      <c r="AC21" s="2483"/>
      <c r="AD21" s="2483"/>
      <c r="AE21" s="2483"/>
      <c r="AF21" s="2483"/>
      <c r="AG21" s="2483"/>
      <c r="AH21" s="2483"/>
      <c r="AI21" s="2484"/>
      <c r="AJ21" s="2485"/>
      <c r="AK21" s="2485"/>
      <c r="AL21" s="2485"/>
      <c r="AM21" s="2486"/>
    </row>
    <row r="22" spans="1:39" ht="12.75">
      <c r="B22" s="2832" t="s">
        <v>852</v>
      </c>
      <c r="C22" s="2833"/>
      <c r="D22" s="2833"/>
      <c r="E22" s="2833"/>
      <c r="F22" s="2833"/>
      <c r="G22" s="2833"/>
      <c r="H22" s="2833"/>
      <c r="I22" s="2833"/>
      <c r="J22" s="2833"/>
      <c r="K22" s="2833"/>
      <c r="L22" s="2833"/>
      <c r="M22" s="2833"/>
      <c r="N22" s="2833"/>
      <c r="O22" s="2833"/>
      <c r="P22" s="2833"/>
      <c r="Q22" s="2833"/>
      <c r="R22" s="2833"/>
      <c r="S22" s="2834"/>
      <c r="T22" s="2876">
        <f>(T20+T21)*-1</f>
        <v>0</v>
      </c>
      <c r="U22" s="2877"/>
      <c r="V22" s="2877"/>
      <c r="W22" s="2877"/>
      <c r="X22" s="2877"/>
      <c r="Y22" s="2876">
        <f>(Y20+Y21)*-1</f>
        <v>0</v>
      </c>
      <c r="Z22" s="2877"/>
      <c r="AA22" s="2877"/>
      <c r="AB22" s="2877"/>
      <c r="AC22" s="2877"/>
      <c r="AD22" s="2876">
        <f>(AD20+AD21)*-1</f>
        <v>0</v>
      </c>
      <c r="AE22" s="2877"/>
      <c r="AF22" s="2877"/>
      <c r="AG22" s="2877"/>
      <c r="AH22" s="2877"/>
      <c r="AI22" s="2885">
        <f>(AI20+AI21)*-1</f>
        <v>0</v>
      </c>
      <c r="AJ22" s="2886"/>
      <c r="AK22" s="2886"/>
      <c r="AL22" s="2886"/>
      <c r="AM22" s="2876"/>
    </row>
    <row r="23" spans="1:39" ht="12.75">
      <c r="A23" s="2"/>
      <c r="B23" s="2893" t="s">
        <v>2248</v>
      </c>
      <c r="C23" s="2894"/>
      <c r="D23" s="2894"/>
      <c r="E23" s="2894"/>
      <c r="F23" s="2894"/>
      <c r="G23" s="2894"/>
      <c r="H23" s="2894"/>
      <c r="I23" s="2894"/>
      <c r="J23" s="2894"/>
      <c r="K23" s="2894"/>
      <c r="L23" s="2894"/>
      <c r="M23" s="2894"/>
      <c r="N23" s="2894"/>
      <c r="O23" s="2894"/>
      <c r="P23" s="2894"/>
      <c r="Q23" s="2894"/>
      <c r="R23" s="2894"/>
      <c r="S23" s="2895"/>
      <c r="T23" s="2827">
        <f>T11+T22</f>
        <v>106019596</v>
      </c>
      <c r="U23" s="2828"/>
      <c r="V23" s="2828"/>
      <c r="W23" s="2828"/>
      <c r="X23" s="2828"/>
      <c r="Y23" s="2827">
        <f>Y11+Y22</f>
        <v>0</v>
      </c>
      <c r="Z23" s="2828"/>
      <c r="AA23" s="2828"/>
      <c r="AB23" s="2828"/>
      <c r="AC23" s="2828"/>
      <c r="AD23" s="2827">
        <f>IF(AD11=AD21,0,AD11)</f>
        <v>0</v>
      </c>
      <c r="AE23" s="2828"/>
      <c r="AF23" s="2828"/>
      <c r="AG23" s="2828"/>
      <c r="AH23" s="2828"/>
      <c r="AI23" s="2827">
        <f>IF(AI11=AI21,0,AI11)</f>
        <v>0</v>
      </c>
      <c r="AJ23" s="2828"/>
      <c r="AK23" s="2828"/>
      <c r="AL23" s="2828"/>
      <c r="AM23" s="2828"/>
    </row>
    <row r="24" spans="1:39" ht="12.75">
      <c r="B24" s="2832" t="s">
        <v>1376</v>
      </c>
      <c r="C24" s="2833"/>
      <c r="D24" s="2833"/>
      <c r="E24" s="2833"/>
      <c r="F24" s="2833"/>
      <c r="G24" s="2833"/>
      <c r="H24" s="2833"/>
      <c r="I24" s="2833"/>
      <c r="J24" s="2833"/>
      <c r="K24" s="2833"/>
      <c r="L24" s="2833"/>
      <c r="M24" s="2833"/>
      <c r="N24" s="2833"/>
      <c r="O24" s="2833"/>
      <c r="P24" s="2833"/>
      <c r="Q24" s="2833"/>
      <c r="R24" s="2833"/>
      <c r="S24" s="2834"/>
      <c r="T24" s="2896">
        <f>Application!AD974</f>
        <v>158881311</v>
      </c>
      <c r="U24" s="2897"/>
      <c r="V24" s="2897"/>
      <c r="W24" s="2897"/>
      <c r="X24" s="2897"/>
      <c r="Y24" s="2897"/>
      <c r="Z24" s="2897"/>
      <c r="AA24" s="2897"/>
      <c r="AB24" s="2897"/>
      <c r="AC24" s="2897"/>
      <c r="AD24" s="2897"/>
      <c r="AE24" s="2897"/>
      <c r="AF24" s="2897"/>
      <c r="AG24" s="2897"/>
      <c r="AH24" s="2897"/>
      <c r="AI24" s="2897"/>
      <c r="AJ24" s="2897"/>
      <c r="AK24" s="2897"/>
      <c r="AL24" s="2897"/>
      <c r="AM24" s="2827"/>
    </row>
    <row r="25" spans="1:39" ht="12.75">
      <c r="B25" s="2887" t="s">
        <v>2250</v>
      </c>
      <c r="C25" s="2888"/>
      <c r="D25" s="2888"/>
      <c r="E25" s="2888"/>
      <c r="F25" s="2888"/>
      <c r="G25" s="2888"/>
      <c r="H25" s="2888"/>
      <c r="I25" s="2888"/>
      <c r="J25" s="2888"/>
      <c r="K25" s="2888"/>
      <c r="L25" s="2888"/>
      <c r="M25" s="2888"/>
      <c r="N25" s="2888"/>
      <c r="O25" s="2888"/>
      <c r="P25" s="2888"/>
      <c r="Q25" s="2888"/>
      <c r="R25" s="2888"/>
      <c r="S25" s="2889"/>
      <c r="T25" s="2878">
        <f>IF(OR(AND(Application!T200="no",Application!T201="no",Application!T203="no"),Application!T202="yes"),1,1.3)</f>
        <v>1.3</v>
      </c>
      <c r="U25" s="2879"/>
      <c r="V25" s="2879"/>
      <c r="W25" s="2879"/>
      <c r="X25" s="2879"/>
      <c r="Y25" s="2878">
        <v>1</v>
      </c>
      <c r="Z25" s="2879"/>
      <c r="AA25" s="2879"/>
      <c r="AB25" s="2879"/>
      <c r="AC25" s="2882"/>
      <c r="AD25" s="2878">
        <v>1</v>
      </c>
      <c r="AE25" s="2879"/>
      <c r="AF25" s="2879"/>
      <c r="AG25" s="2879"/>
      <c r="AH25" s="2882"/>
      <c r="AI25" s="2878">
        <v>1</v>
      </c>
      <c r="AJ25" s="2879"/>
      <c r="AK25" s="2879"/>
      <c r="AL25" s="2879"/>
      <c r="AM25" s="2882"/>
    </row>
    <row r="26" spans="1:39" ht="12.75">
      <c r="B26" s="2832" t="s">
        <v>854</v>
      </c>
      <c r="C26" s="2833"/>
      <c r="D26" s="2833"/>
      <c r="E26" s="2833"/>
      <c r="F26" s="2833"/>
      <c r="G26" s="2833"/>
      <c r="H26" s="2833"/>
      <c r="I26" s="2833"/>
      <c r="J26" s="2833"/>
      <c r="K26" s="2833"/>
      <c r="L26" s="2833"/>
      <c r="M26" s="2833"/>
      <c r="N26" s="2833"/>
      <c r="O26" s="2833"/>
      <c r="P26" s="2833"/>
      <c r="Q26" s="2833"/>
      <c r="R26" s="2833"/>
      <c r="S26" s="2834"/>
      <c r="T26" s="2883">
        <f>T23*T25</f>
        <v>137825474.80000001</v>
      </c>
      <c r="U26" s="2884"/>
      <c r="V26" s="2884"/>
      <c r="W26" s="2884"/>
      <c r="X26" s="2884"/>
      <c r="Y26" s="2883">
        <f>Y23*Y25</f>
        <v>0</v>
      </c>
      <c r="Z26" s="2884"/>
      <c r="AA26" s="2884"/>
      <c r="AB26" s="2884"/>
      <c r="AC26" s="2884"/>
      <c r="AD26" s="2883">
        <f>AD23*AD25</f>
        <v>0</v>
      </c>
      <c r="AE26" s="2884"/>
      <c r="AF26" s="2884"/>
      <c r="AG26" s="2884"/>
      <c r="AH26" s="2884"/>
      <c r="AI26" s="2883">
        <f>AI23*AI25</f>
        <v>0</v>
      </c>
      <c r="AJ26" s="2884"/>
      <c r="AK26" s="2884"/>
      <c r="AL26" s="2884"/>
      <c r="AM26" s="2884"/>
    </row>
    <row r="27" spans="1:39" ht="12.75">
      <c r="A27" s="7"/>
      <c r="B27" s="2890" t="s">
        <v>987</v>
      </c>
      <c r="C27" s="2891"/>
      <c r="D27" s="2891"/>
      <c r="E27" s="2891"/>
      <c r="F27" s="2891"/>
      <c r="G27" s="2891"/>
      <c r="H27" s="2891"/>
      <c r="I27" s="2891"/>
      <c r="J27" s="2891"/>
      <c r="K27" s="2891"/>
      <c r="L27" s="2891"/>
      <c r="M27" s="2891"/>
      <c r="N27" s="2891"/>
      <c r="O27" s="2891"/>
      <c r="P27" s="2891"/>
      <c r="Q27" s="2891"/>
      <c r="R27" s="2891"/>
      <c r="S27" s="2892"/>
      <c r="T27" s="2880">
        <f>Application!AG431</f>
        <v>0.20161290322580644</v>
      </c>
      <c r="U27" s="2881"/>
      <c r="V27" s="2881"/>
      <c r="W27" s="2881"/>
      <c r="X27" s="2881"/>
      <c r="Y27" s="2880">
        <f>Application!AG431</f>
        <v>0.20161290322580644</v>
      </c>
      <c r="Z27" s="2881"/>
      <c r="AA27" s="2881"/>
      <c r="AB27" s="2881"/>
      <c r="AC27" s="2881"/>
      <c r="AD27" s="2880">
        <f>Application!AG431</f>
        <v>0.20161290322580644</v>
      </c>
      <c r="AE27" s="2881"/>
      <c r="AF27" s="2881"/>
      <c r="AG27" s="2881"/>
      <c r="AH27" s="2881"/>
      <c r="AI27" s="2880">
        <f>Application!AG431</f>
        <v>0.20161290322580644</v>
      </c>
      <c r="AJ27" s="2881"/>
      <c r="AK27" s="2881"/>
      <c r="AL27" s="2881"/>
      <c r="AM27" s="2881"/>
    </row>
    <row r="28" spans="1:39" ht="12.75" customHeight="1">
      <c r="A28" s="6"/>
      <c r="B28" s="2832" t="s">
        <v>934</v>
      </c>
      <c r="C28" s="2833"/>
      <c r="D28" s="2833"/>
      <c r="E28" s="2833"/>
      <c r="F28" s="2833"/>
      <c r="G28" s="2833"/>
      <c r="H28" s="2833"/>
      <c r="I28" s="2833"/>
      <c r="J28" s="2833"/>
      <c r="K28" s="2833"/>
      <c r="L28" s="2833"/>
      <c r="M28" s="2833"/>
      <c r="N28" s="2833"/>
      <c r="O28" s="2833"/>
      <c r="P28" s="2833"/>
      <c r="Q28" s="2833"/>
      <c r="R28" s="2833"/>
      <c r="S28" s="2834"/>
      <c r="T28" s="2875">
        <f>IF(ISERROR((T26*T27)),0,(T26*T27))</f>
        <v>27787394.112903226</v>
      </c>
      <c r="U28" s="2849"/>
      <c r="V28" s="2849"/>
      <c r="W28" s="2849"/>
      <c r="X28" s="2849"/>
      <c r="Y28" s="2875">
        <f>IF(ISERROR((Y26*Y27)),0,(Y26*Y27))</f>
        <v>0</v>
      </c>
      <c r="Z28" s="2849"/>
      <c r="AA28" s="2849"/>
      <c r="AB28" s="2849"/>
      <c r="AC28" s="2849"/>
      <c r="AD28" s="2875">
        <f>IF(ISERROR((AD26*AD27)),0,(AD26*AD27))</f>
        <v>0</v>
      </c>
      <c r="AE28" s="2849"/>
      <c r="AF28" s="2849"/>
      <c r="AG28" s="2849"/>
      <c r="AH28" s="2849"/>
      <c r="AI28" s="2875">
        <f>IF(ISERROR((AI26*AI27)),0,(AI26*AI27))</f>
        <v>0</v>
      </c>
      <c r="AJ28" s="2849"/>
      <c r="AK28" s="2849"/>
      <c r="AL28" s="2849"/>
      <c r="AM28" s="2849"/>
    </row>
    <row r="29" spans="1:39" ht="12.75">
      <c r="B29" s="2832" t="s">
        <v>696</v>
      </c>
      <c r="C29" s="2833"/>
      <c r="D29" s="2833"/>
      <c r="E29" s="2833"/>
      <c r="F29" s="2833"/>
      <c r="G29" s="2833"/>
      <c r="H29" s="2833"/>
      <c r="I29" s="2833"/>
      <c r="J29" s="2833"/>
      <c r="K29" s="2833"/>
      <c r="L29" s="2833"/>
      <c r="M29" s="2833"/>
      <c r="N29" s="2833"/>
      <c r="O29" s="2833"/>
      <c r="P29" s="2833"/>
      <c r="Q29" s="2833"/>
      <c r="R29" s="2833"/>
      <c r="S29" s="2834"/>
      <c r="T29" s="2896">
        <f>T28+Y28+AD28+AI28</f>
        <v>27787394.112903226</v>
      </c>
      <c r="U29" s="2897"/>
      <c r="V29" s="2897"/>
      <c r="W29" s="2897"/>
      <c r="X29" s="2897"/>
      <c r="Y29" s="2897"/>
      <c r="Z29" s="2897"/>
      <c r="AA29" s="2897"/>
      <c r="AB29" s="2897"/>
      <c r="AC29" s="2897"/>
      <c r="AD29" s="2897"/>
      <c r="AE29" s="2897"/>
      <c r="AF29" s="2897"/>
      <c r="AG29" s="2897"/>
      <c r="AH29" s="2897"/>
      <c r="AI29" s="2897"/>
      <c r="AJ29" s="2897"/>
      <c r="AK29" s="2897"/>
      <c r="AL29" s="2897"/>
      <c r="AM29" s="2827"/>
    </row>
    <row r="30" spans="1:39" ht="12.75" customHeight="1">
      <c r="B30" s="2854" t="s">
        <v>2249</v>
      </c>
      <c r="C30" s="2854"/>
      <c r="D30" s="2854"/>
      <c r="E30" s="2854"/>
      <c r="F30" s="2854"/>
      <c r="G30" s="2854"/>
      <c r="H30" s="2854"/>
      <c r="I30" s="2854"/>
      <c r="J30" s="2854"/>
      <c r="K30" s="2854"/>
      <c r="L30" s="2854"/>
      <c r="M30" s="2854"/>
      <c r="N30" s="2854"/>
      <c r="O30" s="2854"/>
      <c r="P30" s="2854"/>
      <c r="Q30" s="2854"/>
      <c r="R30" s="2854"/>
      <c r="S30" s="2854"/>
      <c r="T30" s="2854"/>
      <c r="U30" s="2854"/>
      <c r="V30" s="2854"/>
      <c r="W30" s="2854"/>
      <c r="X30" s="2854"/>
      <c r="Y30" s="2854"/>
      <c r="Z30" s="2854"/>
      <c r="AA30" s="2854"/>
      <c r="AB30" s="2854"/>
      <c r="AC30" s="2854"/>
      <c r="AD30" s="2854"/>
      <c r="AE30" s="2854"/>
      <c r="AF30" s="2854"/>
      <c r="AG30" s="2854"/>
      <c r="AH30" s="2854"/>
      <c r="AI30" s="2854"/>
      <c r="AJ30" s="2854"/>
      <c r="AK30" s="2854"/>
      <c r="AL30" s="2854"/>
      <c r="AM30" s="2854"/>
    </row>
    <row r="31" spans="1:39" ht="12.75">
      <c r="B31" s="2816" t="s">
        <v>2253</v>
      </c>
      <c r="C31" s="2816"/>
      <c r="D31" s="2816"/>
      <c r="E31" s="2816"/>
      <c r="F31" s="2816"/>
      <c r="G31" s="2816"/>
      <c r="H31" s="2816"/>
      <c r="I31" s="2816"/>
      <c r="J31" s="2816"/>
      <c r="K31" s="2816"/>
      <c r="L31" s="2816"/>
      <c r="M31" s="2816"/>
      <c r="N31" s="2816"/>
      <c r="O31" s="2816"/>
      <c r="P31" s="2816"/>
      <c r="Q31" s="2816"/>
      <c r="R31" s="2816"/>
      <c r="S31" s="2816"/>
      <c r="T31" s="2816"/>
      <c r="U31" s="2816"/>
      <c r="V31" s="2816"/>
      <c r="W31" s="2816"/>
      <c r="X31" s="2816"/>
      <c r="Y31" s="2816"/>
      <c r="Z31" s="2816"/>
      <c r="AA31" s="2816"/>
      <c r="AB31" s="2816"/>
      <c r="AC31" s="2816"/>
      <c r="AD31" s="2816"/>
      <c r="AE31" s="2816"/>
      <c r="AF31" s="2816"/>
      <c r="AG31" s="2816"/>
      <c r="AH31" s="2816"/>
      <c r="AI31" s="2816"/>
      <c r="AJ31" s="2816"/>
      <c r="AK31" s="2816"/>
      <c r="AL31" s="2816"/>
      <c r="AM31" s="2816"/>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835" t="s">
        <v>1852</v>
      </c>
      <c r="Z35" s="2835"/>
      <c r="AA35" s="2835"/>
      <c r="AB35" s="2835"/>
      <c r="AC35" s="2835"/>
      <c r="AD35" s="2817" t="s">
        <v>46</v>
      </c>
      <c r="AE35" s="2817"/>
      <c r="AF35" s="2817"/>
      <c r="AG35" s="2817"/>
      <c r="AH35" s="2817"/>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835"/>
      <c r="Z36" s="2835"/>
      <c r="AA36" s="2835"/>
      <c r="AB36" s="2835"/>
      <c r="AC36" s="2835"/>
      <c r="AD36" s="2817"/>
      <c r="AE36" s="2817"/>
      <c r="AF36" s="2817"/>
      <c r="AG36" s="2817"/>
      <c r="AH36" s="2817"/>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35"/>
      <c r="Z37" s="2835"/>
      <c r="AA37" s="2835"/>
      <c r="AB37" s="2835"/>
      <c r="AC37" s="2835"/>
      <c r="AD37" s="2817"/>
      <c r="AE37" s="2817"/>
      <c r="AF37" s="2817"/>
      <c r="AG37" s="2817"/>
      <c r="AH37" s="2817"/>
    </row>
    <row r="38" spans="1:44" ht="12.75" customHeight="1">
      <c r="A38" s="6"/>
      <c r="B38" s="2832" t="s">
        <v>934</v>
      </c>
      <c r="C38" s="2833"/>
      <c r="D38" s="2833"/>
      <c r="E38" s="2833"/>
      <c r="F38" s="2833"/>
      <c r="G38" s="2833"/>
      <c r="H38" s="2833"/>
      <c r="I38" s="2833"/>
      <c r="J38" s="2833"/>
      <c r="K38" s="2833"/>
      <c r="L38" s="2833"/>
      <c r="M38" s="2833"/>
      <c r="N38" s="2833"/>
      <c r="O38" s="2833"/>
      <c r="P38" s="2833"/>
      <c r="Q38" s="2833"/>
      <c r="R38" s="2833"/>
      <c r="S38" s="2833"/>
      <c r="T38" s="2833"/>
      <c r="U38" s="2833"/>
      <c r="V38" s="2833"/>
      <c r="W38" s="2833"/>
      <c r="X38" s="2834"/>
      <c r="Y38" s="2828">
        <f>IF(T24&gt;=(T23+Y23+AD23+AI23),T28+Y28,0)</f>
        <v>27787394.112903226</v>
      </c>
      <c r="Z38" s="2828"/>
      <c r="AA38" s="2828"/>
      <c r="AB38" s="2828"/>
      <c r="AC38" s="2828"/>
      <c r="AD38" s="2828">
        <f>IF(T24&gt;=(T23+Y23+AD23+AI23),AD28+AI28,0)</f>
        <v>0</v>
      </c>
      <c r="AE38" s="2828"/>
      <c r="AF38" s="2828"/>
      <c r="AG38" s="2828"/>
      <c r="AH38" s="2828"/>
    </row>
    <row r="39" spans="1:44" ht="12.75">
      <c r="B39" s="2832" t="s">
        <v>2115</v>
      </c>
      <c r="C39" s="2833"/>
      <c r="D39" s="2833"/>
      <c r="E39" s="2833"/>
      <c r="F39" s="2833"/>
      <c r="G39" s="2833"/>
      <c r="H39" s="2833"/>
      <c r="I39" s="2833"/>
      <c r="J39" s="2833"/>
      <c r="K39" s="2833"/>
      <c r="L39" s="2833"/>
      <c r="M39" s="2833"/>
      <c r="N39" s="2833"/>
      <c r="O39" s="2833"/>
      <c r="P39" s="2833"/>
      <c r="Q39" s="2833"/>
      <c r="R39" s="2833"/>
      <c r="S39" s="2833"/>
      <c r="T39" s="2833"/>
      <c r="U39" s="2833"/>
      <c r="V39" s="2833"/>
      <c r="W39" s="2833"/>
      <c r="X39" s="2834"/>
      <c r="Y39" s="2826">
        <v>0.09</v>
      </c>
      <c r="Z39" s="2826"/>
      <c r="AA39" s="2826"/>
      <c r="AB39" s="2826"/>
      <c r="AC39" s="2826"/>
      <c r="AD39" s="2826">
        <v>3.2399999999999998E-2</v>
      </c>
      <c r="AE39" s="2826"/>
      <c r="AF39" s="2826"/>
      <c r="AG39" s="2826"/>
      <c r="AH39" s="2826"/>
    </row>
    <row r="40" spans="1:44" ht="12.75" customHeight="1">
      <c r="A40" s="6"/>
      <c r="B40" s="2832" t="s">
        <v>26</v>
      </c>
      <c r="C40" s="2833"/>
      <c r="D40" s="2833"/>
      <c r="E40" s="2833"/>
      <c r="F40" s="2833"/>
      <c r="G40" s="2833"/>
      <c r="H40" s="2833"/>
      <c r="I40" s="2833"/>
      <c r="J40" s="2833"/>
      <c r="K40" s="2833"/>
      <c r="L40" s="2833"/>
      <c r="M40" s="2833"/>
      <c r="N40" s="2833"/>
      <c r="O40" s="2833"/>
      <c r="P40" s="2833"/>
      <c r="Q40" s="2833"/>
      <c r="R40" s="2833"/>
      <c r="S40" s="2833"/>
      <c r="T40" s="2833"/>
      <c r="U40" s="2833"/>
      <c r="V40" s="2833"/>
      <c r="W40" s="2833"/>
      <c r="X40" s="2834"/>
      <c r="Y40" s="2828">
        <f>ROUND(Y38*Y39,0)</f>
        <v>2500865</v>
      </c>
      <c r="Z40" s="2828"/>
      <c r="AA40" s="2828"/>
      <c r="AB40" s="2828"/>
      <c r="AC40" s="2828"/>
      <c r="AD40" s="2827">
        <f>ROUND(AD38*AD39,0)</f>
        <v>0</v>
      </c>
      <c r="AE40" s="2828"/>
      <c r="AF40" s="2828"/>
      <c r="AG40" s="2828"/>
      <c r="AH40" s="2828"/>
    </row>
    <row r="41" spans="1:44" ht="12.75">
      <c r="B41" s="2832" t="s">
        <v>690</v>
      </c>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4"/>
      <c r="Y41" s="2829">
        <f>IF(Application!Y218="No",'Basis &amp; Credits'!AR42,AR43)</f>
        <v>2500865</v>
      </c>
      <c r="Z41" s="2830"/>
      <c r="AA41" s="2830"/>
      <c r="AB41" s="2830"/>
      <c r="AC41" s="2830"/>
      <c r="AD41" s="2830"/>
      <c r="AE41" s="2830"/>
      <c r="AF41" s="2830"/>
      <c r="AG41" s="2830"/>
      <c r="AH41" s="2831"/>
    </row>
    <row r="42" spans="1:44" ht="12.75" customHeight="1">
      <c r="A42" s="6"/>
      <c r="B42" s="2848" t="s">
        <v>2116</v>
      </c>
      <c r="C42" s="2848"/>
      <c r="D42" s="2848"/>
      <c r="E42" s="2848"/>
      <c r="F42" s="2848"/>
      <c r="G42" s="2848"/>
      <c r="H42" s="2848"/>
      <c r="I42" s="2848"/>
      <c r="J42" s="2848"/>
      <c r="K42" s="2848"/>
      <c r="L42" s="2848"/>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2500865</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823">
        <f>'Sources and Uses Budget'!B104-'Sources and Uses Budget'!$B$15</f>
        <v>114672470</v>
      </c>
      <c r="AC46" s="2824"/>
      <c r="AD46" s="2824"/>
      <c r="AE46" s="2824"/>
      <c r="AF46" s="2825"/>
    </row>
    <row r="47" spans="1:44" ht="12.75" customHeight="1">
      <c r="D47" s="6" t="s">
        <v>928</v>
      </c>
      <c r="AB47" s="2823">
        <f>Application!AG629-MIN('Sources and Uses Budget'!B15,Application!AG390)</f>
        <v>93422503</v>
      </c>
      <c r="AC47" s="2824"/>
      <c r="AD47" s="2824"/>
      <c r="AE47" s="2824"/>
      <c r="AF47" s="2825"/>
    </row>
    <row r="48" spans="1:44" ht="12.75">
      <c r="D48" s="6" t="s">
        <v>427</v>
      </c>
      <c r="AB48" s="2823">
        <f>AB46-AB47</f>
        <v>21249967</v>
      </c>
      <c r="AC48" s="2824"/>
      <c r="AD48" s="2824"/>
      <c r="AE48" s="2824"/>
      <c r="AF48" s="2825"/>
    </row>
    <row r="49" spans="1:40" ht="12.75">
      <c r="D49" s="6" t="s">
        <v>967</v>
      </c>
      <c r="X49" s="2"/>
      <c r="Y49" s="2"/>
      <c r="Z49" s="2"/>
      <c r="AA49" s="427"/>
      <c r="AB49" s="2842">
        <v>0.85</v>
      </c>
      <c r="AC49" s="2843"/>
      <c r="AD49" s="2843"/>
      <c r="AE49" s="2843"/>
      <c r="AF49" s="2844"/>
    </row>
    <row r="50" spans="1:40" s="536" customFormat="1" ht="15" customHeight="1">
      <c r="A50" s="2"/>
      <c r="B50" s="2"/>
      <c r="C50" s="2"/>
      <c r="D50" s="284"/>
      <c r="E50" s="2853" t="s">
        <v>1533</v>
      </c>
      <c r="F50" s="2853"/>
      <c r="G50" s="2853"/>
      <c r="H50" s="2853"/>
      <c r="I50" s="2853"/>
      <c r="J50" s="2853"/>
      <c r="K50" s="2853"/>
      <c r="L50" s="2853"/>
      <c r="M50" s="2853"/>
      <c r="N50" s="2853"/>
      <c r="O50" s="2853"/>
      <c r="P50" s="2853"/>
      <c r="Q50" s="2853"/>
      <c r="R50" s="2853"/>
      <c r="S50" s="2853"/>
      <c r="T50" s="2853"/>
      <c r="U50" s="2853"/>
      <c r="V50" s="2853"/>
      <c r="W50" s="2853"/>
      <c r="X50" s="2853"/>
      <c r="Y50" s="2853"/>
      <c r="Z50" s="2853"/>
      <c r="AA50" s="823"/>
      <c r="AB50" s="823"/>
      <c r="AC50" s="823"/>
      <c r="AD50" s="823"/>
      <c r="AE50" s="823"/>
      <c r="AF50" s="823"/>
      <c r="AG50" s="2"/>
      <c r="AH50" s="2"/>
      <c r="AI50" s="2"/>
      <c r="AJ50" s="2"/>
      <c r="AK50" s="2"/>
      <c r="AL50" s="2"/>
      <c r="AM50" s="2"/>
      <c r="AN50" s="2"/>
    </row>
    <row r="51" spans="1:40" s="536" customFormat="1" ht="12" customHeight="1">
      <c r="A51" s="2"/>
      <c r="B51" s="2"/>
      <c r="C51" s="2"/>
      <c r="D51" s="284"/>
      <c r="E51" s="2853"/>
      <c r="F51" s="2853"/>
      <c r="G51" s="2853"/>
      <c r="H51" s="2853"/>
      <c r="I51" s="2853"/>
      <c r="J51" s="2853"/>
      <c r="K51" s="2853"/>
      <c r="L51" s="2853"/>
      <c r="M51" s="2853"/>
      <c r="N51" s="2853"/>
      <c r="O51" s="2853"/>
      <c r="P51" s="2853"/>
      <c r="Q51" s="2853"/>
      <c r="R51" s="2853"/>
      <c r="S51" s="2853"/>
      <c r="T51" s="2853"/>
      <c r="U51" s="2853"/>
      <c r="V51" s="2853"/>
      <c r="W51" s="2853"/>
      <c r="X51" s="2853"/>
      <c r="Y51" s="2853"/>
      <c r="Z51" s="285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23">
        <f>ROUND(IF(ISERROR((AB48/AB49)),0,(AB48/AB49)),0)</f>
        <v>24999961</v>
      </c>
      <c r="AC53" s="2824"/>
      <c r="AD53" s="2824"/>
      <c r="AE53" s="2824"/>
      <c r="AF53" s="2825"/>
    </row>
    <row r="54" spans="1:40" ht="12.75" customHeight="1">
      <c r="D54" s="6" t="s">
        <v>628</v>
      </c>
      <c r="AB54" s="2823">
        <f>(AB53/10)</f>
        <v>2499996.1</v>
      </c>
      <c r="AC54" s="2824"/>
      <c r="AD54" s="2824"/>
      <c r="AE54" s="2824"/>
      <c r="AF54" s="2825"/>
    </row>
    <row r="55" spans="1:40" ht="12.75">
      <c r="D55" s="6" t="s">
        <v>383</v>
      </c>
      <c r="AB55" s="2850">
        <f>(IF((Y41&lt;AB54),Y41,AB54))</f>
        <v>2499996.1</v>
      </c>
      <c r="AC55" s="2851"/>
      <c r="AD55" s="2851"/>
      <c r="AE55" s="2851"/>
      <c r="AF55" s="2852"/>
    </row>
    <row r="56" spans="1:40" ht="12.75">
      <c r="D56" s="6" t="s">
        <v>117</v>
      </c>
      <c r="AB56" s="2823">
        <f>ROUND((10*AB55*AB49),0)</f>
        <v>21249967</v>
      </c>
      <c r="AC56" s="2824"/>
      <c r="AD56" s="2824"/>
      <c r="AE56" s="2824"/>
      <c r="AF56" s="28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21">
        <f>AB48-AB56</f>
        <v>0</v>
      </c>
      <c r="AC58" s="2821"/>
      <c r="AD58" s="2821"/>
      <c r="AE58" s="2821"/>
      <c r="AF58" s="2821"/>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818" t="s">
        <v>2032</v>
      </c>
      <c r="B60" s="2818"/>
      <c r="C60" s="2818"/>
      <c r="D60" s="2818"/>
      <c r="E60" s="2818"/>
      <c r="F60" s="2818"/>
      <c r="G60" s="2818"/>
      <c r="H60" s="2818"/>
      <c r="I60" s="2818"/>
      <c r="J60" s="2818"/>
      <c r="K60" s="2818"/>
      <c r="L60" s="2818"/>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row>
    <row r="61" spans="1:40" ht="13.7" customHeight="1" thickTop="1">
      <c r="A61" s="2820"/>
      <c r="B61" s="2820"/>
      <c r="C61" s="2820"/>
      <c r="D61" s="2820"/>
      <c r="E61" s="2820"/>
      <c r="F61" s="2820"/>
      <c r="G61" s="2820"/>
      <c r="H61" s="2820"/>
      <c r="I61" s="2820"/>
      <c r="J61" s="2820"/>
      <c r="K61" s="2820"/>
      <c r="L61" s="2820"/>
      <c r="M61" s="282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22" t="s">
        <v>333</v>
      </c>
      <c r="Z62" s="2822"/>
      <c r="AA62" s="2822"/>
      <c r="AB62" s="2822"/>
      <c r="AC62" s="2822"/>
      <c r="AD62" s="2822" t="s">
        <v>46</v>
      </c>
      <c r="AE62" s="2822"/>
      <c r="AF62" s="2822"/>
      <c r="AG62" s="2822"/>
      <c r="AH62" s="2822"/>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849">
        <f>IF(AND(Application!T200="No",Application!T201="No"),T28,IF(OR(AND(T25=1.3,Application!T203="Yes",Application!D221="Special Needs"),T25=1),(T23*T27)+Y28,Y28))</f>
        <v>0</v>
      </c>
      <c r="Z63" s="2845"/>
      <c r="AA63" s="2845"/>
      <c r="AB63" s="2845"/>
      <c r="AC63" s="2845"/>
      <c r="AD63" s="2495">
        <f>IF(AND(T25=1.3,Application!D221="At-Risk"),AI28,IF(Application!D221&lt;&gt;"At-Risk",0,AD28))</f>
        <v>0</v>
      </c>
      <c r="AE63" s="2845"/>
      <c r="AF63" s="2845"/>
      <c r="AG63" s="2845"/>
      <c r="AH63" s="2845"/>
    </row>
    <row r="64" spans="1:40" ht="15" customHeight="1">
      <c r="C64" s="6"/>
      <c r="E64" s="2819" t="s">
        <v>1453</v>
      </c>
      <c r="F64" s="2819"/>
      <c r="G64" s="2819"/>
      <c r="H64" s="2819"/>
      <c r="I64" s="2819"/>
      <c r="J64" s="2819"/>
      <c r="K64" s="2819"/>
      <c r="L64" s="2819"/>
      <c r="M64" s="2819"/>
      <c r="N64" s="2819"/>
      <c r="O64" s="2819"/>
      <c r="P64" s="2819"/>
      <c r="Q64" s="2819"/>
      <c r="R64" s="2819"/>
      <c r="S64" s="2819"/>
      <c r="T64" s="2819"/>
      <c r="U64" s="2819"/>
      <c r="V64" s="2819"/>
      <c r="W64" s="2819"/>
      <c r="X64" s="2819"/>
      <c r="Y64" s="2819"/>
      <c r="Z64" s="2819"/>
      <c r="AA64" s="2819"/>
      <c r="AB64" s="2819"/>
      <c r="AC64" s="2819"/>
      <c r="AD64" s="2819"/>
      <c r="AE64" s="2819"/>
      <c r="AF64" s="2819"/>
      <c r="AG64" s="2819"/>
      <c r="AH64" s="2819"/>
    </row>
    <row r="65" spans="1:40" ht="24.4" customHeight="1">
      <c r="C65" s="6"/>
      <c r="E65" s="2819"/>
      <c r="F65" s="2819"/>
      <c r="G65" s="2819"/>
      <c r="H65" s="2819"/>
      <c r="I65" s="2819"/>
      <c r="J65" s="2819"/>
      <c r="K65" s="2819"/>
      <c r="L65" s="2819"/>
      <c r="M65" s="2819"/>
      <c r="N65" s="2819"/>
      <c r="O65" s="2819"/>
      <c r="P65" s="2819"/>
      <c r="Q65" s="2819"/>
      <c r="R65" s="2819"/>
      <c r="S65" s="2819"/>
      <c r="T65" s="2819"/>
      <c r="U65" s="2819"/>
      <c r="V65" s="2819"/>
      <c r="W65" s="2819"/>
      <c r="X65" s="2819"/>
      <c r="Y65" s="2819"/>
      <c r="Z65" s="2819"/>
      <c r="AA65" s="2819"/>
      <c r="AB65" s="2819"/>
      <c r="AC65" s="2819"/>
      <c r="AD65" s="2819"/>
      <c r="AE65" s="2819"/>
      <c r="AF65" s="2819"/>
      <c r="AG65" s="2819"/>
      <c r="AH65" s="2819"/>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841">
        <f>IF(Application!W205="Yes",95%, 30%)</f>
        <v>0.3</v>
      </c>
      <c r="Z66" s="2841"/>
      <c r="AA66" s="2841"/>
      <c r="AB66" s="2841"/>
      <c r="AC66" s="2841"/>
      <c r="AD66" s="2841">
        <f>IF(Application!W205="Yes",95%, 13%)</f>
        <v>0.13</v>
      </c>
      <c r="AE66" s="2841"/>
      <c r="AF66" s="2841"/>
      <c r="AG66" s="2841"/>
      <c r="AH66" s="2841"/>
    </row>
    <row r="67" spans="1:40" ht="12.75">
      <c r="C67" s="6"/>
      <c r="D67" s="6" t="s">
        <v>1057</v>
      </c>
      <c r="Y67" s="2495">
        <f>ROUND(Y63*Y66,0)</f>
        <v>0</v>
      </c>
      <c r="Z67" s="2845"/>
      <c r="AA67" s="2845"/>
      <c r="AB67" s="2845"/>
      <c r="AC67" s="2845"/>
      <c r="AD67" s="2495" t="str">
        <f>IF(OR(Application!D218="At-Risk",Application!D218="At-Risk/Located in Rural Census Tract",Application!D221="At-Risk"),ROUND(AD63*AD66,0),"$0")</f>
        <v>$0</v>
      </c>
      <c r="AE67" s="2846"/>
      <c r="AF67" s="2846"/>
      <c r="AG67" s="2846"/>
      <c r="AH67" s="2846"/>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42"/>
      <c r="AC70" s="2843"/>
      <c r="AD70" s="2843"/>
      <c r="AE70" s="2843"/>
      <c r="AF70" s="2844"/>
      <c r="AG70" s="2"/>
      <c r="AH70" s="2"/>
      <c r="AI70" s="2"/>
      <c r="AJ70" s="2"/>
      <c r="AK70" s="2"/>
      <c r="AL70" s="2"/>
      <c r="AM70" s="2"/>
      <c r="AN70" s="2"/>
    </row>
    <row r="71" spans="1:40" ht="12.75" customHeight="1">
      <c r="A71" s="344"/>
      <c r="B71" s="2"/>
      <c r="C71" s="344"/>
      <c r="D71" s="344"/>
      <c r="E71" s="2847" t="s">
        <v>2027</v>
      </c>
      <c r="F71" s="2847"/>
      <c r="G71" s="2847"/>
      <c r="H71" s="2847"/>
      <c r="I71" s="2847"/>
      <c r="J71" s="2847"/>
      <c r="K71" s="2847"/>
      <c r="L71" s="2847"/>
      <c r="M71" s="2847"/>
      <c r="N71" s="2847"/>
      <c r="O71" s="2847"/>
      <c r="P71" s="2847"/>
      <c r="Q71" s="2847"/>
      <c r="R71" s="2847"/>
      <c r="S71" s="2847"/>
      <c r="T71" s="2847"/>
      <c r="U71" s="2847"/>
      <c r="V71" s="2847"/>
      <c r="W71" s="2847"/>
      <c r="X71" s="2847"/>
      <c r="Y71" s="2847"/>
      <c r="Z71" s="2847"/>
      <c r="AA71" s="848"/>
      <c r="AB71" s="848"/>
      <c r="AC71" s="848"/>
      <c r="AG71" s="2"/>
      <c r="AH71" s="2"/>
      <c r="AI71" s="2"/>
      <c r="AJ71" s="2"/>
      <c r="AK71" s="2"/>
      <c r="AL71" s="2"/>
      <c r="AM71" s="2"/>
      <c r="AN71" s="2"/>
    </row>
    <row r="72" spans="1:40" ht="12.75" customHeight="1">
      <c r="A72" s="344"/>
      <c r="B72" s="2"/>
      <c r="C72" s="344"/>
      <c r="D72" s="344"/>
      <c r="E72" s="2847"/>
      <c r="F72" s="2847"/>
      <c r="G72" s="2847"/>
      <c r="H72" s="2847"/>
      <c r="I72" s="2847"/>
      <c r="J72" s="2847"/>
      <c r="K72" s="2847"/>
      <c r="L72" s="2847"/>
      <c r="M72" s="2847"/>
      <c r="N72" s="2847"/>
      <c r="O72" s="2847"/>
      <c r="P72" s="2847"/>
      <c r="Q72" s="2847"/>
      <c r="R72" s="2847"/>
      <c r="S72" s="2847"/>
      <c r="T72" s="2847"/>
      <c r="U72" s="2847"/>
      <c r="V72" s="2847"/>
      <c r="W72" s="2847"/>
      <c r="X72" s="2847"/>
      <c r="Y72" s="2847"/>
      <c r="Z72" s="2847"/>
      <c r="AA72" s="848"/>
      <c r="AB72" s="848"/>
      <c r="AC72" s="848"/>
      <c r="AD72" s="1138"/>
      <c r="AE72" s="1138"/>
      <c r="AF72" s="1138"/>
      <c r="AG72" s="2"/>
      <c r="AH72" s="2"/>
      <c r="AI72" s="2"/>
      <c r="AJ72" s="2"/>
      <c r="AK72" s="2"/>
      <c r="AL72" s="2"/>
      <c r="AM72" s="2"/>
      <c r="AN72" s="2"/>
    </row>
    <row r="73" spans="1:40" ht="12" customHeight="1">
      <c r="A73" s="344"/>
      <c r="B73" s="2"/>
      <c r="C73" s="344"/>
      <c r="D73" s="344"/>
      <c r="E73" s="2847"/>
      <c r="F73" s="2847"/>
      <c r="G73" s="2847"/>
      <c r="H73" s="2847"/>
      <c r="I73" s="2847"/>
      <c r="J73" s="2847"/>
      <c r="K73" s="2847"/>
      <c r="L73" s="2847"/>
      <c r="M73" s="2847"/>
      <c r="N73" s="2847"/>
      <c r="O73" s="2847"/>
      <c r="P73" s="2847"/>
      <c r="Q73" s="2847"/>
      <c r="R73" s="2847"/>
      <c r="S73" s="2847"/>
      <c r="T73" s="2847"/>
      <c r="U73" s="2847"/>
      <c r="V73" s="2847"/>
      <c r="W73" s="2847"/>
      <c r="X73" s="2847"/>
      <c r="Y73" s="2847"/>
      <c r="Z73" s="284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840">
        <f>ROUND(IF(ISERROR((AB58/AB70)),0,(AB58/AB70)),0)</f>
        <v>0</v>
      </c>
      <c r="AC75" s="2840"/>
      <c r="AD75" s="2840"/>
      <c r="AE75" s="2840"/>
      <c r="AF75" s="2840"/>
    </row>
    <row r="76" spans="1:40" ht="12.75" customHeight="1">
      <c r="C76" s="6"/>
      <c r="D76" s="6" t="s">
        <v>115</v>
      </c>
      <c r="AB76" s="2837">
        <f>IF((Y67+AD67&lt;AB75),Y67+AD67,AB75)</f>
        <v>0</v>
      </c>
      <c r="AC76" s="2838"/>
      <c r="AD76" s="2838"/>
      <c r="AE76" s="2838"/>
      <c r="AF76" s="2839"/>
    </row>
    <row r="77" spans="1:40" ht="12.75" customHeight="1">
      <c r="C77" s="6"/>
      <c r="D77" s="6" t="s">
        <v>1058</v>
      </c>
      <c r="AB77" s="2836">
        <f>AB76*AB70</f>
        <v>0</v>
      </c>
      <c r="AC77" s="2836"/>
      <c r="AD77" s="2836"/>
      <c r="AE77" s="2836"/>
      <c r="AF77" s="2836"/>
    </row>
    <row r="78" spans="1:40" ht="12.75" customHeight="1">
      <c r="C78" s="6"/>
      <c r="D78" s="6"/>
      <c r="AB78" s="984"/>
      <c r="AC78" s="984"/>
      <c r="AD78" s="984"/>
      <c r="AE78" s="984"/>
      <c r="AF78" s="984"/>
    </row>
    <row r="79" spans="1:40" ht="12.75" customHeight="1">
      <c r="A79" s="1"/>
      <c r="B79" s="1"/>
      <c r="C79" s="1"/>
      <c r="D79" s="6" t="s">
        <v>116</v>
      </c>
      <c r="AB79" s="2821">
        <f>AB48-(AB56+AB77)</f>
        <v>0</v>
      </c>
      <c r="AC79" s="2821"/>
      <c r="AD79" s="2821"/>
      <c r="AE79" s="2821"/>
      <c r="AF79" s="282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topLeftCell="A130" workbookViewId="0">
      <selection activeCell="H154" sqref="H154:I15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2314" t="s">
        <v>937</v>
      </c>
      <c r="B1" s="2314"/>
      <c r="C1" s="2314"/>
      <c r="D1" s="2314"/>
      <c r="E1" s="2314"/>
      <c r="F1" s="2314"/>
      <c r="G1" s="2314"/>
      <c r="H1" s="2314"/>
      <c r="I1" s="2314"/>
      <c r="J1" s="2314"/>
      <c r="K1" s="2314"/>
      <c r="L1" s="2314"/>
      <c r="M1" s="2314"/>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c r="AL1" s="2314"/>
      <c r="AM1" s="2314"/>
    </row>
    <row r="2" spans="1:42" s="8" customFormat="1" ht="12.75" customHeight="1" thickBot="1">
      <c r="A2" s="2315"/>
      <c r="B2" s="2315"/>
      <c r="C2" s="2315"/>
      <c r="D2" s="2315"/>
      <c r="E2" s="2315"/>
      <c r="F2" s="2315"/>
      <c r="G2" s="2315"/>
      <c r="H2" s="2315"/>
      <c r="I2" s="2315"/>
      <c r="J2" s="2315"/>
      <c r="K2" s="2315"/>
      <c r="L2" s="2315"/>
      <c r="M2" s="2315"/>
      <c r="N2" s="2315"/>
      <c r="O2" s="2315"/>
      <c r="P2" s="2315"/>
      <c r="Q2" s="2315"/>
      <c r="R2" s="2315"/>
      <c r="S2" s="2315"/>
      <c r="T2" s="2315"/>
      <c r="U2" s="2315"/>
      <c r="V2" s="2315"/>
      <c r="W2" s="2315"/>
      <c r="X2" s="2315"/>
      <c r="Y2" s="2315"/>
      <c r="Z2" s="2315"/>
      <c r="AA2" s="2315"/>
      <c r="AB2" s="2315"/>
      <c r="AC2" s="2315"/>
      <c r="AD2" s="2315"/>
      <c r="AE2" s="2315"/>
      <c r="AF2" s="2315"/>
      <c r="AG2" s="2315"/>
      <c r="AH2" s="2315"/>
      <c r="AI2" s="2315"/>
      <c r="AJ2" s="2315"/>
      <c r="AK2" s="2315"/>
      <c r="AL2" s="2315"/>
      <c r="AM2" s="2315"/>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3091" t="s">
        <v>412</v>
      </c>
      <c r="AF4" s="3091"/>
      <c r="AG4" s="3091"/>
      <c r="AH4" s="3091"/>
      <c r="AI4" s="3091"/>
      <c r="AJ4" s="3091"/>
      <c r="AK4" s="3091"/>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939" t="s">
        <v>62</v>
      </c>
      <c r="AG6" s="2939"/>
      <c r="AH6" s="2939"/>
      <c r="AI6" s="2939"/>
      <c r="AJ6" s="2939"/>
      <c r="AK6" s="2939"/>
      <c r="AL6" s="2939"/>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903" t="str">
        <f>Application!M250</f>
        <v>Global Premier Development, INC.</v>
      </c>
      <c r="C8" s="2903"/>
      <c r="D8" s="2903"/>
      <c r="E8" s="2903"/>
      <c r="F8" s="2903"/>
      <c r="G8" s="2903"/>
      <c r="H8" s="2903"/>
      <c r="I8" s="2903"/>
      <c r="J8" s="2903"/>
      <c r="K8" s="2903"/>
      <c r="L8" s="2903"/>
      <c r="M8" s="2903"/>
      <c r="N8" s="2903"/>
      <c r="O8" s="2903"/>
      <c r="P8" s="2903"/>
      <c r="Q8" s="2903"/>
      <c r="R8" s="2903"/>
      <c r="S8" s="2903"/>
      <c r="T8" s="2903"/>
      <c r="U8" s="2903"/>
      <c r="V8" s="2903"/>
      <c r="W8" s="2903"/>
      <c r="X8" s="2903"/>
      <c r="Y8" s="2903"/>
      <c r="Z8" s="2903"/>
      <c r="AA8" s="2903"/>
      <c r="AB8" s="2903"/>
      <c r="AC8" s="2903"/>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2903" t="s">
        <v>1403</v>
      </c>
      <c r="C11" s="2903"/>
      <c r="D11" s="2903"/>
      <c r="E11" s="2903"/>
      <c r="F11" s="2903"/>
      <c r="G11" s="2903"/>
      <c r="H11" s="2903"/>
      <c r="I11" s="2903"/>
      <c r="J11" s="2903"/>
      <c r="K11" s="2903"/>
      <c r="L11" s="2903"/>
      <c r="M11" s="2903"/>
      <c r="N11" s="2903"/>
      <c r="O11" s="2903"/>
      <c r="P11" s="2903"/>
      <c r="Q11" s="2903"/>
      <c r="R11" s="2903"/>
      <c r="S11" s="2903"/>
      <c r="T11" s="2903"/>
      <c r="U11" s="2903"/>
      <c r="V11" s="2903"/>
      <c r="W11" s="2903"/>
      <c r="X11" s="2903"/>
      <c r="Y11" s="2903"/>
      <c r="Z11" s="2903"/>
      <c r="AA11" s="2903"/>
      <c r="AB11" s="2903"/>
      <c r="AC11" s="2903"/>
      <c r="AD11" s="2903"/>
      <c r="AE11" s="2903"/>
      <c r="AF11" s="2903"/>
      <c r="AG11" s="2903"/>
      <c r="AH11" s="2903"/>
      <c r="AI11" s="2903"/>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3094" t="s">
        <v>135</v>
      </c>
      <c r="AC13" s="3094"/>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2903" t="s">
        <v>1265</v>
      </c>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825"/>
      <c r="AL16" s="825"/>
      <c r="AM16" s="825"/>
      <c r="AN16" s="1189"/>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959" t="s">
        <v>1883</v>
      </c>
      <c r="C20" s="2959"/>
      <c r="D20" s="2959"/>
      <c r="E20" s="2959"/>
      <c r="F20" s="2959"/>
      <c r="G20" s="2959"/>
      <c r="H20" s="2959"/>
      <c r="I20" s="2959"/>
      <c r="J20" s="2959"/>
      <c r="K20" s="2959"/>
      <c r="L20" s="2959"/>
      <c r="M20" s="2959"/>
      <c r="N20" s="2959"/>
      <c r="O20" s="2959"/>
      <c r="P20" s="2959"/>
      <c r="Q20" s="2959"/>
      <c r="R20" s="2959"/>
      <c r="S20" s="2959"/>
      <c r="T20" s="2959"/>
      <c r="U20" s="2959"/>
      <c r="V20" s="2959"/>
      <c r="W20" s="2959"/>
      <c r="X20" s="2959"/>
      <c r="Y20" s="2959"/>
      <c r="Z20" s="2959"/>
      <c r="AA20" s="2959"/>
      <c r="AB20" s="2959"/>
      <c r="AC20" s="2959"/>
      <c r="AD20" s="2959"/>
      <c r="AE20" s="2959"/>
      <c r="AF20" s="2959"/>
      <c r="AG20" s="2959"/>
      <c r="AH20" s="2959"/>
      <c r="AI20" s="2959"/>
      <c r="AJ20" s="2959"/>
      <c r="AK20" s="2959"/>
      <c r="AL20" s="1363"/>
      <c r="AM20" s="38"/>
      <c r="AN20" s="1189"/>
    </row>
    <row r="21" spans="1:42" s="8" customFormat="1" ht="12.75" customHeight="1">
      <c r="A21" s="38"/>
      <c r="B21" s="2959"/>
      <c r="C21" s="2959"/>
      <c r="D21" s="2959"/>
      <c r="E21" s="2959"/>
      <c r="F21" s="2959"/>
      <c r="G21" s="2959"/>
      <c r="H21" s="2959"/>
      <c r="I21" s="2959"/>
      <c r="J21" s="2959"/>
      <c r="K21" s="2959"/>
      <c r="L21" s="2959"/>
      <c r="M21" s="2959"/>
      <c r="N21" s="2959"/>
      <c r="O21" s="2959"/>
      <c r="P21" s="2959"/>
      <c r="Q21" s="2959"/>
      <c r="R21" s="2959"/>
      <c r="S21" s="2959"/>
      <c r="T21" s="2959"/>
      <c r="U21" s="2959"/>
      <c r="V21" s="2959"/>
      <c r="W21" s="2959"/>
      <c r="X21" s="2959"/>
      <c r="Y21" s="2959"/>
      <c r="Z21" s="2959"/>
      <c r="AA21" s="2959"/>
      <c r="AB21" s="2959"/>
      <c r="AC21" s="2959"/>
      <c r="AD21" s="2959"/>
      <c r="AE21" s="2959"/>
      <c r="AF21" s="2959"/>
      <c r="AG21" s="2959"/>
      <c r="AH21" s="2959"/>
      <c r="AI21" s="2959"/>
      <c r="AJ21" s="2959"/>
      <c r="AK21" s="2959"/>
      <c r="AL21" s="1363"/>
      <c r="AM21" s="38"/>
      <c r="AN21" s="1189"/>
      <c r="AP21" s="561"/>
    </row>
    <row r="22" spans="1:42" s="8" customFormat="1" ht="12.75" customHeight="1">
      <c r="A22" s="38"/>
      <c r="B22" s="2959"/>
      <c r="C22" s="2959"/>
      <c r="D22" s="2959"/>
      <c r="E22" s="2959"/>
      <c r="F22" s="2959"/>
      <c r="G22" s="2959"/>
      <c r="H22" s="2959"/>
      <c r="I22" s="2959"/>
      <c r="J22" s="2959"/>
      <c r="K22" s="2959"/>
      <c r="L22" s="2959"/>
      <c r="M22" s="2959"/>
      <c r="N22" s="2959"/>
      <c r="O22" s="2959"/>
      <c r="P22" s="2959"/>
      <c r="Q22" s="2959"/>
      <c r="R22" s="2959"/>
      <c r="S22" s="2959"/>
      <c r="T22" s="2959"/>
      <c r="U22" s="2959"/>
      <c r="V22" s="2959"/>
      <c r="W22" s="2959"/>
      <c r="X22" s="2959"/>
      <c r="Y22" s="2959"/>
      <c r="Z22" s="2959"/>
      <c r="AA22" s="2959"/>
      <c r="AB22" s="2959"/>
      <c r="AC22" s="2959"/>
      <c r="AD22" s="2959"/>
      <c r="AE22" s="2959"/>
      <c r="AF22" s="2959"/>
      <c r="AG22" s="2959"/>
      <c r="AH22" s="2959"/>
      <c r="AI22" s="2959"/>
      <c r="AJ22" s="2959"/>
      <c r="AK22" s="2959"/>
      <c r="AL22" s="1363"/>
      <c r="AM22" s="38"/>
      <c r="AN22" s="1189"/>
    </row>
    <row r="23" spans="1:42" s="46" customFormat="1" ht="12.75" customHeight="1">
      <c r="A23" s="38"/>
      <c r="B23" s="2959"/>
      <c r="C23" s="2959"/>
      <c r="D23" s="2959"/>
      <c r="E23" s="2959"/>
      <c r="F23" s="2959"/>
      <c r="G23" s="2959"/>
      <c r="H23" s="2959"/>
      <c r="I23" s="2959"/>
      <c r="J23" s="2959"/>
      <c r="K23" s="2959"/>
      <c r="L23" s="2959"/>
      <c r="M23" s="2959"/>
      <c r="N23" s="2959"/>
      <c r="O23" s="2959"/>
      <c r="P23" s="2959"/>
      <c r="Q23" s="2959"/>
      <c r="R23" s="2959"/>
      <c r="S23" s="2959"/>
      <c r="T23" s="2959"/>
      <c r="U23" s="2959"/>
      <c r="V23" s="2959"/>
      <c r="W23" s="2959"/>
      <c r="X23" s="2959"/>
      <c r="Y23" s="2959"/>
      <c r="Z23" s="2959"/>
      <c r="AA23" s="2959"/>
      <c r="AB23" s="2959"/>
      <c r="AC23" s="2959"/>
      <c r="AD23" s="2959"/>
      <c r="AE23" s="2959"/>
      <c r="AF23" s="2959"/>
      <c r="AG23" s="2959"/>
      <c r="AH23" s="2959"/>
      <c r="AI23" s="2959"/>
      <c r="AJ23" s="2959"/>
      <c r="AK23" s="2959"/>
      <c r="AL23" s="1363"/>
      <c r="AM23" s="38"/>
      <c r="AN23" s="457"/>
    </row>
    <row r="24" spans="1:42" s="46" customFormat="1" ht="12.75" customHeight="1">
      <c r="A24" s="38"/>
      <c r="B24" s="2959"/>
      <c r="C24" s="2959"/>
      <c r="D24" s="2959"/>
      <c r="E24" s="2959"/>
      <c r="F24" s="2959"/>
      <c r="G24" s="2959"/>
      <c r="H24" s="2959"/>
      <c r="I24" s="2959"/>
      <c r="J24" s="2959"/>
      <c r="K24" s="2959"/>
      <c r="L24" s="2959"/>
      <c r="M24" s="2959"/>
      <c r="N24" s="2959"/>
      <c r="O24" s="2959"/>
      <c r="P24" s="2959"/>
      <c r="Q24" s="2959"/>
      <c r="R24" s="2959"/>
      <c r="S24" s="2959"/>
      <c r="T24" s="2959"/>
      <c r="U24" s="2959"/>
      <c r="V24" s="2959"/>
      <c r="W24" s="2959"/>
      <c r="X24" s="2959"/>
      <c r="Y24" s="2959"/>
      <c r="Z24" s="2959"/>
      <c r="AA24" s="2959"/>
      <c r="AB24" s="2959"/>
      <c r="AC24" s="2959"/>
      <c r="AD24" s="2959"/>
      <c r="AE24" s="2959"/>
      <c r="AF24" s="2959"/>
      <c r="AG24" s="2959"/>
      <c r="AH24" s="2959"/>
      <c r="AI24" s="2959"/>
      <c r="AJ24" s="2959"/>
      <c r="AK24" s="2959"/>
      <c r="AL24" s="1363"/>
      <c r="AM24" s="38"/>
      <c r="AN24" s="1192"/>
      <c r="AO24" s="167"/>
    </row>
    <row r="25" spans="1:42" s="46" customFormat="1" ht="12.75" customHeight="1">
      <c r="A25" s="38"/>
      <c r="B25" s="2959"/>
      <c r="C25" s="2959"/>
      <c r="D25" s="2959"/>
      <c r="E25" s="2959"/>
      <c r="F25" s="2959"/>
      <c r="G25" s="2959"/>
      <c r="H25" s="2959"/>
      <c r="I25" s="2959"/>
      <c r="J25" s="2959"/>
      <c r="K25" s="2959"/>
      <c r="L25" s="2959"/>
      <c r="M25" s="2959"/>
      <c r="N25" s="2959"/>
      <c r="O25" s="2959"/>
      <c r="P25" s="2959"/>
      <c r="Q25" s="2959"/>
      <c r="R25" s="2959"/>
      <c r="S25" s="2959"/>
      <c r="T25" s="2959"/>
      <c r="U25" s="2959"/>
      <c r="V25" s="2959"/>
      <c r="W25" s="2959"/>
      <c r="X25" s="2959"/>
      <c r="Y25" s="2959"/>
      <c r="Z25" s="2959"/>
      <c r="AA25" s="2959"/>
      <c r="AB25" s="2959"/>
      <c r="AC25" s="2959"/>
      <c r="AD25" s="2959"/>
      <c r="AE25" s="2959"/>
      <c r="AF25" s="2959"/>
      <c r="AG25" s="2959"/>
      <c r="AH25" s="2959"/>
      <c r="AI25" s="2959"/>
      <c r="AJ25" s="2959"/>
      <c r="AK25" s="2959"/>
      <c r="AL25" s="1363"/>
      <c r="AM25" s="38"/>
      <c r="AN25" s="1192"/>
    </row>
    <row r="26" spans="1:42" s="149" customFormat="1" ht="12.75" customHeight="1">
      <c r="A26" s="38"/>
      <c r="B26" s="2959"/>
      <c r="C26" s="2959"/>
      <c r="D26" s="2959"/>
      <c r="E26" s="2959"/>
      <c r="F26" s="2959"/>
      <c r="G26" s="2959"/>
      <c r="H26" s="2959"/>
      <c r="I26" s="2959"/>
      <c r="J26" s="2959"/>
      <c r="K26" s="2959"/>
      <c r="L26" s="2959"/>
      <c r="M26" s="2959"/>
      <c r="N26" s="2959"/>
      <c r="O26" s="2959"/>
      <c r="P26" s="2959"/>
      <c r="Q26" s="2959"/>
      <c r="R26" s="2959"/>
      <c r="S26" s="2959"/>
      <c r="T26" s="2959"/>
      <c r="U26" s="2959"/>
      <c r="V26" s="2959"/>
      <c r="W26" s="2959"/>
      <c r="X26" s="2959"/>
      <c r="Y26" s="2959"/>
      <c r="Z26" s="2959"/>
      <c r="AA26" s="2959"/>
      <c r="AB26" s="2959"/>
      <c r="AC26" s="2959"/>
      <c r="AD26" s="2959"/>
      <c r="AE26" s="2959"/>
      <c r="AF26" s="2959"/>
      <c r="AG26" s="2959"/>
      <c r="AH26" s="2959"/>
      <c r="AI26" s="2959"/>
      <c r="AJ26" s="2959"/>
      <c r="AK26" s="2959"/>
      <c r="AL26" s="1363"/>
      <c r="AM26" s="38"/>
      <c r="AN26" s="1193"/>
    </row>
    <row r="27" spans="1:42" s="46" customFormat="1" ht="12.75" customHeight="1">
      <c r="A27" s="38"/>
      <c r="B27" s="2959"/>
      <c r="C27" s="2959"/>
      <c r="D27" s="2959"/>
      <c r="E27" s="2959"/>
      <c r="F27" s="2959"/>
      <c r="G27" s="2959"/>
      <c r="H27" s="2959"/>
      <c r="I27" s="2959"/>
      <c r="J27" s="2959"/>
      <c r="K27" s="2959"/>
      <c r="L27" s="2959"/>
      <c r="M27" s="2959"/>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c r="AL27" s="1363"/>
      <c r="AM27" s="38"/>
      <c r="AN27" s="1194"/>
    </row>
    <row r="28" spans="1:42" s="46" customFormat="1" ht="12.75" customHeight="1">
      <c r="A28" s="38"/>
      <c r="B28" s="2959"/>
      <c r="C28" s="2959"/>
      <c r="D28" s="2959"/>
      <c r="E28" s="2959"/>
      <c r="F28" s="2959"/>
      <c r="G28" s="2959"/>
      <c r="H28" s="2959"/>
      <c r="I28" s="2959"/>
      <c r="J28" s="2959"/>
      <c r="K28" s="2959"/>
      <c r="L28" s="2959"/>
      <c r="M28" s="2959"/>
      <c r="N28" s="2959"/>
      <c r="O28" s="2959"/>
      <c r="P28" s="2959"/>
      <c r="Q28" s="2959"/>
      <c r="R28" s="2959"/>
      <c r="S28" s="2959"/>
      <c r="T28" s="2959"/>
      <c r="U28" s="2959"/>
      <c r="V28" s="2959"/>
      <c r="W28" s="2959"/>
      <c r="X28" s="2959"/>
      <c r="Y28" s="2959"/>
      <c r="Z28" s="2959"/>
      <c r="AA28" s="2959"/>
      <c r="AB28" s="2959"/>
      <c r="AC28" s="2959"/>
      <c r="AD28" s="2959"/>
      <c r="AE28" s="2959"/>
      <c r="AF28" s="2959"/>
      <c r="AG28" s="2959"/>
      <c r="AH28" s="2959"/>
      <c r="AI28" s="2959"/>
      <c r="AJ28" s="2959"/>
      <c r="AK28" s="2959"/>
      <c r="AL28" s="1363"/>
      <c r="AM28" s="38"/>
      <c r="AN28" s="1194"/>
    </row>
    <row r="29" spans="1:42" s="46" customFormat="1" ht="31.7" customHeight="1">
      <c r="A29" s="38"/>
      <c r="B29" s="2959"/>
      <c r="C29" s="2959"/>
      <c r="D29" s="2959"/>
      <c r="E29" s="2959"/>
      <c r="F29" s="2959"/>
      <c r="G29" s="2959"/>
      <c r="H29" s="2959"/>
      <c r="I29" s="2959"/>
      <c r="J29" s="2959"/>
      <c r="K29" s="2959"/>
      <c r="L29" s="2959"/>
      <c r="M29" s="2959"/>
      <c r="N29" s="2959"/>
      <c r="O29" s="2959"/>
      <c r="P29" s="2959"/>
      <c r="Q29" s="2959"/>
      <c r="R29" s="2959"/>
      <c r="S29" s="2959"/>
      <c r="T29" s="2959"/>
      <c r="U29" s="2959"/>
      <c r="V29" s="2959"/>
      <c r="W29" s="2959"/>
      <c r="X29" s="2959"/>
      <c r="Y29" s="2959"/>
      <c r="Z29" s="2959"/>
      <c r="AA29" s="2959"/>
      <c r="AB29" s="2959"/>
      <c r="AC29" s="2959"/>
      <c r="AD29" s="2959"/>
      <c r="AE29" s="2959"/>
      <c r="AF29" s="2959"/>
      <c r="AG29" s="2959"/>
      <c r="AH29" s="2959"/>
      <c r="AI29" s="2959"/>
      <c r="AJ29" s="2959"/>
      <c r="AK29" s="2959"/>
      <c r="AL29" s="1363"/>
      <c r="AM29" s="38"/>
      <c r="AN29" s="1194"/>
      <c r="AO29" s="781" t="s">
        <v>85</v>
      </c>
      <c r="AP29" s="624"/>
    </row>
    <row r="30" spans="1:42" s="46" customFormat="1" ht="12.75" customHeight="1">
      <c r="A30" s="8"/>
      <c r="B30" s="2960"/>
      <c r="C30" s="2960"/>
      <c r="D30" s="2960"/>
      <c r="E30" s="2960"/>
      <c r="F30" s="2960"/>
      <c r="G30" s="2960"/>
      <c r="H30" s="2960"/>
      <c r="I30" s="2960"/>
      <c r="J30" s="2960"/>
      <c r="K30" s="2960"/>
      <c r="L30" s="2960"/>
      <c r="M30" s="2960"/>
      <c r="N30" s="2960"/>
      <c r="O30" s="2960"/>
      <c r="P30" s="2960"/>
      <c r="Q30" s="2960"/>
      <c r="R30" s="2960"/>
      <c r="S30" s="2960"/>
      <c r="T30" s="2960"/>
      <c r="U30" s="2960"/>
      <c r="V30" s="2960"/>
      <c r="W30" s="2960"/>
      <c r="X30" s="2960"/>
      <c r="Y30" s="2960"/>
      <c r="Z30" s="2960"/>
      <c r="AA30" s="2960"/>
      <c r="AB30" s="2960"/>
      <c r="AC30" s="2960"/>
      <c r="AD30" s="2960"/>
      <c r="AE30" s="2960"/>
      <c r="AF30" s="2960"/>
      <c r="AG30" s="2960"/>
      <c r="AH30" s="2960"/>
      <c r="AI30" s="2960"/>
      <c r="AJ30" s="2960"/>
      <c r="AK30" s="2960"/>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3092">
        <f>IF((AND(AND(OR(Application!D218="Nonprofit (qualified nonprofit organization)",Application!D218="Nonprofit (homeless assistance)",Application!D218="Special Needs/SRO"),Application!D221="Special Needs"),$AB$13="N/A")),VLOOKUP($B$16,$AO$14:$AP$16,2,FALSE),VLOOKUP($B$11,$AO$9:$AP$11,2,FALSE))</f>
        <v>6</v>
      </c>
      <c r="AK31" s="3092"/>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939" t="s">
        <v>65</v>
      </c>
      <c r="AG33" s="2939"/>
      <c r="AH33" s="2939"/>
      <c r="AI33" s="2939"/>
      <c r="AJ33" s="2939"/>
      <c r="AK33" s="2939"/>
      <c r="AL33" s="2939"/>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903" t="s">
        <v>1407</v>
      </c>
      <c r="D35" s="2903"/>
      <c r="E35" s="2903"/>
      <c r="F35" s="2903"/>
      <c r="G35" s="2903"/>
      <c r="H35" s="2903"/>
      <c r="I35" s="2903"/>
      <c r="J35" s="2903"/>
      <c r="K35" s="2903"/>
      <c r="L35" s="2903"/>
      <c r="M35" s="2903"/>
      <c r="N35" s="2903"/>
      <c r="O35" s="2903"/>
      <c r="P35" s="2903"/>
      <c r="Q35" s="2903"/>
      <c r="R35" s="2903"/>
      <c r="S35" s="2903"/>
      <c r="T35" s="2903"/>
      <c r="U35" s="2903"/>
      <c r="V35" s="2903"/>
      <c r="W35" s="2903"/>
      <c r="X35" s="2903"/>
      <c r="Y35" s="2903"/>
      <c r="Z35" s="2903"/>
      <c r="AA35" s="2903"/>
      <c r="AB35" s="2903"/>
      <c r="AC35" s="2903"/>
      <c r="AD35" s="2903"/>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3094" t="s">
        <v>135</v>
      </c>
      <c r="AD37" s="3094"/>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903" t="s">
        <v>1265</v>
      </c>
      <c r="D40" s="2903"/>
      <c r="E40" s="2903"/>
      <c r="F40" s="2903"/>
      <c r="G40" s="2903"/>
      <c r="H40" s="2903"/>
      <c r="I40" s="2903"/>
      <c r="J40" s="2903"/>
      <c r="K40" s="2903"/>
      <c r="L40" s="2903"/>
      <c r="M40" s="2903"/>
      <c r="N40" s="2903"/>
      <c r="O40" s="2903"/>
      <c r="P40" s="2903"/>
      <c r="Q40" s="2903"/>
      <c r="R40" s="2903"/>
      <c r="S40" s="2903"/>
      <c r="T40" s="2903"/>
      <c r="U40" s="2903"/>
      <c r="V40" s="2903"/>
      <c r="W40" s="2903"/>
      <c r="X40" s="2903"/>
      <c r="Y40" s="2903"/>
      <c r="Z40" s="2903"/>
      <c r="AA40" s="2903"/>
      <c r="AB40" s="2903"/>
      <c r="AC40" s="2903"/>
      <c r="AD40" s="2903"/>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903" t="str">
        <f>Application!AA334</f>
        <v>FPI Management</v>
      </c>
      <c r="D45" s="2903"/>
      <c r="E45" s="2903"/>
      <c r="F45" s="2903"/>
      <c r="G45" s="2903"/>
      <c r="H45" s="2903"/>
      <c r="I45" s="2903"/>
      <c r="J45" s="2903"/>
      <c r="K45" s="2903"/>
      <c r="L45" s="2903"/>
      <c r="M45" s="2903"/>
      <c r="N45" s="2903"/>
      <c r="O45" s="2903"/>
      <c r="P45" s="2903"/>
      <c r="Q45" s="2903"/>
      <c r="R45" s="2903"/>
      <c r="S45" s="2903"/>
      <c r="T45" s="2903"/>
      <c r="U45" s="2903"/>
      <c r="V45" s="2903"/>
      <c r="W45" s="2903"/>
      <c r="X45" s="2903"/>
      <c r="Y45" s="2903"/>
      <c r="Z45" s="2903"/>
      <c r="AA45" s="2903"/>
      <c r="AB45" s="2903"/>
      <c r="AC45" s="2903"/>
      <c r="AD45" s="2903"/>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992">
        <f>IF((AND(AND(OR(Application!D218="Nonprofit (qualified nonprofit organization)",Application!D218="Nonprofit (homeless assistance)",Application!D218="Special Needs/SRO"),Application!D221="Special Needs"),$AC$37="N/A")),VLOOKUP($C$40,$AO$35:$AP$37,2,FALSE),VLOOKUP($C$35,$AO$29:$AP$32,2,FALSE))</f>
        <v>3</v>
      </c>
      <c r="AK47" s="2992"/>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957" t="s">
        <v>1680</v>
      </c>
      <c r="C49" s="2957"/>
      <c r="D49" s="2957"/>
      <c r="E49" s="2957"/>
      <c r="F49" s="2957"/>
      <c r="G49" s="2957"/>
      <c r="H49" s="2957"/>
      <c r="I49" s="2957"/>
      <c r="J49" s="2957"/>
      <c r="K49" s="2957"/>
      <c r="L49" s="2957"/>
      <c r="M49" s="2957"/>
      <c r="N49" s="2957"/>
      <c r="O49" s="2957"/>
      <c r="P49" s="2957"/>
      <c r="Q49" s="2957"/>
      <c r="R49" s="2957"/>
      <c r="S49" s="2957"/>
      <c r="T49" s="2957"/>
      <c r="U49" s="2957"/>
      <c r="V49" s="2957"/>
      <c r="W49" s="2957"/>
      <c r="X49" s="2957"/>
      <c r="Y49" s="2957"/>
      <c r="Z49" s="2957"/>
      <c r="AA49" s="2957"/>
      <c r="AB49" s="2957"/>
      <c r="AC49" s="2957"/>
      <c r="AD49" s="2957"/>
      <c r="AE49" s="2957"/>
      <c r="AF49" s="2957"/>
      <c r="AG49" s="2957"/>
      <c r="AH49" s="2957"/>
      <c r="AI49" s="2957"/>
      <c r="AJ49" s="2957"/>
      <c r="AK49" s="2957"/>
      <c r="AL49" s="1360"/>
      <c r="AM49" s="175"/>
      <c r="AN49" s="457"/>
      <c r="AP49" s="46" t="s">
        <v>631</v>
      </c>
      <c r="AQ49" s="46">
        <v>10</v>
      </c>
    </row>
    <row r="50" spans="1:43" s="46" customFormat="1" ht="12.75" customHeight="1">
      <c r="A50" s="176"/>
      <c r="B50" s="2957"/>
      <c r="C50" s="2957"/>
      <c r="D50" s="2957"/>
      <c r="E50" s="2957"/>
      <c r="F50" s="2957"/>
      <c r="G50" s="2957"/>
      <c r="H50" s="2957"/>
      <c r="I50" s="2957"/>
      <c r="J50" s="2957"/>
      <c r="K50" s="2957"/>
      <c r="L50" s="2957"/>
      <c r="M50" s="2957"/>
      <c r="N50" s="2957"/>
      <c r="O50" s="2957"/>
      <c r="P50" s="2957"/>
      <c r="Q50" s="2957"/>
      <c r="R50" s="2957"/>
      <c r="S50" s="2957"/>
      <c r="T50" s="2957"/>
      <c r="U50" s="2957"/>
      <c r="V50" s="2957"/>
      <c r="W50" s="2957"/>
      <c r="X50" s="2957"/>
      <c r="Y50" s="2957"/>
      <c r="Z50" s="2957"/>
      <c r="AA50" s="2957"/>
      <c r="AB50" s="2957"/>
      <c r="AC50" s="2957"/>
      <c r="AD50" s="2957"/>
      <c r="AE50" s="2957"/>
      <c r="AF50" s="2957"/>
      <c r="AG50" s="2957"/>
      <c r="AH50" s="2957"/>
      <c r="AI50" s="2957"/>
      <c r="AJ50" s="2957"/>
      <c r="AK50" s="2957"/>
      <c r="AL50" s="1360"/>
      <c r="AM50" s="175"/>
      <c r="AN50" s="457"/>
      <c r="AP50" s="46" t="s">
        <v>688</v>
      </c>
      <c r="AQ50" s="46">
        <v>10</v>
      </c>
    </row>
    <row r="51" spans="1:43" s="46" customFormat="1" ht="12.75" customHeight="1">
      <c r="A51" s="176"/>
      <c r="B51" s="2957"/>
      <c r="C51" s="2957"/>
      <c r="D51" s="2957"/>
      <c r="E51" s="2957"/>
      <c r="F51" s="2957"/>
      <c r="G51" s="2957"/>
      <c r="H51" s="2957"/>
      <c r="I51" s="2957"/>
      <c r="J51" s="2957"/>
      <c r="K51" s="2957"/>
      <c r="L51" s="2957"/>
      <c r="M51" s="2957"/>
      <c r="N51" s="2957"/>
      <c r="O51" s="2957"/>
      <c r="P51" s="2957"/>
      <c r="Q51" s="2957"/>
      <c r="R51" s="2957"/>
      <c r="S51" s="2957"/>
      <c r="T51" s="2957"/>
      <c r="U51" s="2957"/>
      <c r="V51" s="2957"/>
      <c r="W51" s="2957"/>
      <c r="X51" s="2957"/>
      <c r="Y51" s="2957"/>
      <c r="Z51" s="2957"/>
      <c r="AA51" s="2957"/>
      <c r="AB51" s="2957"/>
      <c r="AC51" s="2957"/>
      <c r="AD51" s="2957"/>
      <c r="AE51" s="2957"/>
      <c r="AF51" s="2957"/>
      <c r="AG51" s="2957"/>
      <c r="AH51" s="2957"/>
      <c r="AI51" s="2957"/>
      <c r="AJ51" s="2957"/>
      <c r="AK51" s="2957"/>
      <c r="AL51" s="1360"/>
      <c r="AM51" s="175"/>
      <c r="AN51" s="457"/>
    </row>
    <row r="52" spans="1:43" s="149" customFormat="1" ht="12.75" customHeight="1">
      <c r="A52" s="176"/>
      <c r="B52" s="2957"/>
      <c r="C52" s="2957"/>
      <c r="D52" s="2957"/>
      <c r="E52" s="2957"/>
      <c r="F52" s="2957"/>
      <c r="G52" s="2957"/>
      <c r="H52" s="2957"/>
      <c r="I52" s="2957"/>
      <c r="J52" s="2957"/>
      <c r="K52" s="2957"/>
      <c r="L52" s="2957"/>
      <c r="M52" s="2957"/>
      <c r="N52" s="2957"/>
      <c r="O52" s="2957"/>
      <c r="P52" s="2957"/>
      <c r="Q52" s="2957"/>
      <c r="R52" s="2957"/>
      <c r="S52" s="2957"/>
      <c r="T52" s="2957"/>
      <c r="U52" s="2957"/>
      <c r="V52" s="2957"/>
      <c r="W52" s="2957"/>
      <c r="X52" s="2957"/>
      <c r="Y52" s="2957"/>
      <c r="Z52" s="2957"/>
      <c r="AA52" s="2957"/>
      <c r="AB52" s="2957"/>
      <c r="AC52" s="2957"/>
      <c r="AD52" s="2957"/>
      <c r="AE52" s="2957"/>
      <c r="AF52" s="2957"/>
      <c r="AG52" s="2957"/>
      <c r="AH52" s="2957"/>
      <c r="AI52" s="2957"/>
      <c r="AJ52" s="2957"/>
      <c r="AK52" s="2957"/>
      <c r="AL52" s="1360"/>
      <c r="AM52" s="175"/>
      <c r="AN52" s="1193"/>
    </row>
    <row r="53" spans="1:43" s="46" customFormat="1" ht="12.75" customHeight="1">
      <c r="A53" s="176"/>
      <c r="B53" s="2957"/>
      <c r="C53" s="2957"/>
      <c r="D53" s="2957"/>
      <c r="E53" s="2957"/>
      <c r="F53" s="2957"/>
      <c r="G53" s="2957"/>
      <c r="H53" s="2957"/>
      <c r="I53" s="2957"/>
      <c r="J53" s="2957"/>
      <c r="K53" s="2957"/>
      <c r="L53" s="2957"/>
      <c r="M53" s="2957"/>
      <c r="N53" s="2957"/>
      <c r="O53" s="2957"/>
      <c r="P53" s="2957"/>
      <c r="Q53" s="2957"/>
      <c r="R53" s="2957"/>
      <c r="S53" s="2957"/>
      <c r="T53" s="2957"/>
      <c r="U53" s="2957"/>
      <c r="V53" s="2957"/>
      <c r="W53" s="2957"/>
      <c r="X53" s="2957"/>
      <c r="Y53" s="2957"/>
      <c r="Z53" s="2957"/>
      <c r="AA53" s="2957"/>
      <c r="AB53" s="2957"/>
      <c r="AC53" s="2957"/>
      <c r="AD53" s="2957"/>
      <c r="AE53" s="2957"/>
      <c r="AF53" s="2957"/>
      <c r="AG53" s="2957"/>
      <c r="AH53" s="2957"/>
      <c r="AI53" s="2957"/>
      <c r="AJ53" s="2957"/>
      <c r="AK53" s="2957"/>
      <c r="AL53" s="1360"/>
      <c r="AM53" s="175"/>
      <c r="AN53" s="457"/>
    </row>
    <row r="54" spans="1:43" s="46" customFormat="1" ht="12.75" customHeight="1">
      <c r="A54" s="176"/>
      <c r="B54" s="2957"/>
      <c r="C54" s="2957"/>
      <c r="D54" s="2957"/>
      <c r="E54" s="2957"/>
      <c r="F54" s="2957"/>
      <c r="G54" s="2957"/>
      <c r="H54" s="2957"/>
      <c r="I54" s="2957"/>
      <c r="J54" s="2957"/>
      <c r="K54" s="2957"/>
      <c r="L54" s="2957"/>
      <c r="M54" s="2957"/>
      <c r="N54" s="2957"/>
      <c r="O54" s="2957"/>
      <c r="P54" s="2957"/>
      <c r="Q54" s="2957"/>
      <c r="R54" s="2957"/>
      <c r="S54" s="2957"/>
      <c r="T54" s="2957"/>
      <c r="U54" s="2957"/>
      <c r="V54" s="2957"/>
      <c r="W54" s="2957"/>
      <c r="X54" s="2957"/>
      <c r="Y54" s="2957"/>
      <c r="Z54" s="2957"/>
      <c r="AA54" s="2957"/>
      <c r="AB54" s="2957"/>
      <c r="AC54" s="2957"/>
      <c r="AD54" s="2957"/>
      <c r="AE54" s="2957"/>
      <c r="AF54" s="2957"/>
      <c r="AG54" s="2957"/>
      <c r="AH54" s="2957"/>
      <c r="AI54" s="2957"/>
      <c r="AJ54" s="2957"/>
      <c r="AK54" s="2957"/>
      <c r="AL54" s="1360"/>
      <c r="AM54" s="175"/>
      <c r="AN54" s="457"/>
    </row>
    <row r="55" spans="1:43" s="46" customFormat="1" ht="33.4" customHeight="1">
      <c r="A55" s="176"/>
      <c r="B55" s="2957"/>
      <c r="C55" s="2957"/>
      <c r="D55" s="2957"/>
      <c r="E55" s="2957"/>
      <c r="F55" s="2957"/>
      <c r="G55" s="2957"/>
      <c r="H55" s="2957"/>
      <c r="I55" s="2957"/>
      <c r="J55" s="2957"/>
      <c r="K55" s="2957"/>
      <c r="L55" s="2957"/>
      <c r="M55" s="2957"/>
      <c r="N55" s="2957"/>
      <c r="O55" s="2957"/>
      <c r="P55" s="2957"/>
      <c r="Q55" s="2957"/>
      <c r="R55" s="2957"/>
      <c r="S55" s="2957"/>
      <c r="T55" s="2957"/>
      <c r="U55" s="2957"/>
      <c r="V55" s="2957"/>
      <c r="W55" s="2957"/>
      <c r="X55" s="2957"/>
      <c r="Y55" s="2957"/>
      <c r="Z55" s="2957"/>
      <c r="AA55" s="2957"/>
      <c r="AB55" s="2957"/>
      <c r="AC55" s="2957"/>
      <c r="AD55" s="2957"/>
      <c r="AE55" s="2957"/>
      <c r="AF55" s="2957"/>
      <c r="AG55" s="2957"/>
      <c r="AH55" s="2957"/>
      <c r="AI55" s="2957"/>
      <c r="AJ55" s="2957"/>
      <c r="AK55" s="295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957" t="s">
        <v>1681</v>
      </c>
      <c r="C57" s="2957"/>
      <c r="D57" s="2957"/>
      <c r="E57" s="2957"/>
      <c r="F57" s="2957"/>
      <c r="G57" s="2957"/>
      <c r="H57" s="2957"/>
      <c r="I57" s="2957"/>
      <c r="J57" s="2957"/>
      <c r="K57" s="2957"/>
      <c r="L57" s="2957"/>
      <c r="M57" s="2957"/>
      <c r="N57" s="2957"/>
      <c r="O57" s="2957"/>
      <c r="P57" s="2957"/>
      <c r="Q57" s="2957"/>
      <c r="R57" s="2957"/>
      <c r="S57" s="2957"/>
      <c r="T57" s="2957"/>
      <c r="U57" s="2957"/>
      <c r="V57" s="2957"/>
      <c r="W57" s="2957"/>
      <c r="X57" s="2957"/>
      <c r="Y57" s="2957"/>
      <c r="Z57" s="2957"/>
      <c r="AA57" s="2957"/>
      <c r="AB57" s="2957"/>
      <c r="AC57" s="2957"/>
      <c r="AD57" s="2957"/>
      <c r="AE57" s="2957"/>
      <c r="AF57" s="2957"/>
      <c r="AG57" s="2957"/>
      <c r="AH57" s="2957"/>
      <c r="AI57" s="2957"/>
      <c r="AJ57" s="2957"/>
      <c r="AK57" s="2957"/>
      <c r="AL57" s="1360"/>
      <c r="AM57" s="175"/>
      <c r="AN57" s="457"/>
    </row>
    <row r="58" spans="1:43" s="46" customFormat="1" ht="12.75" customHeight="1">
      <c r="A58" s="176"/>
      <c r="B58" s="2957"/>
      <c r="C58" s="2957"/>
      <c r="D58" s="2957"/>
      <c r="E58" s="2957"/>
      <c r="F58" s="2957"/>
      <c r="G58" s="2957"/>
      <c r="H58" s="2957"/>
      <c r="I58" s="2957"/>
      <c r="J58" s="2957"/>
      <c r="K58" s="2957"/>
      <c r="L58" s="2957"/>
      <c r="M58" s="2957"/>
      <c r="N58" s="2957"/>
      <c r="O58" s="2957"/>
      <c r="P58" s="2957"/>
      <c r="Q58" s="2957"/>
      <c r="R58" s="2957"/>
      <c r="S58" s="2957"/>
      <c r="T58" s="2957"/>
      <c r="U58" s="2957"/>
      <c r="V58" s="2957"/>
      <c r="W58" s="2957"/>
      <c r="X58" s="2957"/>
      <c r="Y58" s="2957"/>
      <c r="Z58" s="2957"/>
      <c r="AA58" s="2957"/>
      <c r="AB58" s="2957"/>
      <c r="AC58" s="2957"/>
      <c r="AD58" s="2957"/>
      <c r="AE58" s="2957"/>
      <c r="AF58" s="2957"/>
      <c r="AG58" s="2957"/>
      <c r="AH58" s="2957"/>
      <c r="AI58" s="2957"/>
      <c r="AJ58" s="2957"/>
      <c r="AK58" s="2957"/>
      <c r="AL58" s="1360"/>
      <c r="AM58" s="175"/>
      <c r="AN58" s="457"/>
    </row>
    <row r="59" spans="1:43" s="46" customFormat="1" ht="12.75" customHeight="1">
      <c r="A59" s="176"/>
      <c r="B59" s="2957"/>
      <c r="C59" s="2957"/>
      <c r="D59" s="2957"/>
      <c r="E59" s="2957"/>
      <c r="F59" s="2957"/>
      <c r="G59" s="2957"/>
      <c r="H59" s="2957"/>
      <c r="I59" s="2957"/>
      <c r="J59" s="2957"/>
      <c r="K59" s="2957"/>
      <c r="L59" s="2957"/>
      <c r="M59" s="2957"/>
      <c r="N59" s="2957"/>
      <c r="O59" s="2957"/>
      <c r="P59" s="2957"/>
      <c r="Q59" s="2957"/>
      <c r="R59" s="2957"/>
      <c r="S59" s="2957"/>
      <c r="T59" s="2957"/>
      <c r="U59" s="2957"/>
      <c r="V59" s="2957"/>
      <c r="W59" s="2957"/>
      <c r="X59" s="2957"/>
      <c r="Y59" s="2957"/>
      <c r="Z59" s="2957"/>
      <c r="AA59" s="2957"/>
      <c r="AB59" s="2957"/>
      <c r="AC59" s="2957"/>
      <c r="AD59" s="2957"/>
      <c r="AE59" s="2957"/>
      <c r="AF59" s="2957"/>
      <c r="AG59" s="2957"/>
      <c r="AH59" s="2957"/>
      <c r="AI59" s="2957"/>
      <c r="AJ59" s="2957"/>
      <c r="AK59" s="2957"/>
      <c r="AL59" s="1360"/>
      <c r="AM59" s="175"/>
      <c r="AN59" s="457"/>
    </row>
    <row r="60" spans="1:43" s="46" customFormat="1" ht="17.649999999999999" customHeight="1">
      <c r="A60" s="176"/>
      <c r="B60" s="2957"/>
      <c r="C60" s="2957"/>
      <c r="D60" s="2957"/>
      <c r="E60" s="2957"/>
      <c r="F60" s="2957"/>
      <c r="G60" s="2957"/>
      <c r="H60" s="2957"/>
      <c r="I60" s="2957"/>
      <c r="J60" s="2957"/>
      <c r="K60" s="2957"/>
      <c r="L60" s="2957"/>
      <c r="M60" s="2957"/>
      <c r="N60" s="2957"/>
      <c r="O60" s="2957"/>
      <c r="P60" s="2957"/>
      <c r="Q60" s="2957"/>
      <c r="R60" s="2957"/>
      <c r="S60" s="2957"/>
      <c r="T60" s="2957"/>
      <c r="U60" s="2957"/>
      <c r="V60" s="2957"/>
      <c r="W60" s="2957"/>
      <c r="X60" s="2957"/>
      <c r="Y60" s="2957"/>
      <c r="Z60" s="2957"/>
      <c r="AA60" s="2957"/>
      <c r="AB60" s="2957"/>
      <c r="AC60" s="2957"/>
      <c r="AD60" s="2957"/>
      <c r="AE60" s="2957"/>
      <c r="AF60" s="2957"/>
      <c r="AG60" s="2957"/>
      <c r="AH60" s="2957"/>
      <c r="AI60" s="2957"/>
      <c r="AJ60" s="2957"/>
      <c r="AK60" s="295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957" t="s">
        <v>1682</v>
      </c>
      <c r="C62" s="2957"/>
      <c r="D62" s="2957"/>
      <c r="E62" s="2957"/>
      <c r="F62" s="2957"/>
      <c r="G62" s="2957"/>
      <c r="H62" s="2957"/>
      <c r="I62" s="2957"/>
      <c r="J62" s="2957"/>
      <c r="K62" s="2957"/>
      <c r="L62" s="2957"/>
      <c r="M62" s="2957"/>
      <c r="N62" s="2957"/>
      <c r="O62" s="2957"/>
      <c r="P62" s="2957"/>
      <c r="Q62" s="2957"/>
      <c r="R62" s="2957"/>
      <c r="S62" s="2957"/>
      <c r="T62" s="2957"/>
      <c r="U62" s="2957"/>
      <c r="V62" s="2957"/>
      <c r="W62" s="2957"/>
      <c r="X62" s="2957"/>
      <c r="Y62" s="2957"/>
      <c r="Z62" s="2957"/>
      <c r="AA62" s="2957"/>
      <c r="AB62" s="2957"/>
      <c r="AC62" s="2957"/>
      <c r="AD62" s="2957"/>
      <c r="AE62" s="2957"/>
      <c r="AF62" s="2957"/>
      <c r="AG62" s="2957"/>
      <c r="AH62" s="2957"/>
      <c r="AI62" s="2957"/>
      <c r="AJ62" s="2957"/>
      <c r="AK62" s="2957"/>
      <c r="AL62" s="1360"/>
      <c r="AM62" s="175"/>
      <c r="AN62" s="457"/>
    </row>
    <row r="63" spans="1:43" s="46" customFormat="1" ht="12.75" customHeight="1">
      <c r="B63" s="2957"/>
      <c r="C63" s="2957"/>
      <c r="D63" s="2957"/>
      <c r="E63" s="2957"/>
      <c r="F63" s="2957"/>
      <c r="G63" s="2957"/>
      <c r="H63" s="2957"/>
      <c r="I63" s="2957"/>
      <c r="J63" s="2957"/>
      <c r="K63" s="2957"/>
      <c r="L63" s="2957"/>
      <c r="M63" s="2957"/>
      <c r="N63" s="2957"/>
      <c r="O63" s="2957"/>
      <c r="P63" s="2957"/>
      <c r="Q63" s="2957"/>
      <c r="R63" s="2957"/>
      <c r="S63" s="2957"/>
      <c r="T63" s="2957"/>
      <c r="U63" s="2957"/>
      <c r="V63" s="2957"/>
      <c r="W63" s="2957"/>
      <c r="X63" s="2957"/>
      <c r="Y63" s="2957"/>
      <c r="Z63" s="2957"/>
      <c r="AA63" s="2957"/>
      <c r="AB63" s="2957"/>
      <c r="AC63" s="2957"/>
      <c r="AD63" s="2957"/>
      <c r="AE63" s="2957"/>
      <c r="AF63" s="2957"/>
      <c r="AG63" s="2957"/>
      <c r="AH63" s="2957"/>
      <c r="AI63" s="2957"/>
      <c r="AJ63" s="2957"/>
      <c r="AK63" s="2957"/>
      <c r="AL63" s="1360"/>
      <c r="AM63" s="175"/>
      <c r="AN63" s="457"/>
    </row>
    <row r="64" spans="1:43" s="46" customFormat="1" ht="22.9" customHeight="1">
      <c r="A64" s="703"/>
      <c r="B64" s="2957"/>
      <c r="C64" s="2957"/>
      <c r="D64" s="2957"/>
      <c r="E64" s="2957"/>
      <c r="F64" s="2957"/>
      <c r="G64" s="2957"/>
      <c r="H64" s="2957"/>
      <c r="I64" s="2957"/>
      <c r="J64" s="2957"/>
      <c r="K64" s="2957"/>
      <c r="L64" s="2957"/>
      <c r="M64" s="2957"/>
      <c r="N64" s="2957"/>
      <c r="O64" s="2957"/>
      <c r="P64" s="2957"/>
      <c r="Q64" s="2957"/>
      <c r="R64" s="2957"/>
      <c r="S64" s="2957"/>
      <c r="T64" s="2957"/>
      <c r="U64" s="2957"/>
      <c r="V64" s="2957"/>
      <c r="W64" s="2957"/>
      <c r="X64" s="2957"/>
      <c r="Y64" s="2957"/>
      <c r="Z64" s="2957"/>
      <c r="AA64" s="2957"/>
      <c r="AB64" s="2957"/>
      <c r="AC64" s="2957"/>
      <c r="AD64" s="2957"/>
      <c r="AE64" s="2957"/>
      <c r="AF64" s="2957"/>
      <c r="AG64" s="2957"/>
      <c r="AH64" s="2957"/>
      <c r="AI64" s="2957"/>
      <c r="AJ64" s="2957"/>
      <c r="AK64" s="295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750">
        <f>$AJ$31+$AJ$47</f>
        <v>9</v>
      </c>
      <c r="AL66" s="2751"/>
      <c r="AM66" s="275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983" t="s">
        <v>413</v>
      </c>
      <c r="AF69" s="2983"/>
      <c r="AG69" s="2983"/>
      <c r="AH69" s="2983"/>
      <c r="AI69" s="2983"/>
      <c r="AJ69" s="2983"/>
      <c r="AK69" s="298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903" t="s">
        <v>738</v>
      </c>
      <c r="C71" s="2903"/>
      <c r="D71" s="2903"/>
      <c r="E71" s="2903"/>
      <c r="F71" s="2903"/>
      <c r="G71" s="2903"/>
      <c r="H71" s="2903"/>
      <c r="I71" s="2903"/>
      <c r="J71" s="2903"/>
      <c r="K71" s="2903"/>
      <c r="P71" s="165"/>
      <c r="Q71" s="165"/>
      <c r="R71" s="165"/>
      <c r="S71" s="165"/>
      <c r="T71" s="165"/>
      <c r="U71" s="165"/>
      <c r="V71" s="165"/>
      <c r="W71" s="165"/>
      <c r="X71" s="165"/>
      <c r="AF71" s="2939" t="s">
        <v>1054</v>
      </c>
      <c r="AG71" s="2939"/>
      <c r="AH71" s="2939"/>
      <c r="AI71" s="2939"/>
      <c r="AJ71" s="2939"/>
      <c r="AK71" s="2939"/>
      <c r="AL71" s="2939"/>
      <c r="AN71" s="457"/>
      <c r="AP71" s="46" t="s">
        <v>135</v>
      </c>
    </row>
    <row r="72" spans="1:16384" s="46" customFormat="1" ht="12.75" customHeight="1">
      <c r="B72" s="3093" t="s">
        <v>1486</v>
      </c>
      <c r="C72" s="3093"/>
      <c r="D72" s="3093"/>
      <c r="E72" s="3093"/>
      <c r="F72" s="3093"/>
      <c r="G72" s="3093"/>
      <c r="H72" s="3093"/>
      <c r="I72" s="3093"/>
      <c r="J72" s="3093"/>
      <c r="K72" s="3093"/>
      <c r="L72" s="3093"/>
      <c r="M72" s="3093"/>
      <c r="N72" s="3093"/>
      <c r="O72" s="3093"/>
      <c r="P72" s="3093"/>
      <c r="Q72" s="3093"/>
      <c r="R72" s="3093"/>
      <c r="S72" s="3093"/>
      <c r="T72" s="2903" t="s">
        <v>135</v>
      </c>
      <c r="U72" s="2903"/>
      <c r="V72" s="2903"/>
      <c r="W72" s="2903"/>
      <c r="X72" s="2903"/>
      <c r="Y72" s="2903"/>
      <c r="Z72" s="2903"/>
      <c r="AA72" s="2903"/>
      <c r="AB72" s="2903"/>
      <c r="AC72" s="2903"/>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754">
        <f>VLOOKUP($B$71,$AP$45:$AR$50,2,FALSE)</f>
        <v>10</v>
      </c>
      <c r="AL73" s="2755"/>
      <c r="AM73" s="2755"/>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983" t="s">
        <v>1100</v>
      </c>
      <c r="AF78" s="2983"/>
      <c r="AG78" s="2983"/>
      <c r="AH78" s="2983"/>
      <c r="AI78" s="2983"/>
      <c r="AJ78" s="2983"/>
      <c r="AK78" s="298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957" t="s">
        <v>2143</v>
      </c>
      <c r="C80" s="2957"/>
      <c r="D80" s="2957"/>
      <c r="E80" s="2957"/>
      <c r="F80" s="2957"/>
      <c r="G80" s="2957"/>
      <c r="H80" s="2957"/>
      <c r="I80" s="2957"/>
      <c r="J80" s="2957"/>
      <c r="K80" s="2957"/>
      <c r="L80" s="2957"/>
      <c r="M80" s="2957"/>
      <c r="N80" s="2957"/>
      <c r="O80" s="2957"/>
      <c r="P80" s="2957"/>
      <c r="Q80" s="2957"/>
      <c r="R80" s="2957"/>
      <c r="S80" s="2957"/>
      <c r="T80" s="2957"/>
      <c r="U80" s="2957"/>
      <c r="V80" s="2957"/>
      <c r="W80" s="2957"/>
      <c r="X80" s="2957"/>
      <c r="Y80" s="2957"/>
      <c r="Z80" s="2957"/>
      <c r="AA80" s="2957"/>
      <c r="AB80" s="2957"/>
      <c r="AC80" s="2957"/>
      <c r="AD80" s="2957"/>
      <c r="AE80" s="2957"/>
      <c r="AF80" s="2957"/>
      <c r="AG80" s="2957"/>
      <c r="AH80" s="2957"/>
      <c r="AI80" s="2957"/>
      <c r="AJ80" s="2957"/>
      <c r="AK80" s="2957"/>
      <c r="AL80" s="1360"/>
      <c r="AM80" s="175"/>
      <c r="AN80" s="457"/>
    </row>
    <row r="81" spans="1:42" s="46" customFormat="1" ht="12.75" customHeight="1">
      <c r="A81" s="175"/>
      <c r="B81" s="2957"/>
      <c r="C81" s="2957"/>
      <c r="D81" s="2957"/>
      <c r="E81" s="2957"/>
      <c r="F81" s="2957"/>
      <c r="G81" s="2957"/>
      <c r="H81" s="2957"/>
      <c r="I81" s="2957"/>
      <c r="J81" s="2957"/>
      <c r="K81" s="2957"/>
      <c r="L81" s="2957"/>
      <c r="M81" s="2957"/>
      <c r="N81" s="2957"/>
      <c r="O81" s="2957"/>
      <c r="P81" s="2957"/>
      <c r="Q81" s="2957"/>
      <c r="R81" s="2957"/>
      <c r="S81" s="2957"/>
      <c r="T81" s="2957"/>
      <c r="U81" s="2957"/>
      <c r="V81" s="2957"/>
      <c r="W81" s="2957"/>
      <c r="X81" s="2957"/>
      <c r="Y81" s="2957"/>
      <c r="Z81" s="2957"/>
      <c r="AA81" s="2957"/>
      <c r="AB81" s="2957"/>
      <c r="AC81" s="2957"/>
      <c r="AD81" s="2957"/>
      <c r="AE81" s="2957"/>
      <c r="AF81" s="2957"/>
      <c r="AG81" s="2957"/>
      <c r="AH81" s="2957"/>
      <c r="AI81" s="2957"/>
      <c r="AJ81" s="2957"/>
      <c r="AK81" s="2957"/>
      <c r="AL81" s="1360"/>
      <c r="AM81" s="175"/>
      <c r="AN81" s="457"/>
    </row>
    <row r="82" spans="1:42" s="46" customFormat="1" ht="12.75" customHeight="1">
      <c r="A82" s="175"/>
      <c r="B82" s="2957"/>
      <c r="C82" s="2957"/>
      <c r="D82" s="2957"/>
      <c r="E82" s="2957"/>
      <c r="F82" s="2957"/>
      <c r="G82" s="2957"/>
      <c r="H82" s="2957"/>
      <c r="I82" s="2957"/>
      <c r="J82" s="2957"/>
      <c r="K82" s="2957"/>
      <c r="L82" s="2957"/>
      <c r="M82" s="2957"/>
      <c r="N82" s="2957"/>
      <c r="O82" s="2957"/>
      <c r="P82" s="2957"/>
      <c r="Q82" s="2957"/>
      <c r="R82" s="2957"/>
      <c r="S82" s="2957"/>
      <c r="T82" s="2957"/>
      <c r="U82" s="2957"/>
      <c r="V82" s="2957"/>
      <c r="W82" s="2957"/>
      <c r="X82" s="2957"/>
      <c r="Y82" s="2957"/>
      <c r="Z82" s="2957"/>
      <c r="AA82" s="2957"/>
      <c r="AB82" s="2957"/>
      <c r="AC82" s="2957"/>
      <c r="AD82" s="2957"/>
      <c r="AE82" s="2957"/>
      <c r="AF82" s="2957"/>
      <c r="AG82" s="2957"/>
      <c r="AH82" s="2957"/>
      <c r="AI82" s="2957"/>
      <c r="AJ82" s="2957"/>
      <c r="AK82" s="2957"/>
      <c r="AL82" s="1360"/>
      <c r="AM82" s="175"/>
      <c r="AN82" s="457"/>
    </row>
    <row r="83" spans="1:42" s="46" customFormat="1" ht="12.75" customHeight="1">
      <c r="A83" s="175"/>
      <c r="B83" s="2957"/>
      <c r="C83" s="2957"/>
      <c r="D83" s="2957"/>
      <c r="E83" s="2957"/>
      <c r="F83" s="2957"/>
      <c r="G83" s="2957"/>
      <c r="H83" s="2957"/>
      <c r="I83" s="2957"/>
      <c r="J83" s="2957"/>
      <c r="K83" s="2957"/>
      <c r="L83" s="2957"/>
      <c r="M83" s="2957"/>
      <c r="N83" s="2957"/>
      <c r="O83" s="2957"/>
      <c r="P83" s="2957"/>
      <c r="Q83" s="2957"/>
      <c r="R83" s="2957"/>
      <c r="S83" s="2957"/>
      <c r="T83" s="2957"/>
      <c r="U83" s="2957"/>
      <c r="V83" s="2957"/>
      <c r="W83" s="2957"/>
      <c r="X83" s="2957"/>
      <c r="Y83" s="2957"/>
      <c r="Z83" s="2957"/>
      <c r="AA83" s="2957"/>
      <c r="AB83" s="2957"/>
      <c r="AC83" s="2957"/>
      <c r="AD83" s="2957"/>
      <c r="AE83" s="2957"/>
      <c r="AF83" s="2957"/>
      <c r="AG83" s="2957"/>
      <c r="AH83" s="2957"/>
      <c r="AI83" s="2957"/>
      <c r="AJ83" s="2957"/>
      <c r="AK83" s="2957"/>
      <c r="AL83" s="1360"/>
      <c r="AM83" s="175"/>
      <c r="AN83" s="457"/>
    </row>
    <row r="84" spans="1:42" s="46" customFormat="1" ht="12.75" customHeight="1">
      <c r="A84" s="175"/>
      <c r="B84" s="2957"/>
      <c r="C84" s="2957"/>
      <c r="D84" s="2957"/>
      <c r="E84" s="2957"/>
      <c r="F84" s="2957"/>
      <c r="G84" s="2957"/>
      <c r="H84" s="2957"/>
      <c r="I84" s="2957"/>
      <c r="J84" s="2957"/>
      <c r="K84" s="2957"/>
      <c r="L84" s="2957"/>
      <c r="M84" s="2957"/>
      <c r="N84" s="2957"/>
      <c r="O84" s="2957"/>
      <c r="P84" s="2957"/>
      <c r="Q84" s="2957"/>
      <c r="R84" s="2957"/>
      <c r="S84" s="2957"/>
      <c r="T84" s="2957"/>
      <c r="U84" s="2957"/>
      <c r="V84" s="2957"/>
      <c r="W84" s="2957"/>
      <c r="X84" s="2957"/>
      <c r="Y84" s="2957"/>
      <c r="Z84" s="2957"/>
      <c r="AA84" s="2957"/>
      <c r="AB84" s="2957"/>
      <c r="AC84" s="2957"/>
      <c r="AD84" s="2957"/>
      <c r="AE84" s="2957"/>
      <c r="AF84" s="2957"/>
      <c r="AG84" s="2957"/>
      <c r="AH84" s="2957"/>
      <c r="AI84" s="2957"/>
      <c r="AJ84" s="2957"/>
      <c r="AK84" s="2957"/>
      <c r="AL84" s="1360"/>
      <c r="AM84" s="175"/>
      <c r="AN84" s="457"/>
    </row>
    <row r="85" spans="1:42" s="46" customFormat="1" ht="12.75" customHeight="1">
      <c r="A85" s="175"/>
      <c r="B85" s="2957"/>
      <c r="C85" s="2957"/>
      <c r="D85" s="2957"/>
      <c r="E85" s="2957"/>
      <c r="F85" s="2957"/>
      <c r="G85" s="2957"/>
      <c r="H85" s="2957"/>
      <c r="I85" s="2957"/>
      <c r="J85" s="2957"/>
      <c r="K85" s="2957"/>
      <c r="L85" s="2957"/>
      <c r="M85" s="2957"/>
      <c r="N85" s="2957"/>
      <c r="O85" s="2957"/>
      <c r="P85" s="2957"/>
      <c r="Q85" s="2957"/>
      <c r="R85" s="2957"/>
      <c r="S85" s="2957"/>
      <c r="T85" s="2957"/>
      <c r="U85" s="2957"/>
      <c r="V85" s="2957"/>
      <c r="W85" s="2957"/>
      <c r="X85" s="2957"/>
      <c r="Y85" s="2957"/>
      <c r="Z85" s="2957"/>
      <c r="AA85" s="2957"/>
      <c r="AB85" s="2957"/>
      <c r="AC85" s="2957"/>
      <c r="AD85" s="2957"/>
      <c r="AE85" s="2957"/>
      <c r="AF85" s="2957"/>
      <c r="AG85" s="2957"/>
      <c r="AH85" s="2957"/>
      <c r="AI85" s="2957"/>
      <c r="AJ85" s="2957"/>
      <c r="AK85" s="2957"/>
      <c r="AL85" s="1360"/>
      <c r="AM85" s="175"/>
      <c r="AN85" s="457"/>
    </row>
    <row r="86" spans="1:42" ht="12.75" customHeight="1">
      <c r="A86" s="175"/>
      <c r="B86" s="2957"/>
      <c r="C86" s="2957"/>
      <c r="D86" s="2957"/>
      <c r="E86" s="2957"/>
      <c r="F86" s="2957"/>
      <c r="G86" s="2957"/>
      <c r="H86" s="2957"/>
      <c r="I86" s="2957"/>
      <c r="J86" s="2957"/>
      <c r="K86" s="2957"/>
      <c r="L86" s="2957"/>
      <c r="M86" s="2957"/>
      <c r="N86" s="2957"/>
      <c r="O86" s="2957"/>
      <c r="P86" s="2957"/>
      <c r="Q86" s="2957"/>
      <c r="R86" s="2957"/>
      <c r="S86" s="2957"/>
      <c r="T86" s="2957"/>
      <c r="U86" s="2957"/>
      <c r="V86" s="2957"/>
      <c r="W86" s="2957"/>
      <c r="X86" s="2957"/>
      <c r="Y86" s="2957"/>
      <c r="Z86" s="2957"/>
      <c r="AA86" s="2957"/>
      <c r="AB86" s="2957"/>
      <c r="AC86" s="2957"/>
      <c r="AD86" s="2957"/>
      <c r="AE86" s="2957"/>
      <c r="AF86" s="2957"/>
      <c r="AG86" s="2957"/>
      <c r="AH86" s="2957"/>
      <c r="AI86" s="2957"/>
      <c r="AJ86" s="2957"/>
      <c r="AK86" s="2957"/>
      <c r="AL86" s="1360"/>
      <c r="AM86" s="175"/>
    </row>
    <row r="87" spans="1:42" s="46" customFormat="1" ht="12.75" customHeight="1">
      <c r="A87" s="28"/>
      <c r="B87" s="2957"/>
      <c r="C87" s="2957"/>
      <c r="D87" s="2957"/>
      <c r="E87" s="2957"/>
      <c r="F87" s="2957"/>
      <c r="G87" s="2957"/>
      <c r="H87" s="2957"/>
      <c r="I87" s="2957"/>
      <c r="J87" s="2957"/>
      <c r="K87" s="2957"/>
      <c r="L87" s="2957"/>
      <c r="M87" s="2957"/>
      <c r="N87" s="2957"/>
      <c r="O87" s="2957"/>
      <c r="P87" s="2957"/>
      <c r="Q87" s="2957"/>
      <c r="R87" s="2957"/>
      <c r="S87" s="2957"/>
      <c r="T87" s="2957"/>
      <c r="U87" s="2957"/>
      <c r="V87" s="2957"/>
      <c r="W87" s="2957"/>
      <c r="X87" s="2957"/>
      <c r="Y87" s="2957"/>
      <c r="Z87" s="2957"/>
      <c r="AA87" s="2957"/>
      <c r="AB87" s="2957"/>
      <c r="AC87" s="2957"/>
      <c r="AD87" s="2957"/>
      <c r="AE87" s="2957"/>
      <c r="AF87" s="2957"/>
      <c r="AG87" s="2957"/>
      <c r="AH87" s="2957"/>
      <c r="AI87" s="2957"/>
      <c r="AJ87" s="2957"/>
      <c r="AK87" s="2957"/>
      <c r="AL87" s="1360"/>
      <c r="AM87" s="165"/>
      <c r="AN87" s="457"/>
    </row>
    <row r="88" spans="1:42" s="46" customFormat="1" ht="12.75" customHeight="1">
      <c r="A88" s="28"/>
      <c r="B88" s="2957"/>
      <c r="C88" s="2957"/>
      <c r="D88" s="2957"/>
      <c r="E88" s="2957"/>
      <c r="F88" s="2957"/>
      <c r="G88" s="2957"/>
      <c r="H88" s="2957"/>
      <c r="I88" s="2957"/>
      <c r="J88" s="2957"/>
      <c r="K88" s="2957"/>
      <c r="L88" s="2957"/>
      <c r="M88" s="2957"/>
      <c r="N88" s="2957"/>
      <c r="O88" s="2957"/>
      <c r="P88" s="2957"/>
      <c r="Q88" s="2957"/>
      <c r="R88" s="2957"/>
      <c r="S88" s="2957"/>
      <c r="T88" s="2957"/>
      <c r="U88" s="2957"/>
      <c r="V88" s="2957"/>
      <c r="W88" s="2957"/>
      <c r="X88" s="2957"/>
      <c r="Y88" s="2957"/>
      <c r="Z88" s="2957"/>
      <c r="AA88" s="2957"/>
      <c r="AB88" s="2957"/>
      <c r="AC88" s="2957"/>
      <c r="AD88" s="2957"/>
      <c r="AE88" s="2957"/>
      <c r="AF88" s="2957"/>
      <c r="AG88" s="2957"/>
      <c r="AH88" s="2957"/>
      <c r="AI88" s="2957"/>
      <c r="AJ88" s="2957"/>
      <c r="AK88" s="2957"/>
      <c r="AL88" s="1360"/>
      <c r="AM88" s="165"/>
      <c r="AN88" s="457"/>
    </row>
    <row r="89" spans="1:42" s="46" customFormat="1" ht="14.45" customHeight="1">
      <c r="A89" s="28"/>
      <c r="B89" s="2957"/>
      <c r="C89" s="2957"/>
      <c r="D89" s="2957"/>
      <c r="E89" s="2957"/>
      <c r="F89" s="2957"/>
      <c r="G89" s="2957"/>
      <c r="H89" s="2957"/>
      <c r="I89" s="2957"/>
      <c r="J89" s="2957"/>
      <c r="K89" s="2957"/>
      <c r="L89" s="2957"/>
      <c r="M89" s="2957"/>
      <c r="N89" s="2957"/>
      <c r="O89" s="2957"/>
      <c r="P89" s="2957"/>
      <c r="Q89" s="2957"/>
      <c r="R89" s="2957"/>
      <c r="S89" s="2957"/>
      <c r="T89" s="2957"/>
      <c r="U89" s="2957"/>
      <c r="V89" s="2957"/>
      <c r="W89" s="2957"/>
      <c r="X89" s="2957"/>
      <c r="Y89" s="2957"/>
      <c r="Z89" s="2957"/>
      <c r="AA89" s="2957"/>
      <c r="AB89" s="2957"/>
      <c r="AC89" s="2957"/>
      <c r="AD89" s="2957"/>
      <c r="AE89" s="2957"/>
      <c r="AF89" s="2957"/>
      <c r="AG89" s="2957"/>
      <c r="AH89" s="2957"/>
      <c r="AI89" s="2957"/>
      <c r="AJ89" s="2957"/>
      <c r="AK89" s="2957"/>
      <c r="AL89" s="1360"/>
      <c r="AM89" s="165"/>
      <c r="AN89" s="457"/>
    </row>
    <row r="90" spans="1:42" s="46" customFormat="1" ht="12.75" customHeight="1">
      <c r="A90" s="28"/>
      <c r="B90" s="2957"/>
      <c r="C90" s="2957"/>
      <c r="D90" s="2957"/>
      <c r="E90" s="2957"/>
      <c r="F90" s="2957"/>
      <c r="G90" s="2957"/>
      <c r="H90" s="2957"/>
      <c r="I90" s="2957"/>
      <c r="J90" s="2957"/>
      <c r="K90" s="2957"/>
      <c r="L90" s="2957"/>
      <c r="M90" s="2957"/>
      <c r="N90" s="2957"/>
      <c r="O90" s="2957"/>
      <c r="P90" s="2957"/>
      <c r="Q90" s="2957"/>
      <c r="R90" s="2957"/>
      <c r="S90" s="2957"/>
      <c r="T90" s="2957"/>
      <c r="U90" s="2957"/>
      <c r="V90" s="2957"/>
      <c r="W90" s="2957"/>
      <c r="X90" s="2957"/>
      <c r="Y90" s="2957"/>
      <c r="Z90" s="2957"/>
      <c r="AA90" s="2957"/>
      <c r="AB90" s="2957"/>
      <c r="AC90" s="2957"/>
      <c r="AD90" s="2957"/>
      <c r="AE90" s="2957"/>
      <c r="AF90" s="2957"/>
      <c r="AG90" s="2957"/>
      <c r="AH90" s="2957"/>
      <c r="AI90" s="2957"/>
      <c r="AJ90" s="2957"/>
      <c r="AK90" s="2957"/>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939" t="s">
        <v>946</v>
      </c>
      <c r="AG95" s="2939"/>
      <c r="AH95" s="2939"/>
      <c r="AI95" s="2939"/>
      <c r="AJ95" s="2939"/>
      <c r="AK95" s="2939"/>
      <c r="AL95" s="2939"/>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939" t="s">
        <v>62</v>
      </c>
      <c r="AG100" s="2939"/>
      <c r="AH100" s="2939"/>
      <c r="AI100" s="2939"/>
      <c r="AJ100" s="2939"/>
      <c r="AK100" s="2939"/>
      <c r="AL100" s="2939"/>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939" t="s">
        <v>63</v>
      </c>
      <c r="AG105" s="2939"/>
      <c r="AH105" s="2939"/>
      <c r="AI105" s="2939"/>
      <c r="AJ105" s="2939"/>
      <c r="AK105" s="2939"/>
      <c r="AL105" s="2939"/>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939" t="s">
        <v>64</v>
      </c>
      <c r="AG110" s="2939"/>
      <c r="AH110" s="2939"/>
      <c r="AI110" s="2939"/>
      <c r="AJ110" s="2939"/>
      <c r="AK110" s="2939"/>
      <c r="AL110" s="2939"/>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939" t="s">
        <v>65</v>
      </c>
      <c r="AG114" s="2939"/>
      <c r="AH114" s="2939"/>
      <c r="AI114" s="2939"/>
      <c r="AJ114" s="2939"/>
      <c r="AK114" s="2939"/>
      <c r="AL114" s="2939"/>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956" t="s">
        <v>648</v>
      </c>
      <c r="I117" s="2956"/>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3097" t="s">
        <v>135</v>
      </c>
      <c r="I123" s="3097"/>
      <c r="J123" s="3097"/>
      <c r="K123" s="3097"/>
      <c r="L123" s="3097"/>
      <c r="M123" s="3097"/>
      <c r="N123" s="3097"/>
      <c r="O123" s="3097"/>
      <c r="P123" s="3097"/>
      <c r="Q123" s="3097"/>
      <c r="R123" s="3097"/>
      <c r="S123" s="3097"/>
      <c r="T123" s="3097"/>
      <c r="U123" s="3097"/>
      <c r="V123" s="3097"/>
      <c r="W123" s="3097"/>
      <c r="X123" s="3097"/>
      <c r="Y123" s="3097"/>
      <c r="Z123" s="3097"/>
      <c r="AA123" s="3097"/>
      <c r="AB123" s="3097"/>
      <c r="AC123" s="3097"/>
      <c r="AD123" s="3097"/>
      <c r="AE123" s="3097"/>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2520" t="s">
        <v>135</v>
      </c>
      <c r="C125" s="2520"/>
      <c r="D125" s="454"/>
      <c r="E125" s="2957" t="s">
        <v>2057</v>
      </c>
      <c r="F125" s="2957"/>
      <c r="G125" s="2957"/>
      <c r="H125" s="2957"/>
      <c r="I125" s="2957"/>
      <c r="J125" s="2957"/>
      <c r="K125" s="2957"/>
      <c r="L125" s="2957"/>
      <c r="M125" s="2957"/>
      <c r="N125" s="2957"/>
      <c r="O125" s="2957"/>
      <c r="P125" s="2957"/>
      <c r="Q125" s="2957"/>
      <c r="R125" s="2957"/>
      <c r="S125" s="2957"/>
      <c r="T125" s="2957"/>
      <c r="U125" s="2957"/>
      <c r="V125" s="2957"/>
      <c r="W125" s="2957"/>
      <c r="X125" s="2957"/>
      <c r="Y125" s="2957"/>
      <c r="Z125" s="2957"/>
      <c r="AA125" s="2957"/>
      <c r="AB125" s="2957"/>
      <c r="AC125" s="2957"/>
      <c r="AD125" s="2957"/>
      <c r="AE125" s="2957"/>
      <c r="AF125" s="2957"/>
      <c r="AG125" s="2957"/>
      <c r="AH125" s="454"/>
      <c r="AI125" s="454"/>
      <c r="AJ125" s="454"/>
      <c r="AK125" s="454"/>
      <c r="AL125" s="1357"/>
      <c r="AN125" s="457"/>
    </row>
    <row r="126" spans="1:47" s="46" customFormat="1" ht="12.75" customHeight="1">
      <c r="A126" s="28"/>
      <c r="B126" s="173"/>
      <c r="C126" s="199"/>
      <c r="D126" s="454"/>
      <c r="E126" s="2957"/>
      <c r="F126" s="2957"/>
      <c r="G126" s="2957"/>
      <c r="H126" s="2957"/>
      <c r="I126" s="2957"/>
      <c r="J126" s="2957"/>
      <c r="K126" s="2957"/>
      <c r="L126" s="2957"/>
      <c r="M126" s="2957"/>
      <c r="N126" s="2957"/>
      <c r="O126" s="2957"/>
      <c r="P126" s="2957"/>
      <c r="Q126" s="2957"/>
      <c r="R126" s="2957"/>
      <c r="S126" s="2957"/>
      <c r="T126" s="2957"/>
      <c r="U126" s="2957"/>
      <c r="V126" s="2957"/>
      <c r="W126" s="2957"/>
      <c r="X126" s="2957"/>
      <c r="Y126" s="2957"/>
      <c r="Z126" s="2957"/>
      <c r="AA126" s="2957"/>
      <c r="AB126" s="2957"/>
      <c r="AC126" s="2957"/>
      <c r="AD126" s="2957"/>
      <c r="AE126" s="2957"/>
      <c r="AF126" s="2957"/>
      <c r="AG126" s="2957"/>
      <c r="AH126" s="454"/>
      <c r="AI126" s="454"/>
      <c r="AJ126" s="454"/>
      <c r="AK126" s="454"/>
      <c r="AL126" s="1357"/>
      <c r="AN126" s="457"/>
    </row>
    <row r="127" spans="1:47" s="46" customFormat="1" ht="12.75" customHeight="1">
      <c r="A127" s="28"/>
      <c r="B127" s="173"/>
      <c r="C127" s="199"/>
      <c r="D127" s="454"/>
      <c r="E127" s="2957"/>
      <c r="F127" s="2957"/>
      <c r="G127" s="2957"/>
      <c r="H127" s="2957"/>
      <c r="I127" s="2957"/>
      <c r="J127" s="2957"/>
      <c r="K127" s="2957"/>
      <c r="L127" s="2957"/>
      <c r="M127" s="2957"/>
      <c r="N127" s="2957"/>
      <c r="O127" s="2957"/>
      <c r="P127" s="2957"/>
      <c r="Q127" s="2957"/>
      <c r="R127" s="2957"/>
      <c r="S127" s="2957"/>
      <c r="T127" s="2957"/>
      <c r="U127" s="2957"/>
      <c r="V127" s="2957"/>
      <c r="W127" s="2957"/>
      <c r="X127" s="2957"/>
      <c r="Y127" s="2957"/>
      <c r="Z127" s="2957"/>
      <c r="AA127" s="2957"/>
      <c r="AB127" s="2957"/>
      <c r="AC127" s="2957"/>
      <c r="AD127" s="2957"/>
      <c r="AE127" s="2957"/>
      <c r="AF127" s="2957"/>
      <c r="AG127" s="2957"/>
      <c r="AH127" s="454"/>
      <c r="AI127" s="454"/>
      <c r="AJ127" s="454"/>
      <c r="AK127" s="454"/>
      <c r="AL127" s="1357"/>
      <c r="AN127" s="457"/>
    </row>
    <row r="128" spans="1:47" s="46" customFormat="1" ht="12.75" customHeight="1">
      <c r="A128" s="28"/>
      <c r="B128" s="173"/>
      <c r="C128" s="199"/>
      <c r="D128" s="496"/>
      <c r="E128" s="3096"/>
      <c r="F128" s="3096"/>
      <c r="G128" s="3096"/>
      <c r="H128" s="3096"/>
      <c r="I128" s="3096"/>
      <c r="J128" s="3096"/>
      <c r="K128" s="3096"/>
      <c r="L128" s="3096"/>
      <c r="M128" s="3096"/>
      <c r="N128" s="3096"/>
      <c r="O128" s="3096"/>
      <c r="P128" s="3096"/>
      <c r="Q128" s="3096"/>
      <c r="R128" s="3096"/>
      <c r="S128" s="3096"/>
      <c r="T128" s="3096"/>
      <c r="U128" s="3096"/>
      <c r="V128" s="3096"/>
      <c r="W128" s="3096"/>
      <c r="X128" s="3096"/>
      <c r="Y128" s="3096"/>
      <c r="Z128" s="3096"/>
      <c r="AA128" s="3096"/>
      <c r="AB128" s="3096"/>
      <c r="AC128" s="3096"/>
      <c r="AD128" s="3096"/>
      <c r="AE128" s="3096"/>
      <c r="AF128" s="3096"/>
      <c r="AG128" s="309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754">
        <f>VLOOKUP($H$117,$AO$101:$AP$106,2,FALSE)+VLOOKUP($H$123,$AO$121:$AP$123,2,FALSE)</f>
        <v>7</v>
      </c>
      <c r="AK129" s="2756"/>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3095" t="s">
        <v>2148</v>
      </c>
      <c r="F133" s="3095"/>
      <c r="G133" s="3095"/>
      <c r="H133" s="3095"/>
      <c r="I133" s="3095"/>
      <c r="J133" s="3095"/>
      <c r="K133" s="3095"/>
      <c r="L133" s="3095"/>
      <c r="M133" s="3095"/>
      <c r="N133" s="3095"/>
      <c r="O133" s="3095"/>
      <c r="P133" s="3095"/>
      <c r="Q133" s="3095"/>
      <c r="R133" s="3095"/>
      <c r="S133" s="3095"/>
      <c r="T133" s="3095"/>
      <c r="U133" s="3095"/>
      <c r="V133" s="3095"/>
      <c r="W133" s="3095"/>
      <c r="X133" s="3095"/>
      <c r="Y133" s="3095"/>
      <c r="Z133" s="3095"/>
      <c r="AA133" s="3095"/>
      <c r="AB133" s="3095"/>
      <c r="AC133" s="3095"/>
      <c r="AD133" s="3095"/>
      <c r="AF133" s="2939" t="s">
        <v>65</v>
      </c>
      <c r="AG133" s="2939"/>
      <c r="AH133" s="2939"/>
      <c r="AI133" s="2939"/>
      <c r="AJ133" s="2939"/>
      <c r="AK133" s="2939"/>
      <c r="AL133" s="2939"/>
      <c r="AM133" s="165"/>
      <c r="AN133" s="493"/>
    </row>
    <row r="134" spans="1:42" s="46" customFormat="1" ht="12.75" customHeight="1">
      <c r="A134" s="207"/>
      <c r="B134" s="173"/>
      <c r="C134" s="199"/>
      <c r="D134" s="156"/>
      <c r="E134" s="3095"/>
      <c r="F134" s="3095"/>
      <c r="G134" s="3095"/>
      <c r="H134" s="3095"/>
      <c r="I134" s="3095"/>
      <c r="J134" s="3095"/>
      <c r="K134" s="3095"/>
      <c r="L134" s="3095"/>
      <c r="M134" s="3095"/>
      <c r="N134" s="3095"/>
      <c r="O134" s="3095"/>
      <c r="P134" s="3095"/>
      <c r="Q134" s="3095"/>
      <c r="R134" s="3095"/>
      <c r="S134" s="3095"/>
      <c r="T134" s="3095"/>
      <c r="U134" s="3095"/>
      <c r="V134" s="3095"/>
      <c r="W134" s="3095"/>
      <c r="X134" s="3095"/>
      <c r="Y134" s="3095"/>
      <c r="Z134" s="3095"/>
      <c r="AA134" s="3095"/>
      <c r="AB134" s="3095"/>
      <c r="AC134" s="3095"/>
      <c r="AD134" s="3095"/>
      <c r="AE134" s="165"/>
      <c r="AF134" s="74"/>
      <c r="AG134" s="165"/>
      <c r="AH134" s="165"/>
      <c r="AI134" s="165"/>
      <c r="AJ134" s="165"/>
      <c r="AK134" s="165"/>
      <c r="AL134" s="165"/>
      <c r="AM134" s="165"/>
      <c r="AN134" s="457"/>
    </row>
    <row r="135" spans="1:42" s="46" customFormat="1" ht="12.75" customHeight="1">
      <c r="A135" s="28"/>
      <c r="B135" s="173"/>
      <c r="C135" s="200"/>
      <c r="D135" s="156"/>
      <c r="E135" s="3095"/>
      <c r="F135" s="3095"/>
      <c r="G135" s="3095"/>
      <c r="H135" s="3095"/>
      <c r="I135" s="3095"/>
      <c r="J135" s="3095"/>
      <c r="K135" s="3095"/>
      <c r="L135" s="3095"/>
      <c r="M135" s="3095"/>
      <c r="N135" s="3095"/>
      <c r="O135" s="3095"/>
      <c r="P135" s="3095"/>
      <c r="Q135" s="3095"/>
      <c r="R135" s="3095"/>
      <c r="S135" s="3095"/>
      <c r="T135" s="3095"/>
      <c r="U135" s="3095"/>
      <c r="V135" s="3095"/>
      <c r="W135" s="3095"/>
      <c r="X135" s="3095"/>
      <c r="Y135" s="3095"/>
      <c r="Z135" s="3095"/>
      <c r="AA135" s="3095"/>
      <c r="AB135" s="3095"/>
      <c r="AC135" s="3095"/>
      <c r="AD135" s="3095"/>
      <c r="AE135" s="165"/>
      <c r="AF135" s="74"/>
      <c r="AG135" s="165"/>
      <c r="AH135" s="165"/>
      <c r="AI135" s="165"/>
      <c r="AJ135" s="165"/>
      <c r="AK135" s="165"/>
      <c r="AL135" s="165"/>
      <c r="AM135" s="165"/>
      <c r="AN135" s="457"/>
    </row>
    <row r="136" spans="1:42" s="46" customFormat="1" ht="12.75" customHeight="1">
      <c r="A136" s="57"/>
      <c r="B136" s="185"/>
      <c r="C136" s="208"/>
      <c r="D136" s="156"/>
      <c r="E136" s="3095"/>
      <c r="F136" s="3095"/>
      <c r="G136" s="3095"/>
      <c r="H136" s="3095"/>
      <c r="I136" s="3095"/>
      <c r="J136" s="3095"/>
      <c r="K136" s="3095"/>
      <c r="L136" s="3095"/>
      <c r="M136" s="3095"/>
      <c r="N136" s="3095"/>
      <c r="O136" s="3095"/>
      <c r="P136" s="3095"/>
      <c r="Q136" s="3095"/>
      <c r="R136" s="3095"/>
      <c r="S136" s="3095"/>
      <c r="T136" s="3095"/>
      <c r="U136" s="3095"/>
      <c r="V136" s="3095"/>
      <c r="W136" s="3095"/>
      <c r="X136" s="3095"/>
      <c r="Y136" s="3095"/>
      <c r="Z136" s="3095"/>
      <c r="AA136" s="3095"/>
      <c r="AB136" s="3095"/>
      <c r="AC136" s="3095"/>
      <c r="AD136" s="3095"/>
      <c r="AE136" s="27"/>
      <c r="AF136" s="185"/>
      <c r="AG136" s="27"/>
      <c r="AH136" s="27"/>
      <c r="AI136" s="27"/>
      <c r="AJ136" s="27"/>
      <c r="AK136" s="165"/>
      <c r="AL136" s="165"/>
      <c r="AM136" s="165"/>
      <c r="AN136" s="457"/>
    </row>
    <row r="137" spans="1:42" s="46" customFormat="1" ht="22.9" customHeight="1">
      <c r="A137" s="28"/>
      <c r="B137" s="185"/>
      <c r="C137" s="208"/>
      <c r="D137" s="156"/>
      <c r="E137" s="3095"/>
      <c r="F137" s="3095"/>
      <c r="G137" s="3095"/>
      <c r="H137" s="3095"/>
      <c r="I137" s="3095"/>
      <c r="J137" s="3095"/>
      <c r="K137" s="3095"/>
      <c r="L137" s="3095"/>
      <c r="M137" s="3095"/>
      <c r="N137" s="3095"/>
      <c r="O137" s="3095"/>
      <c r="P137" s="3095"/>
      <c r="Q137" s="3095"/>
      <c r="R137" s="3095"/>
      <c r="S137" s="3095"/>
      <c r="T137" s="3095"/>
      <c r="U137" s="3095"/>
      <c r="V137" s="3095"/>
      <c r="W137" s="3095"/>
      <c r="X137" s="3095"/>
      <c r="Y137" s="3095"/>
      <c r="Z137" s="3095"/>
      <c r="AA137" s="3095"/>
      <c r="AB137" s="3095"/>
      <c r="AC137" s="3095"/>
      <c r="AD137" s="3095"/>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3098" t="s">
        <v>135</v>
      </c>
      <c r="T138" s="309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939" t="s">
        <v>113</v>
      </c>
      <c r="AG140" s="2939"/>
      <c r="AH140" s="2939"/>
      <c r="AI140" s="2939"/>
      <c r="AJ140" s="2939"/>
      <c r="AK140" s="2939"/>
      <c r="AL140" s="2939"/>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2956" t="s">
        <v>648</v>
      </c>
      <c r="I142" s="2956"/>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754">
        <f>VLOOKUP($H$142,$AO$116:$AP$118,2,FALSE)</f>
        <v>3</v>
      </c>
      <c r="AK144" s="2756"/>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939" t="s">
        <v>65</v>
      </c>
      <c r="AG148" s="2939"/>
      <c r="AH148" s="2939"/>
      <c r="AI148" s="2939"/>
      <c r="AJ148" s="2939"/>
      <c r="AK148" s="2939"/>
      <c r="AL148" s="2939"/>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939" t="s">
        <v>113</v>
      </c>
      <c r="AG151" s="2939"/>
      <c r="AH151" s="2939"/>
      <c r="AI151" s="2939"/>
      <c r="AJ151" s="2939"/>
      <c r="AK151" s="2939"/>
      <c r="AL151" s="2939"/>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956" t="s">
        <v>648</v>
      </c>
      <c r="I154" s="295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754">
        <f>VLOOKUP(H154,AT116:AU118,2,FALSE)</f>
        <v>3</v>
      </c>
      <c r="AK156" s="2756"/>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957" t="s">
        <v>824</v>
      </c>
      <c r="F161" s="2957"/>
      <c r="G161" s="2957"/>
      <c r="H161" s="2957"/>
      <c r="I161" s="2957"/>
      <c r="J161" s="2957"/>
      <c r="K161" s="2957"/>
      <c r="L161" s="2957"/>
      <c r="M161" s="2957"/>
      <c r="N161" s="2957"/>
      <c r="O161" s="2957"/>
      <c r="P161" s="2957"/>
      <c r="Q161" s="2957"/>
      <c r="R161" s="2957"/>
      <c r="S161" s="2957"/>
      <c r="T161" s="2957"/>
      <c r="U161" s="2957"/>
      <c r="V161" s="2957"/>
      <c r="W161" s="2957"/>
      <c r="X161" s="2957"/>
      <c r="Y161" s="2957"/>
      <c r="Z161" s="2957"/>
      <c r="AA161" s="2957"/>
      <c r="AB161" s="2957"/>
      <c r="AC161" s="2957"/>
      <c r="AF161" s="2939" t="s">
        <v>63</v>
      </c>
      <c r="AG161" s="2939"/>
      <c r="AH161" s="2939"/>
      <c r="AI161" s="2939"/>
      <c r="AJ161" s="2939"/>
      <c r="AK161" s="2939"/>
      <c r="AL161" s="2939"/>
      <c r="AN161" s="457"/>
    </row>
    <row r="162" spans="1:42" s="46" customFormat="1" ht="12.75" customHeight="1">
      <c r="C162" s="48"/>
      <c r="E162" s="2957"/>
      <c r="F162" s="2957"/>
      <c r="G162" s="2957"/>
      <c r="H162" s="2957"/>
      <c r="I162" s="2957"/>
      <c r="J162" s="2957"/>
      <c r="K162" s="2957"/>
      <c r="L162" s="2957"/>
      <c r="M162" s="2957"/>
      <c r="N162" s="2957"/>
      <c r="O162" s="2957"/>
      <c r="P162" s="2957"/>
      <c r="Q162" s="2957"/>
      <c r="R162" s="2957"/>
      <c r="S162" s="2957"/>
      <c r="T162" s="2957"/>
      <c r="U162" s="2957"/>
      <c r="V162" s="2957"/>
      <c r="W162" s="2957"/>
      <c r="X162" s="2957"/>
      <c r="Y162" s="2957"/>
      <c r="Z162" s="2957"/>
      <c r="AA162" s="2957"/>
      <c r="AB162" s="2957"/>
      <c r="AC162" s="2957"/>
      <c r="AN162" s="457"/>
    </row>
    <row r="163" spans="1:42" s="46" customFormat="1" ht="12.75" customHeight="1">
      <c r="C163" s="48"/>
      <c r="D163" s="156"/>
      <c r="E163" s="2957"/>
      <c r="F163" s="2957"/>
      <c r="G163" s="2957"/>
      <c r="H163" s="2957"/>
      <c r="I163" s="2957"/>
      <c r="J163" s="2957"/>
      <c r="K163" s="2957"/>
      <c r="L163" s="2957"/>
      <c r="M163" s="2957"/>
      <c r="N163" s="2957"/>
      <c r="O163" s="2957"/>
      <c r="P163" s="2957"/>
      <c r="Q163" s="2957"/>
      <c r="R163" s="2957"/>
      <c r="S163" s="2957"/>
      <c r="T163" s="2957"/>
      <c r="U163" s="2957"/>
      <c r="V163" s="2957"/>
      <c r="W163" s="2957"/>
      <c r="X163" s="2957"/>
      <c r="Y163" s="2957"/>
      <c r="Z163" s="2957"/>
      <c r="AA163" s="2957"/>
      <c r="AB163" s="2957"/>
      <c r="AC163" s="295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957" t="s">
        <v>1982</v>
      </c>
      <c r="F165" s="2957"/>
      <c r="G165" s="2957"/>
      <c r="H165" s="2957"/>
      <c r="I165" s="2957"/>
      <c r="J165" s="2957"/>
      <c r="K165" s="2957"/>
      <c r="L165" s="2957"/>
      <c r="M165" s="2957"/>
      <c r="N165" s="2957"/>
      <c r="O165" s="2957"/>
      <c r="P165" s="2957"/>
      <c r="Q165" s="2957"/>
      <c r="R165" s="2957"/>
      <c r="S165" s="2957"/>
      <c r="T165" s="2957"/>
      <c r="U165" s="2957"/>
      <c r="V165" s="2957"/>
      <c r="W165" s="2957"/>
      <c r="X165" s="2957"/>
      <c r="Y165" s="2957"/>
      <c r="Z165" s="2957"/>
      <c r="AA165" s="2957"/>
      <c r="AB165" s="2957"/>
      <c r="AC165" s="2957"/>
      <c r="AF165" s="2939" t="s">
        <v>64</v>
      </c>
      <c r="AG165" s="2939"/>
      <c r="AH165" s="2939"/>
      <c r="AI165" s="2939"/>
      <c r="AJ165" s="2939"/>
      <c r="AK165" s="2939"/>
      <c r="AL165" s="2939"/>
      <c r="AN165" s="457"/>
    </row>
    <row r="166" spans="1:42" s="46" customFormat="1" ht="12.75" customHeight="1">
      <c r="C166" s="48"/>
      <c r="E166" s="2957"/>
      <c r="F166" s="2957"/>
      <c r="G166" s="2957"/>
      <c r="H166" s="2957"/>
      <c r="I166" s="2957"/>
      <c r="J166" s="2957"/>
      <c r="K166" s="2957"/>
      <c r="L166" s="2957"/>
      <c r="M166" s="2957"/>
      <c r="N166" s="2957"/>
      <c r="O166" s="2957"/>
      <c r="P166" s="2957"/>
      <c r="Q166" s="2957"/>
      <c r="R166" s="2957"/>
      <c r="S166" s="2957"/>
      <c r="T166" s="2957"/>
      <c r="U166" s="2957"/>
      <c r="V166" s="2957"/>
      <c r="W166" s="2957"/>
      <c r="X166" s="2957"/>
      <c r="Y166" s="2957"/>
      <c r="Z166" s="2957"/>
      <c r="AA166" s="2957"/>
      <c r="AB166" s="2957"/>
      <c r="AC166" s="2957"/>
      <c r="AN166" s="457"/>
    </row>
    <row r="167" spans="1:42" s="46" customFormat="1" ht="15" customHeight="1">
      <c r="C167" s="48"/>
      <c r="D167" s="156"/>
      <c r="E167" s="2957"/>
      <c r="F167" s="2957"/>
      <c r="G167" s="2957"/>
      <c r="H167" s="2957"/>
      <c r="I167" s="2957"/>
      <c r="J167" s="2957"/>
      <c r="K167" s="2957"/>
      <c r="L167" s="2957"/>
      <c r="M167" s="2957"/>
      <c r="N167" s="2957"/>
      <c r="O167" s="2957"/>
      <c r="P167" s="2957"/>
      <c r="Q167" s="2957"/>
      <c r="R167" s="2957"/>
      <c r="S167" s="2957"/>
      <c r="T167" s="2957"/>
      <c r="U167" s="2957"/>
      <c r="V167" s="2957"/>
      <c r="W167" s="2957"/>
      <c r="X167" s="2957"/>
      <c r="Y167" s="2957"/>
      <c r="Z167" s="2957"/>
      <c r="AA167" s="2957"/>
      <c r="AB167" s="2957"/>
      <c r="AC167" s="295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957" t="s">
        <v>1983</v>
      </c>
      <c r="F169" s="2957"/>
      <c r="G169" s="2957"/>
      <c r="H169" s="2957"/>
      <c r="I169" s="2957"/>
      <c r="J169" s="2957"/>
      <c r="K169" s="2957"/>
      <c r="L169" s="2957"/>
      <c r="M169" s="2957"/>
      <c r="N169" s="2957"/>
      <c r="O169" s="2957"/>
      <c r="P169" s="2957"/>
      <c r="Q169" s="2957"/>
      <c r="R169" s="2957"/>
      <c r="S169" s="2957"/>
      <c r="T169" s="2957"/>
      <c r="U169" s="2957"/>
      <c r="V169" s="2957"/>
      <c r="W169" s="2957"/>
      <c r="X169" s="2957"/>
      <c r="Y169" s="2957"/>
      <c r="Z169" s="2957"/>
      <c r="AA169" s="2957"/>
      <c r="AB169" s="2957"/>
      <c r="AC169" s="2957"/>
      <c r="AF169" s="2939" t="s">
        <v>65</v>
      </c>
      <c r="AG169" s="2939"/>
      <c r="AH169" s="2939"/>
      <c r="AI169" s="2939"/>
      <c r="AJ169" s="2939"/>
      <c r="AK169" s="2939"/>
      <c r="AL169" s="2939"/>
      <c r="AN169" s="457"/>
    </row>
    <row r="170" spans="1:42" s="46" customFormat="1" ht="12.75" customHeight="1">
      <c r="A170" s="28"/>
      <c r="B170" s="173"/>
      <c r="C170" s="200"/>
      <c r="E170" s="2957"/>
      <c r="F170" s="2957"/>
      <c r="G170" s="2957"/>
      <c r="H170" s="2957"/>
      <c r="I170" s="2957"/>
      <c r="J170" s="2957"/>
      <c r="K170" s="2957"/>
      <c r="L170" s="2957"/>
      <c r="M170" s="2957"/>
      <c r="N170" s="2957"/>
      <c r="O170" s="2957"/>
      <c r="P170" s="2957"/>
      <c r="Q170" s="2957"/>
      <c r="R170" s="2957"/>
      <c r="S170" s="2957"/>
      <c r="T170" s="2957"/>
      <c r="U170" s="2957"/>
      <c r="V170" s="2957"/>
      <c r="W170" s="2957"/>
      <c r="X170" s="2957"/>
      <c r="Y170" s="2957"/>
      <c r="Z170" s="2957"/>
      <c r="AA170" s="2957"/>
      <c r="AB170" s="2957"/>
      <c r="AC170" s="2957"/>
      <c r="AE170" s="2939"/>
      <c r="AF170" s="2939"/>
      <c r="AG170" s="2939"/>
      <c r="AH170" s="2939"/>
      <c r="AI170" s="2939"/>
      <c r="AJ170" s="2939"/>
      <c r="AK170" s="2939"/>
      <c r="AL170" s="1361"/>
      <c r="AM170" s="165"/>
      <c r="AN170" s="457"/>
      <c r="AO170" s="46" t="s">
        <v>135</v>
      </c>
      <c r="AP170" s="787">
        <v>0</v>
      </c>
    </row>
    <row r="171" spans="1:42" s="46" customFormat="1" ht="12.75" customHeight="1">
      <c r="A171" s="207"/>
      <c r="D171" s="156"/>
      <c r="E171" s="2957"/>
      <c r="F171" s="2957"/>
      <c r="G171" s="2957"/>
      <c r="H171" s="2957"/>
      <c r="I171" s="2957"/>
      <c r="J171" s="2957"/>
      <c r="K171" s="2957"/>
      <c r="L171" s="2957"/>
      <c r="M171" s="2957"/>
      <c r="N171" s="2957"/>
      <c r="O171" s="2957"/>
      <c r="P171" s="2957"/>
      <c r="Q171" s="2957"/>
      <c r="R171" s="2957"/>
      <c r="S171" s="2957"/>
      <c r="T171" s="2957"/>
      <c r="U171" s="2957"/>
      <c r="V171" s="2957"/>
      <c r="W171" s="2957"/>
      <c r="X171" s="2957"/>
      <c r="Y171" s="2957"/>
      <c r="Z171" s="2957"/>
      <c r="AA171" s="2957"/>
      <c r="AB171" s="2957"/>
      <c r="AC171" s="2957"/>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957" t="s">
        <v>1984</v>
      </c>
      <c r="F173" s="2957"/>
      <c r="G173" s="2957"/>
      <c r="H173" s="2957"/>
      <c r="I173" s="2957"/>
      <c r="J173" s="2957"/>
      <c r="K173" s="2957"/>
      <c r="L173" s="2957"/>
      <c r="M173" s="2957"/>
      <c r="N173" s="2957"/>
      <c r="O173" s="2957"/>
      <c r="P173" s="2957"/>
      <c r="Q173" s="2957"/>
      <c r="R173" s="2957"/>
      <c r="S173" s="2957"/>
      <c r="T173" s="2957"/>
      <c r="U173" s="2957"/>
      <c r="V173" s="2957"/>
      <c r="W173" s="2957"/>
      <c r="X173" s="2957"/>
      <c r="Y173" s="2957"/>
      <c r="Z173" s="2957"/>
      <c r="AA173" s="2957"/>
      <c r="AB173" s="2957"/>
      <c r="AC173" s="2957"/>
      <c r="AF173" s="2939" t="s">
        <v>64</v>
      </c>
      <c r="AG173" s="2939"/>
      <c r="AH173" s="2939"/>
      <c r="AI173" s="2939"/>
      <c r="AJ173" s="2939"/>
      <c r="AK173" s="2939"/>
      <c r="AL173" s="2939"/>
      <c r="AN173" s="457"/>
    </row>
    <row r="174" spans="1:42" s="46" customFormat="1" ht="12.75" customHeight="1">
      <c r="A174" s="195"/>
      <c r="B174" s="173"/>
      <c r="C174" s="214"/>
      <c r="D174" s="156"/>
      <c r="E174" s="2957"/>
      <c r="F174" s="2957"/>
      <c r="G174" s="2957"/>
      <c r="H174" s="2957"/>
      <c r="I174" s="2957"/>
      <c r="J174" s="2957"/>
      <c r="K174" s="2957"/>
      <c r="L174" s="2957"/>
      <c r="M174" s="2957"/>
      <c r="N174" s="2957"/>
      <c r="O174" s="2957"/>
      <c r="P174" s="2957"/>
      <c r="Q174" s="2957"/>
      <c r="R174" s="2957"/>
      <c r="S174" s="2957"/>
      <c r="T174" s="2957"/>
      <c r="U174" s="2957"/>
      <c r="V174" s="2957"/>
      <c r="W174" s="2957"/>
      <c r="X174" s="2957"/>
      <c r="Y174" s="2957"/>
      <c r="Z174" s="2957"/>
      <c r="AA174" s="2957"/>
      <c r="AB174" s="2957"/>
      <c r="AC174" s="2957"/>
      <c r="AE174" s="191"/>
      <c r="AF174" s="191"/>
      <c r="AG174" s="191"/>
      <c r="AH174" s="191"/>
      <c r="AI174" s="191"/>
      <c r="AJ174" s="191"/>
      <c r="AK174" s="191"/>
      <c r="AL174" s="1361"/>
      <c r="AM174" s="215"/>
      <c r="AN174" s="457"/>
    </row>
    <row r="175" spans="1:42" s="46" customFormat="1" ht="12.75" customHeight="1">
      <c r="A175" s="195"/>
      <c r="B175" s="173"/>
      <c r="C175" s="214"/>
      <c r="D175" s="156"/>
      <c r="E175" s="2957"/>
      <c r="F175" s="2957"/>
      <c r="G175" s="2957"/>
      <c r="H175" s="2957"/>
      <c r="I175" s="2957"/>
      <c r="J175" s="2957"/>
      <c r="K175" s="2957"/>
      <c r="L175" s="2957"/>
      <c r="M175" s="2957"/>
      <c r="N175" s="2957"/>
      <c r="O175" s="2957"/>
      <c r="P175" s="2957"/>
      <c r="Q175" s="2957"/>
      <c r="R175" s="2957"/>
      <c r="S175" s="2957"/>
      <c r="T175" s="2957"/>
      <c r="U175" s="2957"/>
      <c r="V175" s="2957"/>
      <c r="W175" s="2957"/>
      <c r="X175" s="2957"/>
      <c r="Y175" s="2957"/>
      <c r="Z175" s="2957"/>
      <c r="AA175" s="2957"/>
      <c r="AB175" s="2957"/>
      <c r="AC175" s="295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957" t="s">
        <v>1985</v>
      </c>
      <c r="F177" s="2957"/>
      <c r="G177" s="2957"/>
      <c r="H177" s="2957"/>
      <c r="I177" s="2957"/>
      <c r="J177" s="2957"/>
      <c r="K177" s="2957"/>
      <c r="L177" s="2957"/>
      <c r="M177" s="2957"/>
      <c r="N177" s="2957"/>
      <c r="O177" s="2957"/>
      <c r="P177" s="2957"/>
      <c r="Q177" s="2957"/>
      <c r="R177" s="2957"/>
      <c r="S177" s="2957"/>
      <c r="T177" s="2957"/>
      <c r="U177" s="2957"/>
      <c r="V177" s="2957"/>
      <c r="W177" s="2957"/>
      <c r="X177" s="2957"/>
      <c r="Y177" s="2957"/>
      <c r="Z177" s="2957"/>
      <c r="AA177" s="2957"/>
      <c r="AB177" s="2957"/>
      <c r="AC177" s="2957"/>
      <c r="AF177" s="2939" t="s">
        <v>65</v>
      </c>
      <c r="AG177" s="2939"/>
      <c r="AH177" s="2939"/>
      <c r="AI177" s="2939"/>
      <c r="AJ177" s="2939"/>
      <c r="AK177" s="2939"/>
      <c r="AL177" s="2939"/>
      <c r="AM177" s="215"/>
      <c r="AN177" s="457"/>
    </row>
    <row r="178" spans="1:42" s="46" customFormat="1" ht="12.75" customHeight="1">
      <c r="A178" s="28"/>
      <c r="B178" s="173"/>
      <c r="C178" s="200"/>
      <c r="D178" s="156"/>
      <c r="E178" s="2957"/>
      <c r="F178" s="2957"/>
      <c r="G178" s="2957"/>
      <c r="H178" s="2957"/>
      <c r="I178" s="2957"/>
      <c r="J178" s="2957"/>
      <c r="K178" s="2957"/>
      <c r="L178" s="2957"/>
      <c r="M178" s="2957"/>
      <c r="N178" s="2957"/>
      <c r="O178" s="2957"/>
      <c r="P178" s="2957"/>
      <c r="Q178" s="2957"/>
      <c r="R178" s="2957"/>
      <c r="S178" s="2957"/>
      <c r="T178" s="2957"/>
      <c r="U178" s="2957"/>
      <c r="V178" s="2957"/>
      <c r="W178" s="2957"/>
      <c r="X178" s="2957"/>
      <c r="Y178" s="2957"/>
      <c r="Z178" s="2957"/>
      <c r="AA178" s="2957"/>
      <c r="AB178" s="2957"/>
      <c r="AC178" s="2957"/>
      <c r="AE178" s="165"/>
      <c r="AF178" s="74"/>
      <c r="AH178" s="165"/>
      <c r="AI178" s="165"/>
      <c r="AJ178" s="165"/>
      <c r="AK178" s="165"/>
      <c r="AL178" s="165"/>
      <c r="AM178" s="215"/>
      <c r="AN178" s="457"/>
    </row>
    <row r="179" spans="1:42" s="46" customFormat="1" ht="12.75" customHeight="1">
      <c r="A179" s="28"/>
      <c r="B179" s="173"/>
      <c r="C179" s="200"/>
      <c r="D179" s="156"/>
      <c r="E179" s="2957"/>
      <c r="F179" s="2957"/>
      <c r="G179" s="2957"/>
      <c r="H179" s="2957"/>
      <c r="I179" s="2957"/>
      <c r="J179" s="2957"/>
      <c r="K179" s="2957"/>
      <c r="L179" s="2957"/>
      <c r="M179" s="2957"/>
      <c r="N179" s="2957"/>
      <c r="O179" s="2957"/>
      <c r="P179" s="2957"/>
      <c r="Q179" s="2957"/>
      <c r="R179" s="2957"/>
      <c r="S179" s="2957"/>
      <c r="T179" s="2957"/>
      <c r="U179" s="2957"/>
      <c r="V179" s="2957"/>
      <c r="W179" s="2957"/>
      <c r="X179" s="2957"/>
      <c r="Y179" s="2957"/>
      <c r="Z179" s="2957"/>
      <c r="AA179" s="2957"/>
      <c r="AB179" s="2957"/>
      <c r="AC179" s="295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957" t="s">
        <v>1685</v>
      </c>
      <c r="F181" s="2957"/>
      <c r="G181" s="2957"/>
      <c r="H181" s="2957"/>
      <c r="I181" s="2957"/>
      <c r="J181" s="2957"/>
      <c r="K181" s="2957"/>
      <c r="L181" s="2957"/>
      <c r="M181" s="2957"/>
      <c r="N181" s="2957"/>
      <c r="O181" s="2957"/>
      <c r="P181" s="2957"/>
      <c r="Q181" s="2957"/>
      <c r="R181" s="2957"/>
      <c r="S181" s="2957"/>
      <c r="T181" s="2957"/>
      <c r="U181" s="2957"/>
      <c r="V181" s="2957"/>
      <c r="W181" s="2957"/>
      <c r="X181" s="2957"/>
      <c r="Y181" s="2957"/>
      <c r="Z181" s="2957"/>
      <c r="AA181" s="2957"/>
      <c r="AB181" s="2957"/>
      <c r="AC181" s="2957"/>
      <c r="AF181" s="2939" t="s">
        <v>113</v>
      </c>
      <c r="AG181" s="2939"/>
      <c r="AH181" s="2939"/>
      <c r="AI181" s="2939"/>
      <c r="AJ181" s="2939"/>
      <c r="AK181" s="2939"/>
      <c r="AL181" s="2939"/>
      <c r="AM181" s="215"/>
      <c r="AN181" s="457"/>
    </row>
    <row r="182" spans="1:42" s="46" customFormat="1" ht="22.9" customHeight="1">
      <c r="A182" s="207"/>
      <c r="B182" s="74"/>
      <c r="C182" s="77"/>
      <c r="D182" s="156"/>
      <c r="E182" s="2957"/>
      <c r="F182" s="2957"/>
      <c r="G182" s="2957"/>
      <c r="H182" s="2957"/>
      <c r="I182" s="2957"/>
      <c r="J182" s="2957"/>
      <c r="K182" s="2957"/>
      <c r="L182" s="2957"/>
      <c r="M182" s="2957"/>
      <c r="N182" s="2957"/>
      <c r="O182" s="2957"/>
      <c r="P182" s="2957"/>
      <c r="Q182" s="2957"/>
      <c r="R182" s="2957"/>
      <c r="S182" s="2957"/>
      <c r="T182" s="2957"/>
      <c r="U182" s="2957"/>
      <c r="V182" s="2957"/>
      <c r="W182" s="2957"/>
      <c r="X182" s="2957"/>
      <c r="Y182" s="2957"/>
      <c r="Z182" s="2957"/>
      <c r="AA182" s="2957"/>
      <c r="AB182" s="2957"/>
      <c r="AC182" s="295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957" t="s">
        <v>1686</v>
      </c>
      <c r="F184" s="2957"/>
      <c r="G184" s="2957"/>
      <c r="H184" s="2957"/>
      <c r="I184" s="2957"/>
      <c r="J184" s="2957"/>
      <c r="K184" s="2957"/>
      <c r="L184" s="2957"/>
      <c r="M184" s="2957"/>
      <c r="N184" s="2957"/>
      <c r="O184" s="2957"/>
      <c r="P184" s="2957"/>
      <c r="Q184" s="2957"/>
      <c r="R184" s="2957"/>
      <c r="S184" s="2957"/>
      <c r="T184" s="2957"/>
      <c r="U184" s="2957"/>
      <c r="V184" s="2957"/>
      <c r="W184" s="2957"/>
      <c r="X184" s="2957"/>
      <c r="Y184" s="2957"/>
      <c r="Z184" s="2957"/>
      <c r="AA184" s="2957"/>
      <c r="AB184" s="2957"/>
      <c r="AC184" s="2957"/>
      <c r="AF184" s="2939" t="s">
        <v>358</v>
      </c>
      <c r="AG184" s="2939"/>
      <c r="AH184" s="2939"/>
      <c r="AI184" s="2939"/>
      <c r="AJ184" s="2939"/>
      <c r="AK184" s="2939"/>
      <c r="AL184" s="2939"/>
      <c r="AM184" s="215"/>
      <c r="AN184" s="457"/>
      <c r="AO184" s="156" t="s">
        <v>648</v>
      </c>
      <c r="AP184" s="46">
        <v>3</v>
      </c>
    </row>
    <row r="185" spans="1:42" s="46" customFormat="1" ht="22.9" customHeight="1">
      <c r="A185" s="207"/>
      <c r="B185" s="74"/>
      <c r="C185" s="77"/>
      <c r="D185" s="156"/>
      <c r="E185" s="2957"/>
      <c r="F185" s="2957"/>
      <c r="G185" s="2957"/>
      <c r="H185" s="2957"/>
      <c r="I185" s="2957"/>
      <c r="J185" s="2957"/>
      <c r="K185" s="2957"/>
      <c r="L185" s="2957"/>
      <c r="M185" s="2957"/>
      <c r="N185" s="2957"/>
      <c r="O185" s="2957"/>
      <c r="P185" s="2957"/>
      <c r="Q185" s="2957"/>
      <c r="R185" s="2957"/>
      <c r="S185" s="2957"/>
      <c r="T185" s="2957"/>
      <c r="U185" s="2957"/>
      <c r="V185" s="2957"/>
      <c r="W185" s="2957"/>
      <c r="X185" s="2957"/>
      <c r="Y185" s="2957"/>
      <c r="Z185" s="2957"/>
      <c r="AA185" s="2957"/>
      <c r="AB185" s="2957"/>
      <c r="AC185" s="2957"/>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956" t="s">
        <v>648</v>
      </c>
      <c r="I187" s="295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754">
        <f>VLOOKUP($H$187,$AO$137:$AP$144,2,FALSE)</f>
        <v>5</v>
      </c>
      <c r="AK189" s="2756"/>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957" t="s">
        <v>1270</v>
      </c>
      <c r="F193" s="2957"/>
      <c r="G193" s="2957"/>
      <c r="H193" s="2957"/>
      <c r="I193" s="2957"/>
      <c r="J193" s="2957"/>
      <c r="K193" s="2957"/>
      <c r="L193" s="2957"/>
      <c r="M193" s="2957"/>
      <c r="N193" s="2957"/>
      <c r="O193" s="2957"/>
      <c r="P193" s="2957"/>
      <c r="Q193" s="2957"/>
      <c r="R193" s="2957"/>
      <c r="S193" s="2957"/>
      <c r="T193" s="2957"/>
      <c r="U193" s="2957"/>
      <c r="V193" s="2957"/>
      <c r="W193" s="2957"/>
      <c r="X193" s="2957"/>
      <c r="Y193" s="2957"/>
      <c r="Z193" s="2957"/>
      <c r="AA193" s="2957"/>
      <c r="AB193" s="2957"/>
      <c r="AC193" s="46"/>
      <c r="AD193" s="46"/>
      <c r="AF193" s="2939" t="s">
        <v>65</v>
      </c>
      <c r="AG193" s="2939"/>
      <c r="AH193" s="2939"/>
      <c r="AI193" s="2939"/>
      <c r="AJ193" s="2939"/>
      <c r="AK193" s="2939"/>
      <c r="AL193" s="2939"/>
      <c r="AM193" s="165"/>
      <c r="AN193" s="1193"/>
    </row>
    <row r="194" spans="1:42" s="149" customFormat="1" ht="12.75" customHeight="1">
      <c r="A194" s="28"/>
      <c r="B194" s="173"/>
      <c r="C194" s="208"/>
      <c r="D194" s="156"/>
      <c r="E194" s="2957"/>
      <c r="F194" s="2957"/>
      <c r="G194" s="2957"/>
      <c r="H194" s="2957"/>
      <c r="I194" s="2957"/>
      <c r="J194" s="2957"/>
      <c r="K194" s="2957"/>
      <c r="L194" s="2957"/>
      <c r="M194" s="2957"/>
      <c r="N194" s="2957"/>
      <c r="O194" s="2957"/>
      <c r="P194" s="2957"/>
      <c r="Q194" s="2957"/>
      <c r="R194" s="2957"/>
      <c r="S194" s="2957"/>
      <c r="T194" s="2957"/>
      <c r="U194" s="2957"/>
      <c r="V194" s="2957"/>
      <c r="W194" s="2957"/>
      <c r="X194" s="2957"/>
      <c r="Y194" s="2957"/>
      <c r="Z194" s="2957"/>
      <c r="AA194" s="2957"/>
      <c r="AB194" s="2957"/>
      <c r="AC194" s="46"/>
      <c r="AD194" s="46"/>
      <c r="AE194" s="27"/>
      <c r="AM194" s="165"/>
      <c r="AN194" s="1193"/>
      <c r="AO194" s="3163"/>
      <c r="AP194" s="3163"/>
    </row>
    <row r="195" spans="1:42" s="149" customFormat="1" ht="12.75" customHeight="1">
      <c r="A195" s="28"/>
      <c r="B195" s="173"/>
      <c r="C195" s="208"/>
      <c r="D195" s="156"/>
      <c r="E195" s="2957"/>
      <c r="F195" s="2957"/>
      <c r="G195" s="2957"/>
      <c r="H195" s="2957"/>
      <c r="I195" s="2957"/>
      <c r="J195" s="2957"/>
      <c r="K195" s="2957"/>
      <c r="L195" s="2957"/>
      <c r="M195" s="2957"/>
      <c r="N195" s="2957"/>
      <c r="O195" s="2957"/>
      <c r="P195" s="2957"/>
      <c r="Q195" s="2957"/>
      <c r="R195" s="2957"/>
      <c r="S195" s="2957"/>
      <c r="T195" s="2957"/>
      <c r="U195" s="2957"/>
      <c r="V195" s="2957"/>
      <c r="W195" s="2957"/>
      <c r="X195" s="2957"/>
      <c r="Y195" s="2957"/>
      <c r="Z195" s="2957"/>
      <c r="AA195" s="2957"/>
      <c r="AB195" s="295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957"/>
      <c r="F196" s="2957"/>
      <c r="G196" s="2957"/>
      <c r="H196" s="2957"/>
      <c r="I196" s="2957"/>
      <c r="J196" s="2957"/>
      <c r="K196" s="2957"/>
      <c r="L196" s="2957"/>
      <c r="M196" s="2957"/>
      <c r="N196" s="2957"/>
      <c r="O196" s="2957"/>
      <c r="P196" s="2957"/>
      <c r="Q196" s="2957"/>
      <c r="R196" s="2957"/>
      <c r="S196" s="2957"/>
      <c r="T196" s="2957"/>
      <c r="U196" s="2957"/>
      <c r="V196" s="2957"/>
      <c r="W196" s="2957"/>
      <c r="X196" s="2957"/>
      <c r="Y196" s="2957"/>
      <c r="Z196" s="2957"/>
      <c r="AA196" s="2957"/>
      <c r="AB196" s="2957"/>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957" t="s">
        <v>1986</v>
      </c>
      <c r="F198" s="2957"/>
      <c r="G198" s="2957"/>
      <c r="H198" s="2957"/>
      <c r="I198" s="2957"/>
      <c r="J198" s="2957"/>
      <c r="K198" s="2957"/>
      <c r="L198" s="2957"/>
      <c r="M198" s="2957"/>
      <c r="N198" s="2957"/>
      <c r="O198" s="2957"/>
      <c r="P198" s="2957"/>
      <c r="Q198" s="2957"/>
      <c r="R198" s="2957"/>
      <c r="S198" s="2957"/>
      <c r="T198" s="2957"/>
      <c r="U198" s="2957"/>
      <c r="V198" s="2957"/>
      <c r="W198" s="2957"/>
      <c r="X198" s="2957"/>
      <c r="Y198" s="2957"/>
      <c r="Z198" s="2957"/>
      <c r="AA198" s="2957"/>
      <c r="AB198" s="2957"/>
      <c r="AF198" s="2939" t="s">
        <v>113</v>
      </c>
      <c r="AG198" s="2939"/>
      <c r="AH198" s="2939"/>
      <c r="AI198" s="2939"/>
      <c r="AJ198" s="2939"/>
      <c r="AK198" s="2939"/>
      <c r="AL198" s="2939"/>
      <c r="AM198" s="165"/>
      <c r="AN198" s="457"/>
      <c r="AO198" s="156" t="s">
        <v>214</v>
      </c>
      <c r="AP198" s="46">
        <v>1</v>
      </c>
    </row>
    <row r="199" spans="1:42" s="46" customFormat="1" ht="12.75" customHeight="1">
      <c r="A199" s="165"/>
      <c r="B199" s="8"/>
      <c r="C199" s="216"/>
      <c r="E199" s="2957"/>
      <c r="F199" s="2957"/>
      <c r="G199" s="2957"/>
      <c r="H199" s="2957"/>
      <c r="I199" s="2957"/>
      <c r="J199" s="2957"/>
      <c r="K199" s="2957"/>
      <c r="L199" s="2957"/>
      <c r="M199" s="2957"/>
      <c r="N199" s="2957"/>
      <c r="O199" s="2957"/>
      <c r="P199" s="2957"/>
      <c r="Q199" s="2957"/>
      <c r="R199" s="2957"/>
      <c r="S199" s="2957"/>
      <c r="T199" s="2957"/>
      <c r="U199" s="2957"/>
      <c r="V199" s="2957"/>
      <c r="W199" s="2957"/>
      <c r="X199" s="2957"/>
      <c r="Y199" s="2957"/>
      <c r="Z199" s="2957"/>
      <c r="AA199" s="2957"/>
      <c r="AB199" s="2957"/>
      <c r="AD199" s="8"/>
      <c r="AE199" s="27"/>
      <c r="AM199" s="165"/>
      <c r="AN199" s="457"/>
    </row>
    <row r="200" spans="1:42" s="16" customFormat="1" ht="18.600000000000001" customHeight="1">
      <c r="A200" s="165"/>
      <c r="B200" s="8"/>
      <c r="C200" s="216"/>
      <c r="D200" s="46"/>
      <c r="E200" s="2957"/>
      <c r="F200" s="2957"/>
      <c r="G200" s="2957"/>
      <c r="H200" s="2957"/>
      <c r="I200" s="2957"/>
      <c r="J200" s="2957"/>
      <c r="K200" s="2957"/>
      <c r="L200" s="2957"/>
      <c r="M200" s="2957"/>
      <c r="N200" s="2957"/>
      <c r="O200" s="2957"/>
      <c r="P200" s="2957"/>
      <c r="Q200" s="2957"/>
      <c r="R200" s="2957"/>
      <c r="S200" s="2957"/>
      <c r="T200" s="2957"/>
      <c r="U200" s="2957"/>
      <c r="V200" s="2957"/>
      <c r="W200" s="2957"/>
      <c r="X200" s="2957"/>
      <c r="Y200" s="2957"/>
      <c r="Z200" s="2957"/>
      <c r="AA200" s="2957"/>
      <c r="AB200" s="295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956" t="s">
        <v>135</v>
      </c>
      <c r="I202" s="295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754">
        <f>VLOOKUP($H$202,$AO$156:$AP$158,2,FALSE)</f>
        <v>0</v>
      </c>
      <c r="AK204" s="2756"/>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3099" t="s">
        <v>1415</v>
      </c>
      <c r="F208" s="3099"/>
      <c r="G208" s="3099"/>
      <c r="H208" s="3099"/>
      <c r="I208" s="3099"/>
      <c r="J208" s="3099"/>
      <c r="K208" s="3099"/>
      <c r="L208" s="3099"/>
      <c r="M208" s="3099"/>
      <c r="N208" s="3099"/>
      <c r="O208" s="3099"/>
      <c r="P208" s="3099"/>
      <c r="Q208" s="3099"/>
      <c r="R208" s="3099"/>
      <c r="S208" s="3099"/>
      <c r="T208" s="3099"/>
      <c r="U208" s="3099"/>
      <c r="V208" s="3099"/>
      <c r="W208" s="3099"/>
      <c r="X208" s="3099"/>
      <c r="Y208" s="3099"/>
      <c r="Z208" s="3099"/>
      <c r="AA208" s="3099"/>
      <c r="AB208" s="3099"/>
      <c r="AC208" s="46"/>
      <c r="AD208" s="46"/>
      <c r="AF208" s="2939" t="s">
        <v>65</v>
      </c>
      <c r="AG208" s="2939"/>
      <c r="AH208" s="2939"/>
      <c r="AI208" s="2939"/>
      <c r="AJ208" s="2939"/>
      <c r="AK208" s="2939"/>
      <c r="AL208" s="2939"/>
      <c r="AM208" s="165"/>
      <c r="AN208" s="331"/>
      <c r="AP208" s="50" t="s">
        <v>108</v>
      </c>
    </row>
    <row r="209" spans="1:52" s="16" customFormat="1" ht="11.85" customHeight="1">
      <c r="A209" s="28"/>
      <c r="B209" s="173"/>
      <c r="C209" s="199"/>
      <c r="D209" s="156"/>
      <c r="E209" s="3099"/>
      <c r="F209" s="3099"/>
      <c r="G209" s="3099"/>
      <c r="H209" s="3099"/>
      <c r="I209" s="3099"/>
      <c r="J209" s="3099"/>
      <c r="K209" s="3099"/>
      <c r="L209" s="3099"/>
      <c r="M209" s="3099"/>
      <c r="N209" s="3099"/>
      <c r="O209" s="3099"/>
      <c r="P209" s="3099"/>
      <c r="Q209" s="3099"/>
      <c r="R209" s="3099"/>
      <c r="S209" s="3099"/>
      <c r="T209" s="3099"/>
      <c r="U209" s="3099"/>
      <c r="V209" s="3099"/>
      <c r="W209" s="3099"/>
      <c r="X209" s="3099"/>
      <c r="Y209" s="3099"/>
      <c r="Z209" s="3099"/>
      <c r="AA209" s="3099"/>
      <c r="AB209" s="3099"/>
      <c r="AC209" s="46"/>
      <c r="AD209" s="46"/>
      <c r="AE209" s="28"/>
      <c r="AM209" s="165"/>
      <c r="AN209" s="331"/>
      <c r="AP209" s="50" t="s">
        <v>105</v>
      </c>
    </row>
    <row r="210" spans="1:52" s="16" customFormat="1" ht="13.9" customHeight="1">
      <c r="A210" s="28"/>
      <c r="B210" s="160"/>
      <c r="C210" s="200"/>
      <c r="D210" s="156"/>
      <c r="E210" s="3099"/>
      <c r="F210" s="3099"/>
      <c r="G210" s="3099"/>
      <c r="H210" s="3099"/>
      <c r="I210" s="3099"/>
      <c r="J210" s="3099"/>
      <c r="K210" s="3099"/>
      <c r="L210" s="3099"/>
      <c r="M210" s="3099"/>
      <c r="N210" s="3099"/>
      <c r="O210" s="3099"/>
      <c r="P210" s="3099"/>
      <c r="Q210" s="3099"/>
      <c r="R210" s="3099"/>
      <c r="S210" s="3099"/>
      <c r="T210" s="3099"/>
      <c r="U210" s="3099"/>
      <c r="V210" s="3099"/>
      <c r="W210" s="3099"/>
      <c r="X210" s="3099"/>
      <c r="Y210" s="3099"/>
      <c r="Z210" s="3099"/>
      <c r="AA210" s="3099"/>
      <c r="AB210" s="3099"/>
      <c r="AC210" s="46"/>
      <c r="AD210" s="46"/>
      <c r="AE210" s="27"/>
      <c r="AM210" s="165"/>
      <c r="AN210" s="331"/>
      <c r="AP210" s="50" t="s">
        <v>106</v>
      </c>
    </row>
    <row r="211" spans="1:52" s="16" customFormat="1" ht="13.9" customHeight="1">
      <c r="A211" s="28"/>
      <c r="B211" s="74"/>
      <c r="C211" s="77"/>
      <c r="D211" s="156" t="s">
        <v>214</v>
      </c>
      <c r="E211" s="2958" t="s">
        <v>1416</v>
      </c>
      <c r="F211" s="2958"/>
      <c r="G211" s="2958"/>
      <c r="H211" s="2958"/>
      <c r="I211" s="2958"/>
      <c r="J211" s="2958"/>
      <c r="K211" s="2958"/>
      <c r="L211" s="2958"/>
      <c r="M211" s="2958"/>
      <c r="N211" s="2958"/>
      <c r="O211" s="2958"/>
      <c r="P211" s="2958"/>
      <c r="Q211" s="2958"/>
      <c r="R211" s="2958"/>
      <c r="S211" s="2958"/>
      <c r="T211" s="2958"/>
      <c r="U211" s="2958"/>
      <c r="V211" s="2958"/>
      <c r="W211" s="2958"/>
      <c r="X211" s="2958"/>
      <c r="Y211" s="2958"/>
      <c r="Z211" s="2958"/>
      <c r="AA211" s="2958"/>
      <c r="AB211" s="2958"/>
      <c r="AC211" s="46"/>
      <c r="AD211" s="46"/>
      <c r="AF211" s="2939" t="s">
        <v>113</v>
      </c>
      <c r="AG211" s="2939"/>
      <c r="AH211" s="2939"/>
      <c r="AI211" s="2939"/>
      <c r="AJ211" s="2939"/>
      <c r="AK211" s="2939"/>
      <c r="AL211" s="2939"/>
      <c r="AM211" s="165"/>
      <c r="AN211" s="1195"/>
      <c r="AP211" s="520" t="s">
        <v>393</v>
      </c>
    </row>
    <row r="212" spans="1:52" s="16" customFormat="1" ht="12.75" customHeight="1">
      <c r="A212" s="28"/>
      <c r="B212" s="173"/>
      <c r="C212" s="199"/>
      <c r="D212" s="28"/>
      <c r="E212" s="2958"/>
      <c r="F212" s="2958"/>
      <c r="G212" s="2958"/>
      <c r="H212" s="2958"/>
      <c r="I212" s="2958"/>
      <c r="J212" s="2958"/>
      <c r="K212" s="2958"/>
      <c r="L212" s="2958"/>
      <c r="M212" s="2958"/>
      <c r="N212" s="2958"/>
      <c r="O212" s="2958"/>
      <c r="P212" s="2958"/>
      <c r="Q212" s="2958"/>
      <c r="R212" s="2958"/>
      <c r="S212" s="2958"/>
      <c r="T212" s="2958"/>
      <c r="U212" s="2958"/>
      <c r="V212" s="2958"/>
      <c r="W212" s="2958"/>
      <c r="X212" s="2958"/>
      <c r="Y212" s="2958"/>
      <c r="Z212" s="2958"/>
      <c r="AA212" s="2958"/>
      <c r="AB212" s="2958"/>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958"/>
      <c r="F213" s="2958"/>
      <c r="G213" s="2958"/>
      <c r="H213" s="2958"/>
      <c r="I213" s="2958"/>
      <c r="J213" s="2958"/>
      <c r="K213" s="2958"/>
      <c r="L213" s="2958"/>
      <c r="M213" s="2958"/>
      <c r="N213" s="2958"/>
      <c r="O213" s="2958"/>
      <c r="P213" s="2958"/>
      <c r="Q213" s="2958"/>
      <c r="R213" s="2958"/>
      <c r="S213" s="2958"/>
      <c r="T213" s="2958"/>
      <c r="U213" s="2958"/>
      <c r="V213" s="2958"/>
      <c r="W213" s="2958"/>
      <c r="X213" s="2958"/>
      <c r="Y213" s="2958"/>
      <c r="Z213" s="2958"/>
      <c r="AA213" s="2958"/>
      <c r="AB213" s="2958"/>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2956" t="s">
        <v>135</v>
      </c>
      <c r="I214" s="295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754">
        <f>VLOOKUP($H$214,$AO$156:$AP$158,2,FALSE)</f>
        <v>0</v>
      </c>
      <c r="AK216" s="2756"/>
      <c r="AL216" s="25"/>
      <c r="AM216" s="149"/>
      <c r="AN216" s="1196"/>
      <c r="AP216" s="2754"/>
      <c r="AQ216" s="2756"/>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957" t="s">
        <v>1704</v>
      </c>
      <c r="F220" s="2957"/>
      <c r="G220" s="2957"/>
      <c r="H220" s="2957"/>
      <c r="I220" s="2957"/>
      <c r="J220" s="2957"/>
      <c r="K220" s="2957"/>
      <c r="L220" s="2957"/>
      <c r="M220" s="2957"/>
      <c r="N220" s="2957"/>
      <c r="O220" s="2957"/>
      <c r="P220" s="2957"/>
      <c r="Q220" s="2957"/>
      <c r="R220" s="2957"/>
      <c r="S220" s="2957"/>
      <c r="T220" s="2957"/>
      <c r="U220" s="2957"/>
      <c r="V220" s="2957"/>
      <c r="W220" s="2957"/>
      <c r="X220" s="2957"/>
      <c r="Y220" s="2957"/>
      <c r="Z220" s="2957"/>
      <c r="AA220" s="2957"/>
      <c r="AB220" s="2957"/>
      <c r="AC220" s="46"/>
      <c r="AD220" s="46"/>
      <c r="AF220" s="2939" t="s">
        <v>65</v>
      </c>
      <c r="AG220" s="2939"/>
      <c r="AH220" s="2939"/>
      <c r="AI220" s="2939"/>
      <c r="AJ220" s="2939"/>
      <c r="AK220" s="2939"/>
      <c r="AL220" s="2939"/>
      <c r="AM220" s="165"/>
      <c r="AN220" s="331"/>
      <c r="AT220" s="65"/>
      <c r="AU220" s="65"/>
      <c r="AV220" s="65"/>
      <c r="AW220" s="65"/>
      <c r="AX220" s="65"/>
      <c r="AY220" s="65"/>
      <c r="AZ220" s="65"/>
    </row>
    <row r="221" spans="1:52" s="16" customFormat="1">
      <c r="A221" s="28"/>
      <c r="B221" s="173"/>
      <c r="C221" s="199"/>
      <c r="D221" s="156"/>
      <c r="E221" s="2957"/>
      <c r="F221" s="2957"/>
      <c r="G221" s="2957"/>
      <c r="H221" s="2957"/>
      <c r="I221" s="2957"/>
      <c r="J221" s="2957"/>
      <c r="K221" s="2957"/>
      <c r="L221" s="2957"/>
      <c r="M221" s="2957"/>
      <c r="N221" s="2957"/>
      <c r="O221" s="2957"/>
      <c r="P221" s="2957"/>
      <c r="Q221" s="2957"/>
      <c r="R221" s="2957"/>
      <c r="S221" s="2957"/>
      <c r="T221" s="2957"/>
      <c r="U221" s="2957"/>
      <c r="V221" s="2957"/>
      <c r="W221" s="2957"/>
      <c r="X221" s="2957"/>
      <c r="Y221" s="2957"/>
      <c r="Z221" s="2957"/>
      <c r="AA221" s="2957"/>
      <c r="AB221" s="295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957" t="s">
        <v>992</v>
      </c>
      <c r="F223" s="2957"/>
      <c r="G223" s="2957"/>
      <c r="H223" s="2957"/>
      <c r="I223" s="2957"/>
      <c r="J223" s="2957"/>
      <c r="K223" s="2957"/>
      <c r="L223" s="2957"/>
      <c r="M223" s="2957"/>
      <c r="N223" s="2957"/>
      <c r="O223" s="2957"/>
      <c r="P223" s="2957"/>
      <c r="Q223" s="2957"/>
      <c r="R223" s="2957"/>
      <c r="S223" s="2957"/>
      <c r="T223" s="2957"/>
      <c r="U223" s="2957"/>
      <c r="V223" s="2957"/>
      <c r="W223" s="2957"/>
      <c r="X223" s="2957"/>
      <c r="Y223" s="2957"/>
      <c r="Z223" s="2957"/>
      <c r="AA223" s="2957"/>
      <c r="AB223" s="2957"/>
      <c r="AC223" s="46"/>
      <c r="AD223" s="46"/>
      <c r="AF223" s="2939" t="s">
        <v>113</v>
      </c>
      <c r="AG223" s="2939"/>
      <c r="AH223" s="2939"/>
      <c r="AI223" s="2939"/>
      <c r="AJ223" s="2939"/>
      <c r="AK223" s="2939"/>
      <c r="AL223" s="2939"/>
      <c r="AM223" s="165"/>
      <c r="AN223" s="331"/>
      <c r="AT223" s="65"/>
      <c r="AU223" s="65"/>
      <c r="AV223" s="65"/>
      <c r="AW223" s="65"/>
      <c r="AX223" s="65"/>
      <c r="AY223" s="65"/>
      <c r="AZ223" s="65"/>
    </row>
    <row r="224" spans="1:52" s="16" customFormat="1">
      <c r="A224" s="28"/>
      <c r="B224" s="173"/>
      <c r="C224" s="199"/>
      <c r="D224" s="28"/>
      <c r="E224" s="2957"/>
      <c r="F224" s="2957"/>
      <c r="G224" s="2957"/>
      <c r="H224" s="2957"/>
      <c r="I224" s="2957"/>
      <c r="J224" s="2957"/>
      <c r="K224" s="2957"/>
      <c r="L224" s="2957"/>
      <c r="M224" s="2957"/>
      <c r="N224" s="2957"/>
      <c r="O224" s="2957"/>
      <c r="P224" s="2957"/>
      <c r="Q224" s="2957"/>
      <c r="R224" s="2957"/>
      <c r="S224" s="2957"/>
      <c r="T224" s="2957"/>
      <c r="U224" s="2957"/>
      <c r="V224" s="2957"/>
      <c r="W224" s="2957"/>
      <c r="X224" s="2957"/>
      <c r="Y224" s="2957"/>
      <c r="Z224" s="2957"/>
      <c r="AA224" s="2957"/>
      <c r="AB224" s="295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956" t="s">
        <v>135</v>
      </c>
      <c r="I226" s="295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754">
        <f>VLOOKUP($H$226,$AO$170:$AP$172,2,FALSE)</f>
        <v>0</v>
      </c>
      <c r="AK228" s="2756"/>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957" t="s">
        <v>1271</v>
      </c>
      <c r="F232" s="2957"/>
      <c r="G232" s="2957"/>
      <c r="H232" s="2957"/>
      <c r="I232" s="2957"/>
      <c r="J232" s="2957"/>
      <c r="K232" s="2957"/>
      <c r="L232" s="2957"/>
      <c r="M232" s="2957"/>
      <c r="N232" s="2957"/>
      <c r="O232" s="2957"/>
      <c r="P232" s="2957"/>
      <c r="Q232" s="2957"/>
      <c r="R232" s="2957"/>
      <c r="S232" s="2957"/>
      <c r="T232" s="2957"/>
      <c r="U232" s="2957"/>
      <c r="V232" s="2957"/>
      <c r="W232" s="2957"/>
      <c r="X232" s="2957"/>
      <c r="Y232" s="2957"/>
      <c r="Z232" s="2957"/>
      <c r="AA232" s="2957"/>
      <c r="AB232" s="2957"/>
      <c r="AC232" s="46"/>
      <c r="AD232" s="46"/>
      <c r="AF232" s="2939" t="s">
        <v>65</v>
      </c>
      <c r="AG232" s="2939"/>
      <c r="AH232" s="2939"/>
      <c r="AI232" s="2939"/>
      <c r="AJ232" s="2939"/>
      <c r="AK232" s="2939"/>
      <c r="AL232" s="2939"/>
      <c r="AM232" s="165"/>
      <c r="AN232" s="331"/>
      <c r="AT232" s="65"/>
      <c r="AU232" s="65"/>
      <c r="AV232" s="65"/>
      <c r="AW232" s="65"/>
      <c r="AX232" s="65"/>
      <c r="AY232" s="65"/>
      <c r="AZ232" s="65"/>
    </row>
    <row r="233" spans="1:82" s="16" customFormat="1">
      <c r="A233" s="28"/>
      <c r="B233" s="173"/>
      <c r="C233" s="199"/>
      <c r="D233" s="156"/>
      <c r="E233" s="2957"/>
      <c r="F233" s="2957"/>
      <c r="G233" s="2957"/>
      <c r="H233" s="2957"/>
      <c r="I233" s="2957"/>
      <c r="J233" s="2957"/>
      <c r="K233" s="2957"/>
      <c r="L233" s="2957"/>
      <c r="M233" s="2957"/>
      <c r="N233" s="2957"/>
      <c r="O233" s="2957"/>
      <c r="P233" s="2957"/>
      <c r="Q233" s="2957"/>
      <c r="R233" s="2957"/>
      <c r="S233" s="2957"/>
      <c r="T233" s="2957"/>
      <c r="U233" s="2957"/>
      <c r="V233" s="2957"/>
      <c r="W233" s="2957"/>
      <c r="X233" s="2957"/>
      <c r="Y233" s="2957"/>
      <c r="Z233" s="2957"/>
      <c r="AA233" s="2957"/>
      <c r="AB233" s="2957"/>
      <c r="AC233" s="46"/>
      <c r="AD233" s="46"/>
      <c r="AL233" s="165"/>
      <c r="AM233" s="165"/>
      <c r="AN233" s="331"/>
    </row>
    <row r="234" spans="1:82" s="50" customFormat="1" ht="12.75" customHeight="1">
      <c r="A234" s="28"/>
      <c r="B234" s="173"/>
      <c r="C234" s="199"/>
      <c r="D234" s="156"/>
      <c r="E234" s="2957"/>
      <c r="F234" s="2957"/>
      <c r="G234" s="2957"/>
      <c r="H234" s="2957"/>
      <c r="I234" s="2957"/>
      <c r="J234" s="2957"/>
      <c r="K234" s="2957"/>
      <c r="L234" s="2957"/>
      <c r="M234" s="2957"/>
      <c r="N234" s="2957"/>
      <c r="O234" s="2957"/>
      <c r="P234" s="2957"/>
      <c r="Q234" s="2957"/>
      <c r="R234" s="2957"/>
      <c r="S234" s="2957"/>
      <c r="T234" s="2957"/>
      <c r="U234" s="2957"/>
      <c r="V234" s="2957"/>
      <c r="W234" s="2957"/>
      <c r="X234" s="2957"/>
      <c r="Y234" s="2957"/>
      <c r="Z234" s="2957"/>
      <c r="AA234" s="2957"/>
      <c r="AB234" s="295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957" t="s">
        <v>1272</v>
      </c>
      <c r="F236" s="2957"/>
      <c r="G236" s="2957"/>
      <c r="H236" s="2957"/>
      <c r="I236" s="2957"/>
      <c r="J236" s="2957"/>
      <c r="K236" s="2957"/>
      <c r="L236" s="2957"/>
      <c r="M236" s="2957"/>
      <c r="N236" s="2957"/>
      <c r="O236" s="2957"/>
      <c r="P236" s="2957"/>
      <c r="Q236" s="2957"/>
      <c r="R236" s="2957"/>
      <c r="S236" s="2957"/>
      <c r="T236" s="2957"/>
      <c r="U236" s="2957"/>
      <c r="V236" s="2957"/>
      <c r="W236" s="2957"/>
      <c r="X236" s="2957"/>
      <c r="Y236" s="2957"/>
      <c r="Z236" s="2957"/>
      <c r="AA236" s="2957"/>
      <c r="AB236" s="566"/>
      <c r="AC236" s="46"/>
      <c r="AD236" s="46"/>
      <c r="AF236" s="2939" t="s">
        <v>113</v>
      </c>
      <c r="AG236" s="2939"/>
      <c r="AH236" s="2939"/>
      <c r="AI236" s="2939"/>
      <c r="AJ236" s="2939"/>
      <c r="AK236" s="2939"/>
      <c r="AL236" s="2939"/>
      <c r="AM236" s="165"/>
      <c r="AN236" s="331"/>
      <c r="AO236" s="143"/>
      <c r="AP236" s="65"/>
    </row>
    <row r="237" spans="1:82" s="16" customFormat="1">
      <c r="A237" s="28"/>
      <c r="B237" s="74"/>
      <c r="C237" s="77"/>
      <c r="D237" s="28"/>
      <c r="E237" s="2957"/>
      <c r="F237" s="2957"/>
      <c r="G237" s="2957"/>
      <c r="H237" s="2957"/>
      <c r="I237" s="2957"/>
      <c r="J237" s="2957"/>
      <c r="K237" s="2957"/>
      <c r="L237" s="2957"/>
      <c r="M237" s="2957"/>
      <c r="N237" s="2957"/>
      <c r="O237" s="2957"/>
      <c r="P237" s="2957"/>
      <c r="Q237" s="2957"/>
      <c r="R237" s="2957"/>
      <c r="S237" s="2957"/>
      <c r="T237" s="2957"/>
      <c r="U237" s="2957"/>
      <c r="V237" s="2957"/>
      <c r="W237" s="2957"/>
      <c r="X237" s="2957"/>
      <c r="Y237" s="2957"/>
      <c r="Z237" s="2957"/>
      <c r="AA237" s="295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957"/>
      <c r="F238" s="2957"/>
      <c r="G238" s="2957"/>
      <c r="H238" s="2957"/>
      <c r="I238" s="2957"/>
      <c r="J238" s="2957"/>
      <c r="K238" s="2957"/>
      <c r="L238" s="2957"/>
      <c r="M238" s="2957"/>
      <c r="N238" s="2957"/>
      <c r="O238" s="2957"/>
      <c r="P238" s="2957"/>
      <c r="Q238" s="2957"/>
      <c r="R238" s="2957"/>
      <c r="S238" s="2957"/>
      <c r="T238" s="2957"/>
      <c r="U238" s="2957"/>
      <c r="V238" s="2957"/>
      <c r="W238" s="2957"/>
      <c r="X238" s="2957"/>
      <c r="Y238" s="2957"/>
      <c r="Z238" s="2957"/>
      <c r="AA238" s="295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956" t="s">
        <v>648</v>
      </c>
      <c r="I240" s="295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754">
        <f>VLOOKUP($H$240,$AO$183:$AP$185,2,FALSE)</f>
        <v>3</v>
      </c>
      <c r="AK242" s="2756"/>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957" t="s">
        <v>357</v>
      </c>
      <c r="F246" s="2957"/>
      <c r="G246" s="2957"/>
      <c r="H246" s="2957"/>
      <c r="I246" s="2957"/>
      <c r="J246" s="2957"/>
      <c r="K246" s="2957"/>
      <c r="L246" s="2957"/>
      <c r="M246" s="2957"/>
      <c r="N246" s="2957"/>
      <c r="O246" s="2957"/>
      <c r="P246" s="2957"/>
      <c r="Q246" s="2957"/>
      <c r="R246" s="2957"/>
      <c r="S246" s="2957"/>
      <c r="T246" s="2957"/>
      <c r="U246" s="2957"/>
      <c r="V246" s="2957"/>
      <c r="W246" s="2957"/>
      <c r="X246" s="2957"/>
      <c r="Y246" s="2957"/>
      <c r="Z246" s="2957"/>
      <c r="AA246" s="2957"/>
      <c r="AB246" s="2957"/>
      <c r="AC246" s="46"/>
      <c r="AD246" s="46"/>
      <c r="AF246" s="2939" t="s">
        <v>113</v>
      </c>
      <c r="AG246" s="2939"/>
      <c r="AH246" s="2939"/>
      <c r="AI246" s="2939"/>
      <c r="AJ246" s="2939"/>
      <c r="AK246" s="2939"/>
      <c r="AL246" s="2939"/>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957"/>
      <c r="F247" s="2957"/>
      <c r="G247" s="2957"/>
      <c r="H247" s="2957"/>
      <c r="I247" s="2957"/>
      <c r="J247" s="2957"/>
      <c r="K247" s="2957"/>
      <c r="L247" s="2957"/>
      <c r="M247" s="2957"/>
      <c r="N247" s="2957"/>
      <c r="O247" s="2957"/>
      <c r="P247" s="2957"/>
      <c r="Q247" s="2957"/>
      <c r="R247" s="2957"/>
      <c r="S247" s="2957"/>
      <c r="T247" s="2957"/>
      <c r="U247" s="2957"/>
      <c r="V247" s="2957"/>
      <c r="W247" s="2957"/>
      <c r="X247" s="2957"/>
      <c r="Y247" s="2957"/>
      <c r="Z247" s="2957"/>
      <c r="AA247" s="2957"/>
      <c r="AB247" s="295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957" t="s">
        <v>1417</v>
      </c>
      <c r="F249" s="2957"/>
      <c r="G249" s="2957"/>
      <c r="H249" s="2957"/>
      <c r="I249" s="2957"/>
      <c r="J249" s="2957"/>
      <c r="K249" s="2957"/>
      <c r="L249" s="2957"/>
      <c r="M249" s="2957"/>
      <c r="N249" s="2957"/>
      <c r="O249" s="2957"/>
      <c r="P249" s="2957"/>
      <c r="Q249" s="2957"/>
      <c r="R249" s="2957"/>
      <c r="S249" s="2957"/>
      <c r="T249" s="2957"/>
      <c r="U249" s="2957"/>
      <c r="V249" s="2957"/>
      <c r="W249" s="2957"/>
      <c r="X249" s="2957"/>
      <c r="Y249" s="2957"/>
      <c r="Z249" s="2957"/>
      <c r="AA249" s="2957"/>
      <c r="AB249" s="2957"/>
      <c r="AC249" s="46"/>
      <c r="AD249" s="46"/>
      <c r="AF249" s="2939" t="s">
        <v>358</v>
      </c>
      <c r="AG249" s="2939"/>
      <c r="AH249" s="2939"/>
      <c r="AI249" s="2939"/>
      <c r="AJ249" s="2939"/>
      <c r="AK249" s="2939"/>
      <c r="AL249" s="2939"/>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957"/>
      <c r="F250" s="2957"/>
      <c r="G250" s="2957"/>
      <c r="H250" s="2957"/>
      <c r="I250" s="2957"/>
      <c r="J250" s="2957"/>
      <c r="K250" s="2957"/>
      <c r="L250" s="2957"/>
      <c r="M250" s="2957"/>
      <c r="N250" s="2957"/>
      <c r="O250" s="2957"/>
      <c r="P250" s="2957"/>
      <c r="Q250" s="2957"/>
      <c r="R250" s="2957"/>
      <c r="S250" s="2957"/>
      <c r="T250" s="2957"/>
      <c r="U250" s="2957"/>
      <c r="V250" s="2957"/>
      <c r="W250" s="2957"/>
      <c r="X250" s="2957"/>
      <c r="Y250" s="2957"/>
      <c r="Z250" s="2957"/>
      <c r="AA250" s="2957"/>
      <c r="AB250" s="295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956" t="s">
        <v>648</v>
      </c>
      <c r="I252" s="295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754">
        <f>VLOOKUP($H$252,$AO$196:$AP$198,2,FALSE)</f>
        <v>2</v>
      </c>
      <c r="AK254" s="2756"/>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957" t="s">
        <v>1702</v>
      </c>
      <c r="F258" s="2957"/>
      <c r="G258" s="2957"/>
      <c r="H258" s="2957"/>
      <c r="I258" s="2957"/>
      <c r="J258" s="2957"/>
      <c r="K258" s="2957"/>
      <c r="L258" s="2957"/>
      <c r="M258" s="2957"/>
      <c r="N258" s="2957"/>
      <c r="O258" s="2957"/>
      <c r="P258" s="2957"/>
      <c r="Q258" s="2957"/>
      <c r="R258" s="2957"/>
      <c r="S258" s="2957"/>
      <c r="T258" s="2957"/>
      <c r="U258" s="2957"/>
      <c r="V258" s="2957"/>
      <c r="W258" s="2957"/>
      <c r="X258" s="2957"/>
      <c r="Y258" s="2957"/>
      <c r="Z258" s="2957"/>
      <c r="AA258" s="2957"/>
      <c r="AB258" s="2957"/>
      <c r="AC258" s="2957"/>
      <c r="AD258" s="2957"/>
      <c r="AF258" s="2939" t="s">
        <v>113</v>
      </c>
      <c r="AG258" s="2939"/>
      <c r="AH258" s="2939"/>
      <c r="AI258" s="2939"/>
      <c r="AJ258" s="2939"/>
      <c r="AK258" s="2939"/>
      <c r="AL258" s="2939"/>
      <c r="AM258" s="187"/>
      <c r="AN258" s="331"/>
    </row>
    <row r="259" spans="1:82" s="16" customFormat="1">
      <c r="A259" s="28"/>
      <c r="B259" s="185"/>
      <c r="C259" s="230"/>
      <c r="D259" s="156"/>
      <c r="E259" s="2957"/>
      <c r="F259" s="2957"/>
      <c r="G259" s="2957"/>
      <c r="H259" s="2957"/>
      <c r="I259" s="2957"/>
      <c r="J259" s="2957"/>
      <c r="K259" s="2957"/>
      <c r="L259" s="2957"/>
      <c r="M259" s="2957"/>
      <c r="N259" s="2957"/>
      <c r="O259" s="2957"/>
      <c r="P259" s="2957"/>
      <c r="Q259" s="2957"/>
      <c r="R259" s="2957"/>
      <c r="S259" s="2957"/>
      <c r="T259" s="2957"/>
      <c r="U259" s="2957"/>
      <c r="V259" s="2957"/>
      <c r="W259" s="2957"/>
      <c r="X259" s="2957"/>
      <c r="Y259" s="2957"/>
      <c r="Z259" s="2957"/>
      <c r="AA259" s="2957"/>
      <c r="AB259" s="2957"/>
      <c r="AC259" s="2957"/>
      <c r="AD259" s="295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957"/>
      <c r="F260" s="2957"/>
      <c r="G260" s="2957"/>
      <c r="H260" s="2957"/>
      <c r="I260" s="2957"/>
      <c r="J260" s="2957"/>
      <c r="K260" s="2957"/>
      <c r="L260" s="2957"/>
      <c r="M260" s="2957"/>
      <c r="N260" s="2957"/>
      <c r="O260" s="2957"/>
      <c r="P260" s="2957"/>
      <c r="Q260" s="2957"/>
      <c r="R260" s="2957"/>
      <c r="S260" s="2957"/>
      <c r="T260" s="2957"/>
      <c r="U260" s="2957"/>
      <c r="V260" s="2957"/>
      <c r="W260" s="2957"/>
      <c r="X260" s="2957"/>
      <c r="Y260" s="2957"/>
      <c r="Z260" s="2957"/>
      <c r="AA260" s="2957"/>
      <c r="AB260" s="2957"/>
      <c r="AC260" s="2957"/>
      <c r="AD260" s="295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3162" t="s">
        <v>1705</v>
      </c>
      <c r="F262" s="3162"/>
      <c r="G262" s="3162"/>
      <c r="H262" s="3162"/>
      <c r="I262" s="3162"/>
      <c r="J262" s="3162"/>
      <c r="K262" s="3162"/>
      <c r="L262" s="3162"/>
      <c r="M262" s="3162"/>
      <c r="N262" s="3162"/>
      <c r="O262" s="3162"/>
      <c r="P262" s="3162"/>
      <c r="Q262" s="3162"/>
      <c r="R262" s="3162"/>
      <c r="S262" s="3162"/>
      <c r="T262" s="3162"/>
      <c r="U262" s="3162"/>
      <c r="V262" s="3162"/>
      <c r="W262" s="3162"/>
      <c r="X262" s="3162"/>
      <c r="Y262" s="3162"/>
      <c r="Z262" s="3162"/>
      <c r="AA262" s="3162"/>
      <c r="AB262" s="3162"/>
      <c r="AC262" s="3162"/>
      <c r="AD262" s="3162"/>
      <c r="AF262" s="2939" t="s">
        <v>65</v>
      </c>
      <c r="AG262" s="2939"/>
      <c r="AH262" s="2939"/>
      <c r="AI262" s="2939"/>
      <c r="AJ262" s="2939"/>
      <c r="AK262" s="2939"/>
      <c r="AL262" s="2939"/>
      <c r="AM262" s="187"/>
      <c r="AN262" s="457"/>
    </row>
    <row r="263" spans="1:82" s="46" customFormat="1" ht="12.75" customHeight="1">
      <c r="A263" s="28"/>
      <c r="B263" s="185"/>
      <c r="C263" s="230"/>
      <c r="D263" s="156"/>
      <c r="E263" s="3162"/>
      <c r="F263" s="3162"/>
      <c r="G263" s="3162"/>
      <c r="H263" s="3162"/>
      <c r="I263" s="3162"/>
      <c r="J263" s="3162"/>
      <c r="K263" s="3162"/>
      <c r="L263" s="3162"/>
      <c r="M263" s="3162"/>
      <c r="N263" s="3162"/>
      <c r="O263" s="3162"/>
      <c r="P263" s="3162"/>
      <c r="Q263" s="3162"/>
      <c r="R263" s="3162"/>
      <c r="S263" s="3162"/>
      <c r="T263" s="3162"/>
      <c r="U263" s="3162"/>
      <c r="V263" s="3162"/>
      <c r="W263" s="3162"/>
      <c r="X263" s="3162"/>
      <c r="Y263" s="3162"/>
      <c r="Z263" s="3162"/>
      <c r="AA263" s="3162"/>
      <c r="AB263" s="3162"/>
      <c r="AC263" s="3162"/>
      <c r="AD263" s="3162"/>
      <c r="AE263" s="191"/>
      <c r="AF263" s="191"/>
      <c r="AG263" s="191"/>
      <c r="AH263" s="191"/>
      <c r="AI263" s="191"/>
      <c r="AJ263" s="191"/>
      <c r="AK263" s="191"/>
      <c r="AL263" s="1361"/>
      <c r="AM263" s="187"/>
      <c r="AN263" s="457"/>
    </row>
    <row r="264" spans="1:82" s="46" customFormat="1" ht="12.75" customHeight="1">
      <c r="A264" s="28"/>
      <c r="B264" s="185"/>
      <c r="C264" s="230"/>
      <c r="D264" s="156"/>
      <c r="E264" s="3162"/>
      <c r="F264" s="3162"/>
      <c r="G264" s="3162"/>
      <c r="H264" s="3162"/>
      <c r="I264" s="3162"/>
      <c r="J264" s="3162"/>
      <c r="K264" s="3162"/>
      <c r="L264" s="3162"/>
      <c r="M264" s="3162"/>
      <c r="N264" s="3162"/>
      <c r="O264" s="3162"/>
      <c r="P264" s="3162"/>
      <c r="Q264" s="3162"/>
      <c r="R264" s="3162"/>
      <c r="S264" s="3162"/>
      <c r="T264" s="3162"/>
      <c r="U264" s="3162"/>
      <c r="V264" s="3162"/>
      <c r="W264" s="3162"/>
      <c r="X264" s="3162"/>
      <c r="Y264" s="3162"/>
      <c r="Z264" s="3162"/>
      <c r="AA264" s="3162"/>
      <c r="AB264" s="3162"/>
      <c r="AC264" s="3162"/>
      <c r="AD264" s="3162"/>
      <c r="AE264" s="191"/>
      <c r="AF264" s="191"/>
      <c r="AG264" s="191"/>
      <c r="AH264" s="191"/>
      <c r="AI264" s="191"/>
      <c r="AJ264" s="191"/>
      <c r="AK264" s="191"/>
      <c r="AL264" s="1361"/>
      <c r="AM264" s="187"/>
      <c r="AN264" s="457"/>
    </row>
    <row r="265" spans="1:82" s="46" customFormat="1" ht="12.75" customHeight="1">
      <c r="A265" s="28"/>
      <c r="B265" s="185"/>
      <c r="C265" s="230"/>
      <c r="D265" s="156"/>
      <c r="E265" s="3162"/>
      <c r="F265" s="3162"/>
      <c r="G265" s="3162"/>
      <c r="H265" s="3162"/>
      <c r="I265" s="3162"/>
      <c r="J265" s="3162"/>
      <c r="K265" s="3162"/>
      <c r="L265" s="3162"/>
      <c r="M265" s="3162"/>
      <c r="N265" s="3162"/>
      <c r="O265" s="3162"/>
      <c r="P265" s="3162"/>
      <c r="Q265" s="3162"/>
      <c r="R265" s="3162"/>
      <c r="S265" s="3162"/>
      <c r="T265" s="3162"/>
      <c r="U265" s="3162"/>
      <c r="V265" s="3162"/>
      <c r="W265" s="3162"/>
      <c r="X265" s="3162"/>
      <c r="Y265" s="3162"/>
      <c r="Z265" s="3162"/>
      <c r="AA265" s="3162"/>
      <c r="AB265" s="3162"/>
      <c r="AC265" s="3162"/>
      <c r="AD265" s="316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956" t="s">
        <v>135</v>
      </c>
      <c r="I267" s="295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754">
        <f>VLOOKUP($H$267,$AP$212:$AQ$214,2,FALSE)</f>
        <v>0</v>
      </c>
      <c r="AK269" s="2756"/>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957" t="s">
        <v>1881</v>
      </c>
      <c r="F273" s="2957"/>
      <c r="G273" s="2957"/>
      <c r="H273" s="2957"/>
      <c r="I273" s="2957"/>
      <c r="J273" s="2957"/>
      <c r="K273" s="2957"/>
      <c r="L273" s="2957"/>
      <c r="M273" s="2957"/>
      <c r="N273" s="2957"/>
      <c r="O273" s="2957"/>
      <c r="P273" s="2957"/>
      <c r="Q273" s="2957"/>
      <c r="R273" s="2957"/>
      <c r="S273" s="2957"/>
      <c r="T273" s="2957"/>
      <c r="U273" s="2957"/>
      <c r="V273" s="2957"/>
      <c r="W273" s="2957"/>
      <c r="X273" s="2957"/>
      <c r="Y273" s="2957"/>
      <c r="Z273" s="2957"/>
      <c r="AA273" s="2957"/>
      <c r="AB273" s="2957"/>
      <c r="AC273" s="2957"/>
      <c r="AD273" s="2957"/>
      <c r="AF273" s="2939" t="s">
        <v>1882</v>
      </c>
      <c r="AG273" s="2939"/>
      <c r="AH273" s="2939"/>
      <c r="AI273" s="2939"/>
      <c r="AJ273" s="2939"/>
      <c r="AK273" s="2939"/>
      <c r="AL273" s="2939"/>
      <c r="AM273" s="187"/>
      <c r="AN273" s="331"/>
      <c r="AO273" s="156" t="s">
        <v>118</v>
      </c>
      <c r="AP273" s="46">
        <v>8</v>
      </c>
      <c r="AT273" s="1080"/>
      <c r="AU273" s="1080"/>
      <c r="AV273" s="1080"/>
      <c r="AW273" s="1080"/>
      <c r="AX273" s="1080"/>
      <c r="AY273" s="1080"/>
      <c r="AZ273" s="1080"/>
    </row>
    <row r="274" spans="1:82" s="16" customFormat="1">
      <c r="A274" s="28"/>
      <c r="B274" s="185"/>
      <c r="C274" s="230"/>
      <c r="D274" s="156"/>
      <c r="E274" s="2957"/>
      <c r="F274" s="2957"/>
      <c r="G274" s="2957"/>
      <c r="H274" s="2957"/>
      <c r="I274" s="2957"/>
      <c r="J274" s="2957"/>
      <c r="K274" s="2957"/>
      <c r="L274" s="2957"/>
      <c r="M274" s="2957"/>
      <c r="N274" s="2957"/>
      <c r="O274" s="2957"/>
      <c r="P274" s="2957"/>
      <c r="Q274" s="2957"/>
      <c r="R274" s="2957"/>
      <c r="S274" s="2957"/>
      <c r="T274" s="2957"/>
      <c r="U274" s="2957"/>
      <c r="V274" s="2957"/>
      <c r="W274" s="2957"/>
      <c r="X274" s="2957"/>
      <c r="Y274" s="2957"/>
      <c r="Z274" s="2957"/>
      <c r="AA274" s="2957"/>
      <c r="AB274" s="2957"/>
      <c r="AC274" s="2957"/>
      <c r="AD274" s="295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957"/>
      <c r="F275" s="2957"/>
      <c r="G275" s="2957"/>
      <c r="H275" s="2957"/>
      <c r="I275" s="2957"/>
      <c r="J275" s="2957"/>
      <c r="K275" s="2957"/>
      <c r="L275" s="2957"/>
      <c r="M275" s="2957"/>
      <c r="N275" s="2957"/>
      <c r="O275" s="2957"/>
      <c r="P275" s="2957"/>
      <c r="Q275" s="2957"/>
      <c r="R275" s="2957"/>
      <c r="S275" s="2957"/>
      <c r="T275" s="2957"/>
      <c r="U275" s="2957"/>
      <c r="V275" s="2957"/>
      <c r="W275" s="2957"/>
      <c r="X275" s="2957"/>
      <c r="Y275" s="2957"/>
      <c r="Z275" s="2957"/>
      <c r="AA275" s="2957"/>
      <c r="AB275" s="2957"/>
      <c r="AC275" s="2957"/>
      <c r="AD275" s="295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956" t="s">
        <v>135</v>
      </c>
      <c r="I277" s="295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754">
        <f>VLOOKUP($H$277,$AO$272:$AP$273,2,FALSE)</f>
        <v>0</v>
      </c>
      <c r="AK279" s="2756"/>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754">
        <f>$AJ$129+$AJ$144+$AJ$156+$AJ$189+$AJ$204+$AJ$216+$AJ$228+$AJ$242+$AJ$254+$AJ$269+AJ279</f>
        <v>23</v>
      </c>
      <c r="AL281" s="2755"/>
      <c r="AM281" s="2756"/>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2312" t="s">
        <v>2712</v>
      </c>
      <c r="I285" s="2312"/>
      <c r="J285" s="2312"/>
      <c r="K285" s="2312"/>
      <c r="L285" s="2312"/>
      <c r="M285" s="2312"/>
      <c r="N285" s="2312"/>
      <c r="O285" s="2312"/>
      <c r="P285" s="2312"/>
      <c r="Q285" s="2312"/>
      <c r="R285" s="2312"/>
      <c r="S285" s="16"/>
      <c r="T285" s="72" t="s">
        <v>99</v>
      </c>
      <c r="U285" s="16"/>
      <c r="V285" s="72"/>
      <c r="W285" s="72"/>
      <c r="X285" s="72"/>
      <c r="Y285" s="72"/>
      <c r="Z285" s="16"/>
      <c r="AA285" s="2312" t="s">
        <v>2717</v>
      </c>
      <c r="AB285" s="2312"/>
      <c r="AC285" s="2312"/>
      <c r="AD285" s="2312"/>
      <c r="AE285" s="2312"/>
      <c r="AF285" s="2312"/>
      <c r="AG285" s="2312"/>
      <c r="AH285" s="2312"/>
      <c r="AI285" s="2312"/>
      <c r="AJ285" s="2312"/>
      <c r="AK285" s="2312"/>
      <c r="AL285" s="25"/>
      <c r="AM285" s="149"/>
      <c r="AN285" s="457"/>
    </row>
    <row r="286" spans="1:82" s="46" customFormat="1" ht="12.75" customHeight="1">
      <c r="A286" s="165"/>
      <c r="B286" s="72" t="s">
        <v>772</v>
      </c>
      <c r="C286" s="72"/>
      <c r="D286" s="72"/>
      <c r="E286" s="72"/>
      <c r="F286" s="72"/>
      <c r="G286" s="16"/>
      <c r="H286" s="2436" t="s">
        <v>2713</v>
      </c>
      <c r="I286" s="2436"/>
      <c r="J286" s="2436"/>
      <c r="K286" s="2436"/>
      <c r="L286" s="2436"/>
      <c r="M286" s="2436"/>
      <c r="N286" s="2436"/>
      <c r="O286" s="2436"/>
      <c r="P286" s="2436"/>
      <c r="Q286" s="2436"/>
      <c r="R286" s="2436"/>
      <c r="S286" s="16"/>
      <c r="T286" s="72" t="s">
        <v>772</v>
      </c>
      <c r="U286" s="16"/>
      <c r="V286" s="72"/>
      <c r="W286" s="72"/>
      <c r="X286" s="72"/>
      <c r="Y286" s="72"/>
      <c r="Z286" s="16"/>
      <c r="AA286" s="2436" t="s">
        <v>2719</v>
      </c>
      <c r="AB286" s="2436"/>
      <c r="AC286" s="2436"/>
      <c r="AD286" s="2436"/>
      <c r="AE286" s="2436"/>
      <c r="AF286" s="2436"/>
      <c r="AG286" s="2436"/>
      <c r="AH286" s="2436"/>
      <c r="AI286" s="2436"/>
      <c r="AJ286" s="2436"/>
      <c r="AK286" s="2436"/>
      <c r="AL286" s="25"/>
      <c r="AM286" s="149"/>
      <c r="AN286" s="457"/>
    </row>
    <row r="287" spans="1:82" s="46" customFormat="1" ht="12.75" customHeight="1">
      <c r="A287" s="165"/>
      <c r="B287" s="72" t="s">
        <v>109</v>
      </c>
      <c r="C287" s="72"/>
      <c r="D287" s="72"/>
      <c r="E287" s="72"/>
      <c r="F287" s="72"/>
      <c r="G287" s="16"/>
      <c r="H287" s="2436" t="s">
        <v>2714</v>
      </c>
      <c r="I287" s="2436"/>
      <c r="J287" s="2436"/>
      <c r="K287" s="2436"/>
      <c r="L287" s="2436"/>
      <c r="M287" s="2436"/>
      <c r="N287" s="2436"/>
      <c r="O287" s="2436"/>
      <c r="P287" s="2436"/>
      <c r="Q287" s="2436"/>
      <c r="R287" s="2436"/>
      <c r="S287" s="16"/>
      <c r="T287" s="72" t="s">
        <v>109</v>
      </c>
      <c r="U287" s="16"/>
      <c r="V287" s="72"/>
      <c r="W287" s="72"/>
      <c r="X287" s="72"/>
      <c r="Y287" s="72"/>
      <c r="Z287" s="16"/>
      <c r="AA287" s="2436" t="s">
        <v>2720</v>
      </c>
      <c r="AB287" s="2436"/>
      <c r="AC287" s="2436"/>
      <c r="AD287" s="2436"/>
      <c r="AE287" s="2436"/>
      <c r="AF287" s="2436"/>
      <c r="AG287" s="2436"/>
      <c r="AH287" s="2436"/>
      <c r="AI287" s="2436"/>
      <c r="AJ287" s="2436"/>
      <c r="AK287" s="2436"/>
      <c r="AL287" s="25"/>
      <c r="AM287" s="149"/>
      <c r="AN287" s="457"/>
      <c r="AO287" s="345"/>
    </row>
    <row r="288" spans="1:82" s="46" customFormat="1" ht="12.75" customHeight="1">
      <c r="A288" s="165"/>
      <c r="B288" s="72" t="s">
        <v>423</v>
      </c>
      <c r="C288" s="72"/>
      <c r="D288" s="72"/>
      <c r="E288" s="72"/>
      <c r="F288" s="72"/>
      <c r="G288" s="16"/>
      <c r="H288" s="2436" t="s">
        <v>2741</v>
      </c>
      <c r="I288" s="2436"/>
      <c r="J288" s="2436"/>
      <c r="K288" s="2436"/>
      <c r="L288" s="2436"/>
      <c r="M288" s="2436"/>
      <c r="N288" s="2436"/>
      <c r="O288" s="2436"/>
      <c r="P288" s="2436"/>
      <c r="Q288" s="2436"/>
      <c r="R288" s="2436"/>
      <c r="S288" s="16"/>
      <c r="T288" s="72" t="s">
        <v>423</v>
      </c>
      <c r="U288" s="16"/>
      <c r="V288" s="72"/>
      <c r="W288" s="72"/>
      <c r="X288" s="72"/>
      <c r="Y288" s="72"/>
      <c r="Z288" s="16"/>
      <c r="AA288" s="2436" t="s">
        <v>2742</v>
      </c>
      <c r="AB288" s="2436"/>
      <c r="AC288" s="2436"/>
      <c r="AD288" s="2436"/>
      <c r="AE288" s="2436"/>
      <c r="AF288" s="2436"/>
      <c r="AG288" s="2436"/>
      <c r="AH288" s="2436"/>
      <c r="AI288" s="2436"/>
      <c r="AJ288" s="2436"/>
      <c r="AK288" s="2436"/>
      <c r="AL288" s="25"/>
      <c r="AM288" s="149"/>
      <c r="AN288" s="457"/>
      <c r="AO288" s="345"/>
    </row>
    <row r="289" spans="1:41" s="46" customFormat="1" ht="12.75" customHeight="1">
      <c r="A289" s="165"/>
      <c r="B289" s="72" t="s">
        <v>424</v>
      </c>
      <c r="C289" s="72"/>
      <c r="D289" s="72"/>
      <c r="E289" s="72"/>
      <c r="F289" s="72"/>
      <c r="G289" s="72"/>
      <c r="H289" s="2304" t="s">
        <v>2716</v>
      </c>
      <c r="I289" s="2308"/>
      <c r="J289" s="2308"/>
      <c r="K289" s="2308"/>
      <c r="L289" s="2308"/>
      <c r="M289" s="2308"/>
      <c r="N289" s="8" t="s">
        <v>907</v>
      </c>
      <c r="O289" s="8"/>
      <c r="P289" s="2310"/>
      <c r="Q289" s="2310"/>
      <c r="R289" s="2310"/>
      <c r="S289" s="72"/>
      <c r="T289" s="72" t="s">
        <v>424</v>
      </c>
      <c r="U289" s="16"/>
      <c r="V289" s="72"/>
      <c r="W289" s="72"/>
      <c r="X289" s="72"/>
      <c r="Y289" s="72"/>
      <c r="Z289" s="16"/>
      <c r="AA289" s="2304" t="s">
        <v>2721</v>
      </c>
      <c r="AB289" s="2308"/>
      <c r="AC289" s="2308"/>
      <c r="AD289" s="2308"/>
      <c r="AE289" s="2308"/>
      <c r="AF289" s="2308"/>
      <c r="AG289" s="8" t="s">
        <v>907</v>
      </c>
      <c r="AH289" s="8"/>
      <c r="AI289" s="2310"/>
      <c r="AJ289" s="2310"/>
      <c r="AK289" s="2310"/>
      <c r="AL289" s="25"/>
      <c r="AM289" s="149"/>
      <c r="AN289" s="457"/>
      <c r="AO289" s="345"/>
    </row>
    <row r="290" spans="1:41" s="46" customFormat="1" ht="12.75" customHeight="1">
      <c r="A290" s="165"/>
      <c r="B290" s="72" t="s">
        <v>98</v>
      </c>
      <c r="C290" s="72"/>
      <c r="D290" s="72"/>
      <c r="E290" s="72"/>
      <c r="F290" s="72"/>
      <c r="G290" s="72"/>
      <c r="H290" s="2436" t="s">
        <v>101</v>
      </c>
      <c r="I290" s="2436"/>
      <c r="J290" s="2436"/>
      <c r="K290" s="2436"/>
      <c r="L290" s="2436"/>
      <c r="M290" s="2436"/>
      <c r="N290" s="2436"/>
      <c r="O290" s="2436"/>
      <c r="P290" s="2436"/>
      <c r="Q290" s="2436"/>
      <c r="R290" s="2436"/>
      <c r="S290" s="72"/>
      <c r="T290" s="72" t="s">
        <v>98</v>
      </c>
      <c r="U290" s="16"/>
      <c r="V290" s="72"/>
      <c r="W290" s="72"/>
      <c r="X290" s="72"/>
      <c r="Y290" s="72"/>
      <c r="Z290" s="16"/>
      <c r="AA290" s="2436" t="s">
        <v>102</v>
      </c>
      <c r="AB290" s="2436"/>
      <c r="AC290" s="2436"/>
      <c r="AD290" s="2436"/>
      <c r="AE290" s="2436"/>
      <c r="AF290" s="2436"/>
      <c r="AG290" s="2436"/>
      <c r="AH290" s="2436"/>
      <c r="AI290" s="2436"/>
      <c r="AJ290" s="2436"/>
      <c r="AK290" s="2436"/>
      <c r="AL290" s="25"/>
      <c r="AM290" s="149"/>
      <c r="AN290" s="457"/>
      <c r="AO290" s="345"/>
    </row>
    <row r="291" spans="1:41" s="46" customFormat="1" ht="12.75" customHeight="1">
      <c r="A291" s="165"/>
      <c r="B291" s="72" t="s">
        <v>100</v>
      </c>
      <c r="C291" s="72"/>
      <c r="D291" s="72"/>
      <c r="E291" s="72"/>
      <c r="F291" s="72"/>
      <c r="G291" s="72"/>
      <c r="H291" s="2436" t="s">
        <v>2715</v>
      </c>
      <c r="I291" s="2436"/>
      <c r="J291" s="2436"/>
      <c r="K291" s="2436"/>
      <c r="L291" s="2436"/>
      <c r="M291" s="2436"/>
      <c r="N291" s="2436"/>
      <c r="O291" s="2436"/>
      <c r="P291" s="2436"/>
      <c r="Q291" s="2436"/>
      <c r="R291" s="2436"/>
      <c r="S291" s="72"/>
      <c r="T291" s="72" t="s">
        <v>100</v>
      </c>
      <c r="U291" s="16"/>
      <c r="V291" s="72"/>
      <c r="W291" s="72"/>
      <c r="X291" s="72"/>
      <c r="Y291" s="72"/>
      <c r="Z291" s="16"/>
      <c r="AA291" s="2436" t="s">
        <v>2718</v>
      </c>
      <c r="AB291" s="2436"/>
      <c r="AC291" s="2436"/>
      <c r="AD291" s="2436"/>
      <c r="AE291" s="2436"/>
      <c r="AF291" s="2436"/>
      <c r="AG291" s="2436"/>
      <c r="AH291" s="2436"/>
      <c r="AI291" s="2436"/>
      <c r="AJ291" s="2436"/>
      <c r="AK291" s="2436"/>
      <c r="AL291" s="25"/>
      <c r="AM291" s="149"/>
      <c r="AN291" s="457"/>
    </row>
    <row r="292" spans="1:41" s="149" customFormat="1" ht="12.75" customHeight="1">
      <c r="A292" s="165"/>
      <c r="B292" s="72" t="s">
        <v>111</v>
      </c>
      <c r="C292" s="72"/>
      <c r="D292" s="72"/>
      <c r="E292" s="72"/>
      <c r="F292" s="72"/>
      <c r="G292" s="72"/>
      <c r="H292" s="2982">
        <v>0.04</v>
      </c>
      <c r="I292" s="2982"/>
      <c r="J292" s="2982"/>
      <c r="K292" s="2982"/>
      <c r="L292" s="2982"/>
      <c r="M292" s="2982"/>
      <c r="N292" s="2982"/>
      <c r="O292" s="2982"/>
      <c r="P292" s="2982"/>
      <c r="Q292" s="2982"/>
      <c r="R292" s="2982"/>
      <c r="S292" s="72"/>
      <c r="T292" s="72" t="s">
        <v>111</v>
      </c>
      <c r="U292" s="72"/>
      <c r="V292" s="72"/>
      <c r="W292" s="72"/>
      <c r="X292" s="72"/>
      <c r="Y292" s="72"/>
      <c r="Z292" s="18"/>
      <c r="AA292" s="2982">
        <v>0.01</v>
      </c>
      <c r="AB292" s="2982"/>
      <c r="AC292" s="2982"/>
      <c r="AD292" s="2982"/>
      <c r="AE292" s="2982"/>
      <c r="AF292" s="2982"/>
      <c r="AG292" s="2982"/>
      <c r="AH292" s="2982"/>
      <c r="AI292" s="2982"/>
      <c r="AJ292" s="2982"/>
      <c r="AK292" s="298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2312" t="s">
        <v>2722</v>
      </c>
      <c r="I294" s="2312"/>
      <c r="J294" s="2312"/>
      <c r="K294" s="2312"/>
      <c r="L294" s="2312"/>
      <c r="M294" s="2312"/>
      <c r="N294" s="2312"/>
      <c r="O294" s="2312"/>
      <c r="P294" s="2312"/>
      <c r="Q294" s="2312"/>
      <c r="R294" s="2312"/>
      <c r="S294" s="16"/>
      <c r="T294" s="72" t="s">
        <v>99</v>
      </c>
      <c r="U294" s="16"/>
      <c r="V294" s="72"/>
      <c r="W294" s="72"/>
      <c r="X294" s="72"/>
      <c r="Y294" s="72"/>
      <c r="Z294" s="16"/>
      <c r="AA294" s="2312" t="s">
        <v>2726</v>
      </c>
      <c r="AB294" s="2312"/>
      <c r="AC294" s="2312"/>
      <c r="AD294" s="2312"/>
      <c r="AE294" s="2312"/>
      <c r="AF294" s="2312"/>
      <c r="AG294" s="2312"/>
      <c r="AH294" s="2312"/>
      <c r="AI294" s="2312"/>
      <c r="AJ294" s="2312"/>
      <c r="AK294" s="2312"/>
      <c r="AL294" s="25"/>
      <c r="AM294" s="149"/>
      <c r="AN294" s="457"/>
    </row>
    <row r="295" spans="1:41" s="217" customFormat="1" ht="12.75" customHeight="1">
      <c r="A295" s="165"/>
      <c r="B295" s="72" t="s">
        <v>772</v>
      </c>
      <c r="C295" s="72"/>
      <c r="D295" s="72"/>
      <c r="E295" s="72"/>
      <c r="F295" s="72"/>
      <c r="G295" s="16"/>
      <c r="H295" s="2436" t="s">
        <v>2724</v>
      </c>
      <c r="I295" s="2436"/>
      <c r="J295" s="2436"/>
      <c r="K295" s="2436"/>
      <c r="L295" s="2436"/>
      <c r="M295" s="2436"/>
      <c r="N295" s="2436"/>
      <c r="O295" s="2436"/>
      <c r="P295" s="2436"/>
      <c r="Q295" s="2436"/>
      <c r="R295" s="2436"/>
      <c r="S295" s="16"/>
      <c r="T295" s="72" t="s">
        <v>772</v>
      </c>
      <c r="U295" s="16"/>
      <c r="V295" s="72"/>
      <c r="W295" s="72"/>
      <c r="X295" s="72"/>
      <c r="Y295" s="72"/>
      <c r="Z295" s="16"/>
      <c r="AA295" s="2436" t="s">
        <v>2728</v>
      </c>
      <c r="AB295" s="2436"/>
      <c r="AC295" s="2436"/>
      <c r="AD295" s="2436"/>
      <c r="AE295" s="2436"/>
      <c r="AF295" s="2436"/>
      <c r="AG295" s="2436"/>
      <c r="AH295" s="2436"/>
      <c r="AI295" s="2436"/>
      <c r="AJ295" s="2436"/>
      <c r="AK295" s="2436"/>
      <c r="AL295" s="25"/>
      <c r="AM295" s="149"/>
      <c r="AN295" s="457"/>
      <c r="AO295" s="46"/>
    </row>
    <row r="296" spans="1:41" s="217" customFormat="1" ht="12.75" customHeight="1">
      <c r="A296" s="165"/>
      <c r="B296" s="72" t="s">
        <v>109</v>
      </c>
      <c r="C296" s="72"/>
      <c r="D296" s="72"/>
      <c r="E296" s="72"/>
      <c r="F296" s="72"/>
      <c r="G296" s="16"/>
      <c r="H296" s="2436" t="s">
        <v>2720</v>
      </c>
      <c r="I296" s="2436"/>
      <c r="J296" s="2436"/>
      <c r="K296" s="2436"/>
      <c r="L296" s="2436"/>
      <c r="M296" s="2436"/>
      <c r="N296" s="2436"/>
      <c r="O296" s="2436"/>
      <c r="P296" s="2436"/>
      <c r="Q296" s="2436"/>
      <c r="R296" s="2436"/>
      <c r="S296" s="16"/>
      <c r="T296" s="72" t="s">
        <v>109</v>
      </c>
      <c r="U296" s="16"/>
      <c r="V296" s="72"/>
      <c r="W296" s="72"/>
      <c r="X296" s="72"/>
      <c r="Y296" s="72"/>
      <c r="Z296" s="16"/>
      <c r="AA296" s="2436" t="s">
        <v>2729</v>
      </c>
      <c r="AB296" s="2436"/>
      <c r="AC296" s="2436"/>
      <c r="AD296" s="2436"/>
      <c r="AE296" s="2436"/>
      <c r="AF296" s="2436"/>
      <c r="AG296" s="2436"/>
      <c r="AH296" s="2436"/>
      <c r="AI296" s="2436"/>
      <c r="AJ296" s="2436"/>
      <c r="AK296" s="2436"/>
      <c r="AL296" s="25"/>
      <c r="AM296" s="149"/>
      <c r="AN296" s="457"/>
      <c r="AO296" s="46"/>
    </row>
    <row r="297" spans="1:41" s="46" customFormat="1" ht="12.75" customHeight="1">
      <c r="A297" s="165"/>
      <c r="B297" s="72" t="s">
        <v>423</v>
      </c>
      <c r="C297" s="72"/>
      <c r="D297" s="72"/>
      <c r="E297" s="72"/>
      <c r="F297" s="72"/>
      <c r="G297" s="16"/>
      <c r="H297" s="2436" t="s">
        <v>2743</v>
      </c>
      <c r="I297" s="2436"/>
      <c r="J297" s="2436"/>
      <c r="K297" s="2436"/>
      <c r="L297" s="2436"/>
      <c r="M297" s="2436"/>
      <c r="N297" s="2436"/>
      <c r="O297" s="2436"/>
      <c r="P297" s="2436"/>
      <c r="Q297" s="2436"/>
      <c r="R297" s="2436"/>
      <c r="S297" s="16"/>
      <c r="T297" s="72" t="s">
        <v>423</v>
      </c>
      <c r="U297" s="16"/>
      <c r="V297" s="72"/>
      <c r="W297" s="72"/>
      <c r="X297" s="72"/>
      <c r="Y297" s="72"/>
      <c r="Z297" s="16"/>
      <c r="AA297" s="2436" t="s">
        <v>2744</v>
      </c>
      <c r="AB297" s="2436"/>
      <c r="AC297" s="2436"/>
      <c r="AD297" s="2436"/>
      <c r="AE297" s="2436"/>
      <c r="AF297" s="2436"/>
      <c r="AG297" s="2436"/>
      <c r="AH297" s="2436"/>
      <c r="AI297" s="2436"/>
      <c r="AJ297" s="2436"/>
      <c r="AK297" s="2436"/>
      <c r="AL297" s="25"/>
      <c r="AM297" s="149"/>
      <c r="AN297" s="457"/>
    </row>
    <row r="298" spans="1:41" s="46" customFormat="1" ht="12.75" customHeight="1">
      <c r="A298" s="165"/>
      <c r="B298" s="72" t="s">
        <v>424</v>
      </c>
      <c r="C298" s="72"/>
      <c r="D298" s="72"/>
      <c r="E298" s="72"/>
      <c r="F298" s="72"/>
      <c r="G298" s="72"/>
      <c r="H298" s="2304" t="s">
        <v>2725</v>
      </c>
      <c r="I298" s="2308"/>
      <c r="J298" s="2308"/>
      <c r="K298" s="2308"/>
      <c r="L298" s="2308"/>
      <c r="M298" s="2308"/>
      <c r="N298" s="8" t="s">
        <v>907</v>
      </c>
      <c r="O298" s="8"/>
      <c r="P298" s="2310"/>
      <c r="Q298" s="2310"/>
      <c r="R298" s="2310"/>
      <c r="S298" s="72"/>
      <c r="T298" s="72" t="s">
        <v>424</v>
      </c>
      <c r="U298" s="16"/>
      <c r="V298" s="72"/>
      <c r="W298" s="72"/>
      <c r="X298" s="72"/>
      <c r="Y298" s="72"/>
      <c r="Z298" s="16"/>
      <c r="AA298" s="2304" t="s">
        <v>2730</v>
      </c>
      <c r="AB298" s="2308"/>
      <c r="AC298" s="2308"/>
      <c r="AD298" s="2308"/>
      <c r="AE298" s="2308"/>
      <c r="AF298" s="2308"/>
      <c r="AG298" s="8" t="s">
        <v>907</v>
      </c>
      <c r="AH298" s="8"/>
      <c r="AI298" s="2310"/>
      <c r="AJ298" s="2310"/>
      <c r="AK298" s="2310"/>
      <c r="AL298" s="25"/>
      <c r="AM298" s="149"/>
      <c r="AN298" s="457"/>
    </row>
    <row r="299" spans="1:41" s="46" customFormat="1" ht="12.75" customHeight="1">
      <c r="A299" s="165"/>
      <c r="B299" s="72" t="s">
        <v>98</v>
      </c>
      <c r="C299" s="72"/>
      <c r="D299" s="72"/>
      <c r="E299" s="72"/>
      <c r="F299" s="72"/>
      <c r="G299" s="72"/>
      <c r="H299" s="2436" t="s">
        <v>103</v>
      </c>
      <c r="I299" s="2436"/>
      <c r="J299" s="2436"/>
      <c r="K299" s="2436"/>
      <c r="L299" s="2436"/>
      <c r="M299" s="2436"/>
      <c r="N299" s="2436"/>
      <c r="O299" s="2436"/>
      <c r="P299" s="2436"/>
      <c r="Q299" s="2436"/>
      <c r="R299" s="2436"/>
      <c r="S299" s="72"/>
      <c r="T299" s="72" t="s">
        <v>98</v>
      </c>
      <c r="U299" s="16"/>
      <c r="V299" s="72"/>
      <c r="W299" s="72"/>
      <c r="X299" s="72"/>
      <c r="Y299" s="72"/>
      <c r="Z299" s="16"/>
      <c r="AA299" s="2436" t="s">
        <v>105</v>
      </c>
      <c r="AB299" s="2436"/>
      <c r="AC299" s="2436"/>
      <c r="AD299" s="2436"/>
      <c r="AE299" s="2436"/>
      <c r="AF299" s="2436"/>
      <c r="AG299" s="2436"/>
      <c r="AH299" s="2436"/>
      <c r="AI299" s="2436"/>
      <c r="AJ299" s="2436"/>
      <c r="AK299" s="2436"/>
      <c r="AL299" s="25"/>
      <c r="AM299" s="149"/>
      <c r="AN299" s="457"/>
    </row>
    <row r="300" spans="1:41" s="46" customFormat="1" ht="12.75" customHeight="1">
      <c r="A300" s="165"/>
      <c r="B300" s="72" t="s">
        <v>100</v>
      </c>
      <c r="C300" s="72"/>
      <c r="D300" s="72"/>
      <c r="E300" s="72"/>
      <c r="F300" s="72"/>
      <c r="G300" s="72"/>
      <c r="H300" s="2436" t="s">
        <v>2723</v>
      </c>
      <c r="I300" s="2436"/>
      <c r="J300" s="2436"/>
      <c r="K300" s="2436"/>
      <c r="L300" s="2436"/>
      <c r="M300" s="2436"/>
      <c r="N300" s="2436"/>
      <c r="O300" s="2436"/>
      <c r="P300" s="2436"/>
      <c r="Q300" s="2436"/>
      <c r="R300" s="2436"/>
      <c r="S300" s="72"/>
      <c r="T300" s="72" t="s">
        <v>100</v>
      </c>
      <c r="U300" s="16"/>
      <c r="V300" s="72"/>
      <c r="W300" s="72"/>
      <c r="X300" s="72"/>
      <c r="Y300" s="72"/>
      <c r="Z300" s="16"/>
      <c r="AA300" s="2436" t="s">
        <v>2727</v>
      </c>
      <c r="AB300" s="2436"/>
      <c r="AC300" s="2436"/>
      <c r="AD300" s="2436"/>
      <c r="AE300" s="2436"/>
      <c r="AF300" s="2436"/>
      <c r="AG300" s="2436"/>
      <c r="AH300" s="2436"/>
      <c r="AI300" s="2436"/>
      <c r="AJ300" s="2436"/>
      <c r="AK300" s="2436"/>
      <c r="AL300" s="25"/>
      <c r="AM300" s="149"/>
      <c r="AN300" s="457"/>
    </row>
    <row r="301" spans="1:41" s="46" customFormat="1" ht="12.75" customHeight="1">
      <c r="A301" s="165"/>
      <c r="B301" s="72" t="s">
        <v>111</v>
      </c>
      <c r="C301" s="72"/>
      <c r="D301" s="72"/>
      <c r="E301" s="72"/>
      <c r="F301" s="72"/>
      <c r="G301" s="72"/>
      <c r="H301" s="2982">
        <v>0.53</v>
      </c>
      <c r="I301" s="2982"/>
      <c r="J301" s="2982"/>
      <c r="K301" s="2982"/>
      <c r="L301" s="2982"/>
      <c r="M301" s="2982"/>
      <c r="N301" s="2982"/>
      <c r="O301" s="2982"/>
      <c r="P301" s="2982"/>
      <c r="Q301" s="2982"/>
      <c r="R301" s="2982"/>
      <c r="S301" s="72"/>
      <c r="T301" s="72" t="s">
        <v>111</v>
      </c>
      <c r="U301" s="72"/>
      <c r="V301" s="72"/>
      <c r="W301" s="72"/>
      <c r="X301" s="72"/>
      <c r="Y301" s="72"/>
      <c r="Z301" s="18"/>
      <c r="AA301" s="2982">
        <v>0.4</v>
      </c>
      <c r="AB301" s="2982"/>
      <c r="AC301" s="2982"/>
      <c r="AD301" s="2982"/>
      <c r="AE301" s="2982"/>
      <c r="AF301" s="2982"/>
      <c r="AG301" s="2982"/>
      <c r="AH301" s="2982"/>
      <c r="AI301" s="2982"/>
      <c r="AJ301" s="2982"/>
      <c r="AK301" s="298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2312" t="s">
        <v>2731</v>
      </c>
      <c r="I303" s="2312"/>
      <c r="J303" s="2312"/>
      <c r="K303" s="2312"/>
      <c r="L303" s="2312"/>
      <c r="M303" s="2312"/>
      <c r="N303" s="2312"/>
      <c r="O303" s="2312"/>
      <c r="P303" s="2312"/>
      <c r="Q303" s="2312"/>
      <c r="R303" s="2312"/>
      <c r="S303" s="16"/>
      <c r="T303" s="72" t="s">
        <v>99</v>
      </c>
      <c r="U303" s="16"/>
      <c r="V303" s="72"/>
      <c r="W303" s="72"/>
      <c r="X303" s="72"/>
      <c r="Y303" s="72"/>
      <c r="Z303" s="16"/>
      <c r="AA303" s="2312" t="s">
        <v>2736</v>
      </c>
      <c r="AB303" s="2312"/>
      <c r="AC303" s="2312"/>
      <c r="AD303" s="2312"/>
      <c r="AE303" s="2312"/>
      <c r="AF303" s="2312"/>
      <c r="AG303" s="2312"/>
      <c r="AH303" s="2312"/>
      <c r="AI303" s="2312"/>
      <c r="AJ303" s="2312"/>
      <c r="AK303" s="2312"/>
      <c r="AL303" s="25"/>
      <c r="AM303" s="149"/>
      <c r="AN303" s="457"/>
    </row>
    <row r="304" spans="1:41" s="46" customFormat="1" ht="12.75" customHeight="1">
      <c r="A304" s="165"/>
      <c r="B304" s="72" t="s">
        <v>772</v>
      </c>
      <c r="C304" s="72"/>
      <c r="D304" s="72"/>
      <c r="E304" s="72"/>
      <c r="F304" s="72"/>
      <c r="G304" s="16"/>
      <c r="H304" s="2436" t="s">
        <v>2734</v>
      </c>
      <c r="I304" s="2436"/>
      <c r="J304" s="2436"/>
      <c r="K304" s="2436"/>
      <c r="L304" s="2436"/>
      <c r="M304" s="2436"/>
      <c r="N304" s="2436"/>
      <c r="O304" s="2436"/>
      <c r="P304" s="2436"/>
      <c r="Q304" s="2436"/>
      <c r="R304" s="2436"/>
      <c r="S304" s="16"/>
      <c r="T304" s="72" t="s">
        <v>772</v>
      </c>
      <c r="U304" s="16"/>
      <c r="V304" s="72"/>
      <c r="W304" s="72"/>
      <c r="X304" s="72"/>
      <c r="Y304" s="72"/>
      <c r="Z304" s="16"/>
      <c r="AA304" s="2436" t="s">
        <v>2737</v>
      </c>
      <c r="AB304" s="2436"/>
      <c r="AC304" s="2436"/>
      <c r="AD304" s="2436"/>
      <c r="AE304" s="2436"/>
      <c r="AF304" s="2436"/>
      <c r="AG304" s="2436"/>
      <c r="AH304" s="2436"/>
      <c r="AI304" s="2436"/>
      <c r="AJ304" s="2436"/>
      <c r="AK304" s="2436"/>
      <c r="AL304" s="25"/>
      <c r="AM304" s="149"/>
      <c r="AN304" s="457"/>
    </row>
    <row r="305" spans="1:40" s="46" customFormat="1" ht="12.75" customHeight="1">
      <c r="A305" s="165"/>
      <c r="B305" s="72" t="s">
        <v>109</v>
      </c>
      <c r="C305" s="72"/>
      <c r="D305" s="72"/>
      <c r="E305" s="72"/>
      <c r="F305" s="72"/>
      <c r="G305" s="16"/>
      <c r="H305" s="2436" t="s">
        <v>2735</v>
      </c>
      <c r="I305" s="2436"/>
      <c r="J305" s="2436"/>
      <c r="K305" s="2436"/>
      <c r="L305" s="2436"/>
      <c r="M305" s="2436"/>
      <c r="N305" s="2436"/>
      <c r="O305" s="2436"/>
      <c r="P305" s="2436"/>
      <c r="Q305" s="2436"/>
      <c r="R305" s="2436"/>
      <c r="S305" s="16"/>
      <c r="T305" s="72" t="s">
        <v>109</v>
      </c>
      <c r="U305" s="16"/>
      <c r="V305" s="72"/>
      <c r="W305" s="72"/>
      <c r="X305" s="72"/>
      <c r="Y305" s="72"/>
      <c r="Z305" s="16"/>
      <c r="AA305" s="2436" t="s">
        <v>2735</v>
      </c>
      <c r="AB305" s="2436"/>
      <c r="AC305" s="2436"/>
      <c r="AD305" s="2436"/>
      <c r="AE305" s="2436"/>
      <c r="AF305" s="2436"/>
      <c r="AG305" s="2436"/>
      <c r="AH305" s="2436"/>
      <c r="AI305" s="2436"/>
      <c r="AJ305" s="2436"/>
      <c r="AK305" s="2436"/>
      <c r="AL305" s="25"/>
      <c r="AM305" s="149"/>
      <c r="AN305" s="457"/>
    </row>
    <row r="306" spans="1:40" s="46" customFormat="1" ht="12.75" customHeight="1">
      <c r="A306" s="165"/>
      <c r="B306" s="72" t="s">
        <v>423</v>
      </c>
      <c r="C306" s="72"/>
      <c r="D306" s="72"/>
      <c r="E306" s="72"/>
      <c r="F306" s="72"/>
      <c r="G306" s="16"/>
      <c r="H306" s="2436" t="s">
        <v>2745</v>
      </c>
      <c r="I306" s="2436"/>
      <c r="J306" s="2436"/>
      <c r="K306" s="2436"/>
      <c r="L306" s="2436"/>
      <c r="M306" s="2436"/>
      <c r="N306" s="2436"/>
      <c r="O306" s="2436"/>
      <c r="P306" s="2436"/>
      <c r="Q306" s="2436"/>
      <c r="R306" s="2436"/>
      <c r="S306" s="16"/>
      <c r="T306" s="72" t="s">
        <v>423</v>
      </c>
      <c r="U306" s="16"/>
      <c r="V306" s="72"/>
      <c r="W306" s="72"/>
      <c r="X306" s="72"/>
      <c r="Y306" s="72"/>
      <c r="Z306" s="16"/>
      <c r="AA306" s="2436" t="s">
        <v>2746</v>
      </c>
      <c r="AB306" s="2436"/>
      <c r="AC306" s="2436"/>
      <c r="AD306" s="2436"/>
      <c r="AE306" s="2436"/>
      <c r="AF306" s="2436"/>
      <c r="AG306" s="2436"/>
      <c r="AH306" s="2436"/>
      <c r="AI306" s="2436"/>
      <c r="AJ306" s="2436"/>
      <c r="AK306" s="2436"/>
      <c r="AL306" s="25"/>
      <c r="AM306" s="149"/>
      <c r="AN306" s="457"/>
    </row>
    <row r="307" spans="1:40" s="46" customFormat="1" ht="12.75" customHeight="1">
      <c r="A307" s="165"/>
      <c r="B307" s="72" t="s">
        <v>424</v>
      </c>
      <c r="C307" s="72"/>
      <c r="D307" s="72"/>
      <c r="E307" s="72"/>
      <c r="F307" s="72"/>
      <c r="G307" s="72"/>
      <c r="H307" s="2304" t="s">
        <v>2733</v>
      </c>
      <c r="I307" s="2308"/>
      <c r="J307" s="2308"/>
      <c r="K307" s="2308"/>
      <c r="L307" s="2308"/>
      <c r="M307" s="2308"/>
      <c r="N307" s="8" t="s">
        <v>907</v>
      </c>
      <c r="O307" s="8"/>
      <c r="P307" s="2310"/>
      <c r="Q307" s="2310"/>
      <c r="R307" s="2310"/>
      <c r="S307" s="72"/>
      <c r="T307" s="72" t="s">
        <v>424</v>
      </c>
      <c r="U307" s="16"/>
      <c r="V307" s="72"/>
      <c r="W307" s="72"/>
      <c r="X307" s="72"/>
      <c r="Y307" s="72"/>
      <c r="Z307" s="16"/>
      <c r="AA307" s="2304" t="s">
        <v>2738</v>
      </c>
      <c r="AB307" s="2308"/>
      <c r="AC307" s="2308"/>
      <c r="AD307" s="2308"/>
      <c r="AE307" s="2308"/>
      <c r="AF307" s="2308"/>
      <c r="AG307" s="8" t="s">
        <v>907</v>
      </c>
      <c r="AH307" s="8"/>
      <c r="AI307" s="2310"/>
      <c r="AJ307" s="2310"/>
      <c r="AK307" s="2310"/>
      <c r="AL307" s="25"/>
      <c r="AM307" s="149"/>
      <c r="AN307" s="457"/>
    </row>
    <row r="308" spans="1:40" s="46" customFormat="1" ht="12.75" customHeight="1">
      <c r="A308" s="165"/>
      <c r="B308" s="72" t="s">
        <v>98</v>
      </c>
      <c r="C308" s="72"/>
      <c r="D308" s="72"/>
      <c r="E308" s="72"/>
      <c r="F308" s="72"/>
      <c r="G308" s="72"/>
      <c r="H308" s="2436" t="s">
        <v>392</v>
      </c>
      <c r="I308" s="2436"/>
      <c r="J308" s="2436"/>
      <c r="K308" s="2436"/>
      <c r="L308" s="2436"/>
      <c r="M308" s="2436"/>
      <c r="N308" s="2436"/>
      <c r="O308" s="2436"/>
      <c r="P308" s="2436"/>
      <c r="Q308" s="2436"/>
      <c r="R308" s="2436"/>
      <c r="S308" s="72"/>
      <c r="T308" s="72" t="s">
        <v>98</v>
      </c>
      <c r="U308" s="16"/>
      <c r="V308" s="72"/>
      <c r="W308" s="72"/>
      <c r="X308" s="72"/>
      <c r="Y308" s="72"/>
      <c r="Z308" s="16"/>
      <c r="AA308" s="2436" t="s">
        <v>106</v>
      </c>
      <c r="AB308" s="2436"/>
      <c r="AC308" s="2436"/>
      <c r="AD308" s="2436"/>
      <c r="AE308" s="2436"/>
      <c r="AF308" s="2436"/>
      <c r="AG308" s="2436"/>
      <c r="AH308" s="2436"/>
      <c r="AI308" s="2436"/>
      <c r="AJ308" s="2436"/>
      <c r="AK308" s="2436"/>
      <c r="AL308" s="25"/>
      <c r="AM308" s="149"/>
      <c r="AN308" s="457"/>
    </row>
    <row r="309" spans="1:40" s="46" customFormat="1" ht="12.75" customHeight="1">
      <c r="A309" s="165"/>
      <c r="B309" s="72" t="s">
        <v>100</v>
      </c>
      <c r="C309" s="72"/>
      <c r="D309" s="72"/>
      <c r="E309" s="72"/>
      <c r="F309" s="72"/>
      <c r="G309" s="72"/>
      <c r="H309" s="2436" t="s">
        <v>2732</v>
      </c>
      <c r="I309" s="2436"/>
      <c r="J309" s="2436"/>
      <c r="K309" s="2436"/>
      <c r="L309" s="2436"/>
      <c r="M309" s="2436"/>
      <c r="N309" s="2436"/>
      <c r="O309" s="2436"/>
      <c r="P309" s="2436"/>
      <c r="Q309" s="2436"/>
      <c r="R309" s="2436"/>
      <c r="S309" s="72"/>
      <c r="T309" s="72" t="s">
        <v>100</v>
      </c>
      <c r="U309" s="16"/>
      <c r="V309" s="72"/>
      <c r="W309" s="72"/>
      <c r="X309" s="72"/>
      <c r="Y309" s="72"/>
      <c r="Z309" s="16"/>
      <c r="AA309" s="2436" t="s">
        <v>2732</v>
      </c>
      <c r="AB309" s="2436"/>
      <c r="AC309" s="2436"/>
      <c r="AD309" s="2436"/>
      <c r="AE309" s="2436"/>
      <c r="AF309" s="2436"/>
      <c r="AG309" s="2436"/>
      <c r="AH309" s="2436"/>
      <c r="AI309" s="2436"/>
      <c r="AJ309" s="2436"/>
      <c r="AK309" s="2436"/>
      <c r="AL309" s="25"/>
      <c r="AM309" s="149"/>
      <c r="AN309" s="457"/>
    </row>
    <row r="310" spans="1:40" s="46" customFormat="1" ht="12.75" customHeight="1">
      <c r="A310" s="165"/>
      <c r="B310" s="72" t="s">
        <v>111</v>
      </c>
      <c r="C310" s="72"/>
      <c r="D310" s="72"/>
      <c r="E310" s="72"/>
      <c r="F310" s="72"/>
      <c r="G310" s="72"/>
      <c r="H310" s="2982">
        <v>0.44</v>
      </c>
      <c r="I310" s="2982"/>
      <c r="J310" s="2982"/>
      <c r="K310" s="2982"/>
      <c r="L310" s="2982"/>
      <c r="M310" s="2982"/>
      <c r="N310" s="2982"/>
      <c r="O310" s="2982"/>
      <c r="P310" s="2982"/>
      <c r="Q310" s="2982"/>
      <c r="R310" s="2982"/>
      <c r="S310" s="72"/>
      <c r="T310" s="72" t="s">
        <v>111</v>
      </c>
      <c r="U310" s="72"/>
      <c r="V310" s="72"/>
      <c r="W310" s="72"/>
      <c r="X310" s="72"/>
      <c r="Y310" s="72"/>
      <c r="Z310" s="18"/>
      <c r="AA310" s="2982">
        <v>0.44</v>
      </c>
      <c r="AB310" s="2982"/>
      <c r="AC310" s="2982"/>
      <c r="AD310" s="2982"/>
      <c r="AE310" s="2982"/>
      <c r="AF310" s="2982"/>
      <c r="AG310" s="2982"/>
      <c r="AH310" s="2982"/>
      <c r="AI310" s="2982"/>
      <c r="AJ310" s="2982"/>
      <c r="AK310" s="298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2312"/>
      <c r="I312" s="2312"/>
      <c r="J312" s="2312"/>
      <c r="K312" s="2312"/>
      <c r="L312" s="2312"/>
      <c r="M312" s="2312"/>
      <c r="N312" s="2312"/>
      <c r="O312" s="2312"/>
      <c r="P312" s="2312"/>
      <c r="Q312" s="2312"/>
      <c r="R312" s="2312"/>
      <c r="S312" s="16"/>
      <c r="T312" s="72" t="s">
        <v>99</v>
      </c>
      <c r="U312" s="16"/>
      <c r="V312" s="72"/>
      <c r="W312" s="72"/>
      <c r="X312" s="72"/>
      <c r="Y312" s="72"/>
      <c r="Z312" s="16"/>
      <c r="AA312" s="2312"/>
      <c r="AB312" s="2312"/>
      <c r="AC312" s="2312"/>
      <c r="AD312" s="2312"/>
      <c r="AE312" s="2312"/>
      <c r="AF312" s="2312"/>
      <c r="AG312" s="2312"/>
      <c r="AH312" s="2312"/>
      <c r="AI312" s="2312"/>
      <c r="AJ312" s="2312"/>
      <c r="AK312" s="2312"/>
      <c r="AL312" s="25"/>
      <c r="AM312" s="149"/>
      <c r="AN312" s="457"/>
    </row>
    <row r="313" spans="1:40" s="46" customFormat="1" ht="12.75" customHeight="1">
      <c r="A313" s="165"/>
      <c r="B313" s="72" t="s">
        <v>772</v>
      </c>
      <c r="C313" s="72"/>
      <c r="D313" s="72"/>
      <c r="E313" s="72"/>
      <c r="F313" s="72"/>
      <c r="G313" s="16"/>
      <c r="H313" s="2436"/>
      <c r="I313" s="2436"/>
      <c r="J313" s="2436"/>
      <c r="K313" s="2436"/>
      <c r="L313" s="2436"/>
      <c r="M313" s="2436"/>
      <c r="N313" s="2436"/>
      <c r="O313" s="2436"/>
      <c r="P313" s="2436"/>
      <c r="Q313" s="2436"/>
      <c r="R313" s="2436"/>
      <c r="S313" s="16"/>
      <c r="T313" s="72" t="s">
        <v>772</v>
      </c>
      <c r="U313" s="16"/>
      <c r="V313" s="72"/>
      <c r="W313" s="72"/>
      <c r="X313" s="72"/>
      <c r="Y313" s="72"/>
      <c r="Z313" s="16"/>
      <c r="AA313" s="2436"/>
      <c r="AB313" s="2436"/>
      <c r="AC313" s="2436"/>
      <c r="AD313" s="2436"/>
      <c r="AE313" s="2436"/>
      <c r="AF313" s="2436"/>
      <c r="AG313" s="2436"/>
      <c r="AH313" s="2436"/>
      <c r="AI313" s="2436"/>
      <c r="AJ313" s="2436"/>
      <c r="AK313" s="2436"/>
      <c r="AL313" s="25"/>
      <c r="AM313" s="149"/>
      <c r="AN313" s="457"/>
    </row>
    <row r="314" spans="1:40" s="46" customFormat="1" ht="12.75" customHeight="1">
      <c r="A314" s="165"/>
      <c r="B314" s="72" t="s">
        <v>109</v>
      </c>
      <c r="C314" s="72"/>
      <c r="D314" s="72"/>
      <c r="E314" s="72"/>
      <c r="F314" s="72"/>
      <c r="G314" s="16"/>
      <c r="H314" s="2436"/>
      <c r="I314" s="2436"/>
      <c r="J314" s="2436"/>
      <c r="K314" s="2436"/>
      <c r="L314" s="2436"/>
      <c r="M314" s="2436"/>
      <c r="N314" s="2436"/>
      <c r="O314" s="2436"/>
      <c r="P314" s="2436"/>
      <c r="Q314" s="2436"/>
      <c r="R314" s="2436"/>
      <c r="S314" s="16"/>
      <c r="T314" s="72" t="s">
        <v>109</v>
      </c>
      <c r="U314" s="16"/>
      <c r="V314" s="72"/>
      <c r="W314" s="72"/>
      <c r="X314" s="72"/>
      <c r="Y314" s="72"/>
      <c r="Z314" s="16"/>
      <c r="AA314" s="2436"/>
      <c r="AB314" s="2436"/>
      <c r="AC314" s="2436"/>
      <c r="AD314" s="2436"/>
      <c r="AE314" s="2436"/>
      <c r="AF314" s="2436"/>
      <c r="AG314" s="2436"/>
      <c r="AH314" s="2436"/>
      <c r="AI314" s="2436"/>
      <c r="AJ314" s="2436"/>
      <c r="AK314" s="2436"/>
      <c r="AL314" s="25"/>
      <c r="AM314" s="149"/>
      <c r="AN314" s="457"/>
    </row>
    <row r="315" spans="1:40" s="46" customFormat="1" ht="12.75" customHeight="1">
      <c r="A315" s="165"/>
      <c r="B315" s="72" t="s">
        <v>423</v>
      </c>
      <c r="C315" s="72"/>
      <c r="D315" s="72"/>
      <c r="E315" s="72"/>
      <c r="F315" s="72"/>
      <c r="G315" s="16"/>
      <c r="H315" s="2436"/>
      <c r="I315" s="2436"/>
      <c r="J315" s="2436"/>
      <c r="K315" s="2436"/>
      <c r="L315" s="2436"/>
      <c r="M315" s="2436"/>
      <c r="N315" s="2436"/>
      <c r="O315" s="2436"/>
      <c r="P315" s="2436"/>
      <c r="Q315" s="2436"/>
      <c r="R315" s="2436"/>
      <c r="S315" s="16"/>
      <c r="T315" s="72" t="s">
        <v>423</v>
      </c>
      <c r="U315" s="16"/>
      <c r="V315" s="72"/>
      <c r="W315" s="72"/>
      <c r="X315" s="72"/>
      <c r="Y315" s="72"/>
      <c r="Z315" s="16"/>
      <c r="AA315" s="2436"/>
      <c r="AB315" s="2436"/>
      <c r="AC315" s="2436"/>
      <c r="AD315" s="2436"/>
      <c r="AE315" s="2436"/>
      <c r="AF315" s="2436"/>
      <c r="AG315" s="2436"/>
      <c r="AH315" s="2436"/>
      <c r="AI315" s="2436"/>
      <c r="AJ315" s="2436"/>
      <c r="AK315" s="2436"/>
      <c r="AL315" s="25"/>
      <c r="AM315" s="149"/>
      <c r="AN315" s="457"/>
    </row>
    <row r="316" spans="1:40" s="46" customFormat="1" ht="12.75" customHeight="1">
      <c r="A316" s="165"/>
      <c r="B316" s="72" t="s">
        <v>424</v>
      </c>
      <c r="C316" s="72"/>
      <c r="D316" s="72"/>
      <c r="E316" s="72"/>
      <c r="F316" s="72"/>
      <c r="G316" s="72"/>
      <c r="H316" s="2308"/>
      <c r="I316" s="2308"/>
      <c r="J316" s="2308"/>
      <c r="K316" s="2308"/>
      <c r="L316" s="2308"/>
      <c r="M316" s="2308"/>
      <c r="N316" s="8" t="s">
        <v>907</v>
      </c>
      <c r="O316" s="8"/>
      <c r="P316" s="2310"/>
      <c r="Q316" s="2310"/>
      <c r="R316" s="2310"/>
      <c r="S316" s="72"/>
      <c r="T316" s="72" t="s">
        <v>424</v>
      </c>
      <c r="U316" s="16"/>
      <c r="V316" s="72"/>
      <c r="W316" s="72"/>
      <c r="X316" s="72"/>
      <c r="Y316" s="72"/>
      <c r="Z316" s="16"/>
      <c r="AA316" s="2308"/>
      <c r="AB316" s="2308"/>
      <c r="AC316" s="2308"/>
      <c r="AD316" s="2308"/>
      <c r="AE316" s="2308"/>
      <c r="AF316" s="2308"/>
      <c r="AG316" s="8" t="s">
        <v>907</v>
      </c>
      <c r="AH316" s="8"/>
      <c r="AI316" s="2310"/>
      <c r="AJ316" s="2310"/>
      <c r="AK316" s="2310"/>
      <c r="AL316" s="25"/>
      <c r="AM316" s="149"/>
      <c r="AN316" s="457"/>
    </row>
    <row r="317" spans="1:40" s="46" customFormat="1" ht="12.75" customHeight="1">
      <c r="A317" s="165"/>
      <c r="B317" s="72" t="s">
        <v>98</v>
      </c>
      <c r="C317" s="72"/>
      <c r="D317" s="72"/>
      <c r="E317" s="72"/>
      <c r="F317" s="72"/>
      <c r="G317" s="72"/>
      <c r="H317" s="2436"/>
      <c r="I317" s="2436"/>
      <c r="J317" s="2436"/>
      <c r="K317" s="2436"/>
      <c r="L317" s="2436"/>
      <c r="M317" s="2436"/>
      <c r="N317" s="2436"/>
      <c r="O317" s="2436"/>
      <c r="P317" s="2436"/>
      <c r="Q317" s="2436"/>
      <c r="R317" s="2436"/>
      <c r="S317" s="72"/>
      <c r="T317" s="72" t="s">
        <v>98</v>
      </c>
      <c r="U317" s="16"/>
      <c r="V317" s="72"/>
      <c r="W317" s="72"/>
      <c r="X317" s="72"/>
      <c r="Y317" s="72"/>
      <c r="Z317" s="16"/>
      <c r="AA317" s="2436"/>
      <c r="AB317" s="2436"/>
      <c r="AC317" s="2436"/>
      <c r="AD317" s="2436"/>
      <c r="AE317" s="2436"/>
      <c r="AF317" s="2436"/>
      <c r="AG317" s="2436"/>
      <c r="AH317" s="2436"/>
      <c r="AI317" s="2436"/>
      <c r="AJ317" s="2436"/>
      <c r="AK317" s="2436"/>
      <c r="AL317" s="25"/>
      <c r="AM317" s="149"/>
      <c r="AN317" s="457"/>
    </row>
    <row r="318" spans="1:40" s="46" customFormat="1" ht="12.75" customHeight="1">
      <c r="A318" s="165"/>
      <c r="B318" s="72" t="s">
        <v>100</v>
      </c>
      <c r="C318" s="72"/>
      <c r="D318" s="72"/>
      <c r="E318" s="72"/>
      <c r="F318" s="72"/>
      <c r="G318" s="72"/>
      <c r="H318" s="2436"/>
      <c r="I318" s="2436"/>
      <c r="J318" s="2436"/>
      <c r="K318" s="2436"/>
      <c r="L318" s="2436"/>
      <c r="M318" s="2436"/>
      <c r="N318" s="2436"/>
      <c r="O318" s="2436"/>
      <c r="P318" s="2436"/>
      <c r="Q318" s="2436"/>
      <c r="R318" s="2436"/>
      <c r="S318" s="72"/>
      <c r="T318" s="72" t="s">
        <v>100</v>
      </c>
      <c r="U318" s="16"/>
      <c r="V318" s="72"/>
      <c r="W318" s="72"/>
      <c r="X318" s="72"/>
      <c r="Y318" s="72"/>
      <c r="Z318" s="16"/>
      <c r="AA318" s="2436"/>
      <c r="AB318" s="2436"/>
      <c r="AC318" s="2436"/>
      <c r="AD318" s="2436"/>
      <c r="AE318" s="2436"/>
      <c r="AF318" s="2436"/>
      <c r="AG318" s="2436"/>
      <c r="AH318" s="2436"/>
      <c r="AI318" s="2436"/>
      <c r="AJ318" s="2436"/>
      <c r="AK318" s="2436"/>
      <c r="AL318" s="25"/>
      <c r="AM318" s="149"/>
      <c r="AN318" s="457"/>
    </row>
    <row r="319" spans="1:40" s="46" customFormat="1" ht="12.75" customHeight="1">
      <c r="A319" s="165"/>
      <c r="B319" s="72" t="s">
        <v>111</v>
      </c>
      <c r="C319" s="72"/>
      <c r="D319" s="72"/>
      <c r="E319" s="72"/>
      <c r="F319" s="72"/>
      <c r="G319" s="72"/>
      <c r="H319" s="2982"/>
      <c r="I319" s="2982"/>
      <c r="J319" s="2982"/>
      <c r="K319" s="2982"/>
      <c r="L319" s="2982"/>
      <c r="M319" s="2982"/>
      <c r="N319" s="2982"/>
      <c r="O319" s="2982"/>
      <c r="P319" s="2982"/>
      <c r="Q319" s="2982"/>
      <c r="R319" s="2982"/>
      <c r="S319" s="72"/>
      <c r="T319" s="72" t="s">
        <v>111</v>
      </c>
      <c r="U319" s="72"/>
      <c r="V319" s="72"/>
      <c r="W319" s="72"/>
      <c r="X319" s="72"/>
      <c r="Y319" s="72"/>
      <c r="Z319" s="18"/>
      <c r="AA319" s="2982"/>
      <c r="AB319" s="2982"/>
      <c r="AC319" s="2982"/>
      <c r="AD319" s="2982"/>
      <c r="AE319" s="2982"/>
      <c r="AF319" s="2982"/>
      <c r="AG319" s="2982"/>
      <c r="AH319" s="2982"/>
      <c r="AI319" s="2982"/>
      <c r="AJ319" s="2982"/>
      <c r="AK319" s="298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2312"/>
      <c r="I321" s="2312"/>
      <c r="J321" s="2312"/>
      <c r="K321" s="2312"/>
      <c r="L321" s="2312"/>
      <c r="M321" s="2312"/>
      <c r="N321" s="2312"/>
      <c r="O321" s="2312"/>
      <c r="P321" s="2312"/>
      <c r="Q321" s="2312"/>
      <c r="R321" s="2312"/>
      <c r="S321" s="16"/>
      <c r="T321" s="72" t="s">
        <v>99</v>
      </c>
      <c r="U321" s="16"/>
      <c r="V321" s="72"/>
      <c r="W321" s="72"/>
      <c r="X321" s="72"/>
      <c r="Y321" s="72"/>
      <c r="Z321" s="16"/>
      <c r="AA321" s="2312"/>
      <c r="AB321" s="2312"/>
      <c r="AC321" s="2312"/>
      <c r="AD321" s="2312"/>
      <c r="AE321" s="2312"/>
      <c r="AF321" s="2312"/>
      <c r="AG321" s="2312"/>
      <c r="AH321" s="2312"/>
      <c r="AI321" s="2312"/>
      <c r="AJ321" s="2312"/>
      <c r="AK321" s="2312"/>
      <c r="AL321" s="341"/>
      <c r="AM321" s="149"/>
      <c r="AN321" s="457"/>
    </row>
    <row r="322" spans="1:76" s="46" customFormat="1" ht="12.75" customHeight="1">
      <c r="A322" s="165"/>
      <c r="B322" s="72" t="s">
        <v>772</v>
      </c>
      <c r="C322" s="72"/>
      <c r="D322" s="72"/>
      <c r="E322" s="72"/>
      <c r="F322" s="72"/>
      <c r="G322" s="16"/>
      <c r="H322" s="2436"/>
      <c r="I322" s="2436"/>
      <c r="J322" s="2436"/>
      <c r="K322" s="2436"/>
      <c r="L322" s="2436"/>
      <c r="M322" s="2436"/>
      <c r="N322" s="2436"/>
      <c r="O322" s="2436"/>
      <c r="P322" s="2436"/>
      <c r="Q322" s="2436"/>
      <c r="R322" s="2436"/>
      <c r="S322" s="16"/>
      <c r="T322" s="72" t="s">
        <v>772</v>
      </c>
      <c r="U322" s="16"/>
      <c r="V322" s="72"/>
      <c r="W322" s="72"/>
      <c r="X322" s="72"/>
      <c r="Y322" s="72"/>
      <c r="Z322" s="16"/>
      <c r="AA322" s="2436"/>
      <c r="AB322" s="2436"/>
      <c r="AC322" s="2436"/>
      <c r="AD322" s="2436"/>
      <c r="AE322" s="2436"/>
      <c r="AF322" s="2436"/>
      <c r="AG322" s="2436"/>
      <c r="AH322" s="2436"/>
      <c r="AI322" s="2436"/>
      <c r="AJ322" s="2436"/>
      <c r="AK322" s="2436"/>
      <c r="AL322" s="341"/>
      <c r="AM322" s="149"/>
      <c r="AN322" s="457"/>
    </row>
    <row r="323" spans="1:76" s="46" customFormat="1" ht="18" customHeight="1">
      <c r="A323" s="165"/>
      <c r="B323" s="72" t="s">
        <v>109</v>
      </c>
      <c r="C323" s="72"/>
      <c r="D323" s="72"/>
      <c r="E323" s="72"/>
      <c r="F323" s="72"/>
      <c r="G323" s="16"/>
      <c r="H323" s="2436"/>
      <c r="I323" s="2436"/>
      <c r="J323" s="2436"/>
      <c r="K323" s="2436"/>
      <c r="L323" s="2436"/>
      <c r="M323" s="2436"/>
      <c r="N323" s="2436"/>
      <c r="O323" s="2436"/>
      <c r="P323" s="2436"/>
      <c r="Q323" s="2436"/>
      <c r="R323" s="2436"/>
      <c r="S323" s="16"/>
      <c r="T323" s="72" t="s">
        <v>109</v>
      </c>
      <c r="U323" s="16"/>
      <c r="V323" s="72"/>
      <c r="W323" s="72"/>
      <c r="X323" s="72"/>
      <c r="Y323" s="72"/>
      <c r="Z323" s="16"/>
      <c r="AA323" s="2436"/>
      <c r="AB323" s="2436"/>
      <c r="AC323" s="2436"/>
      <c r="AD323" s="2436"/>
      <c r="AE323" s="2436"/>
      <c r="AF323" s="2436"/>
      <c r="AG323" s="2436"/>
      <c r="AH323" s="2436"/>
      <c r="AI323" s="2436"/>
      <c r="AJ323" s="2436"/>
      <c r="AK323" s="2436"/>
      <c r="AL323" s="341"/>
      <c r="AM323" s="149"/>
      <c r="AN323" s="457"/>
    </row>
    <row r="324" spans="1:76" s="46" customFormat="1" ht="12.75" customHeight="1">
      <c r="A324" s="165"/>
      <c r="B324" s="72" t="s">
        <v>423</v>
      </c>
      <c r="C324" s="72"/>
      <c r="D324" s="72"/>
      <c r="E324" s="72"/>
      <c r="F324" s="72"/>
      <c r="G324" s="16"/>
      <c r="H324" s="2436"/>
      <c r="I324" s="2436"/>
      <c r="J324" s="2436"/>
      <c r="K324" s="2436"/>
      <c r="L324" s="2436"/>
      <c r="M324" s="2436"/>
      <c r="N324" s="2436"/>
      <c r="O324" s="2436"/>
      <c r="P324" s="2436"/>
      <c r="Q324" s="2436"/>
      <c r="R324" s="2436"/>
      <c r="S324" s="16"/>
      <c r="T324" s="72" t="s">
        <v>423</v>
      </c>
      <c r="U324" s="16"/>
      <c r="V324" s="72"/>
      <c r="W324" s="72"/>
      <c r="X324" s="72"/>
      <c r="Y324" s="72"/>
      <c r="Z324" s="16"/>
      <c r="AA324" s="2436"/>
      <c r="AB324" s="2436"/>
      <c r="AC324" s="2436"/>
      <c r="AD324" s="2436"/>
      <c r="AE324" s="2436"/>
      <c r="AF324" s="2436"/>
      <c r="AG324" s="2436"/>
      <c r="AH324" s="2436"/>
      <c r="AI324" s="2436"/>
      <c r="AJ324" s="2436"/>
      <c r="AK324" s="2436"/>
      <c r="AL324" s="341"/>
      <c r="AM324" s="149"/>
      <c r="AN324" s="457"/>
    </row>
    <row r="325" spans="1:76" s="46" customFormat="1" ht="12.75" customHeight="1">
      <c r="A325" s="165"/>
      <c r="B325" s="72" t="s">
        <v>424</v>
      </c>
      <c r="C325" s="72"/>
      <c r="D325" s="72"/>
      <c r="E325" s="72"/>
      <c r="F325" s="72"/>
      <c r="G325" s="72"/>
      <c r="H325" s="2308"/>
      <c r="I325" s="2308"/>
      <c r="J325" s="2308"/>
      <c r="K325" s="2308"/>
      <c r="L325" s="2308"/>
      <c r="M325" s="2308"/>
      <c r="N325" s="8" t="s">
        <v>907</v>
      </c>
      <c r="O325" s="8"/>
      <c r="P325" s="2310"/>
      <c r="Q325" s="2310"/>
      <c r="R325" s="2310"/>
      <c r="S325" s="72"/>
      <c r="T325" s="72" t="s">
        <v>424</v>
      </c>
      <c r="U325" s="16"/>
      <c r="V325" s="72"/>
      <c r="W325" s="72"/>
      <c r="X325" s="72"/>
      <c r="Y325" s="72"/>
      <c r="Z325" s="16"/>
      <c r="AA325" s="2308"/>
      <c r="AB325" s="2308"/>
      <c r="AC325" s="2308"/>
      <c r="AD325" s="2308"/>
      <c r="AE325" s="2308"/>
      <c r="AF325" s="2308"/>
      <c r="AG325" s="8" t="s">
        <v>907</v>
      </c>
      <c r="AH325" s="8"/>
      <c r="AI325" s="2310"/>
      <c r="AJ325" s="2310"/>
      <c r="AK325" s="2310"/>
      <c r="AL325" s="341"/>
      <c r="AM325" s="149"/>
      <c r="AN325" s="457"/>
    </row>
    <row r="326" spans="1:76" s="149" customFormat="1" ht="12.75" customHeight="1">
      <c r="A326" s="165"/>
      <c r="B326" s="72" t="s">
        <v>98</v>
      </c>
      <c r="C326" s="72"/>
      <c r="D326" s="72"/>
      <c r="E326" s="72"/>
      <c r="F326" s="72"/>
      <c r="G326" s="72"/>
      <c r="H326" s="2436"/>
      <c r="I326" s="2436"/>
      <c r="J326" s="2436"/>
      <c r="K326" s="2436"/>
      <c r="L326" s="2436"/>
      <c r="M326" s="2436"/>
      <c r="N326" s="2436"/>
      <c r="O326" s="2436"/>
      <c r="P326" s="2436"/>
      <c r="Q326" s="2436"/>
      <c r="R326" s="2436"/>
      <c r="S326" s="72"/>
      <c r="T326" s="72" t="s">
        <v>98</v>
      </c>
      <c r="U326" s="16"/>
      <c r="V326" s="72"/>
      <c r="W326" s="72"/>
      <c r="X326" s="72"/>
      <c r="Y326" s="72"/>
      <c r="Z326" s="16"/>
      <c r="AA326" s="2436"/>
      <c r="AB326" s="2436"/>
      <c r="AC326" s="2436"/>
      <c r="AD326" s="2436"/>
      <c r="AE326" s="2436"/>
      <c r="AF326" s="2436"/>
      <c r="AG326" s="2436"/>
      <c r="AH326" s="2436"/>
      <c r="AI326" s="2436"/>
      <c r="AJ326" s="2436"/>
      <c r="AK326" s="2436"/>
      <c r="AL326" s="341"/>
      <c r="AN326" s="1193"/>
    </row>
    <row r="327" spans="1:76" s="46" customFormat="1" ht="12.75" customHeight="1">
      <c r="A327" s="165"/>
      <c r="B327" s="72" t="s">
        <v>100</v>
      </c>
      <c r="C327" s="72"/>
      <c r="D327" s="72"/>
      <c r="E327" s="72"/>
      <c r="F327" s="72"/>
      <c r="G327" s="72"/>
      <c r="H327" s="2436"/>
      <c r="I327" s="2436"/>
      <c r="J327" s="2436"/>
      <c r="K327" s="2436"/>
      <c r="L327" s="2436"/>
      <c r="M327" s="2436"/>
      <c r="N327" s="2436"/>
      <c r="O327" s="2436"/>
      <c r="P327" s="2436"/>
      <c r="Q327" s="2436"/>
      <c r="R327" s="2436"/>
      <c r="S327" s="72"/>
      <c r="T327" s="72" t="s">
        <v>100</v>
      </c>
      <c r="U327" s="16"/>
      <c r="V327" s="72"/>
      <c r="W327" s="72"/>
      <c r="X327" s="72"/>
      <c r="Y327" s="72"/>
      <c r="Z327" s="16"/>
      <c r="AA327" s="2436"/>
      <c r="AB327" s="2436"/>
      <c r="AC327" s="2436"/>
      <c r="AD327" s="2436"/>
      <c r="AE327" s="2436"/>
      <c r="AF327" s="2436"/>
      <c r="AG327" s="2436"/>
      <c r="AH327" s="2436"/>
      <c r="AI327" s="2436"/>
      <c r="AJ327" s="2436"/>
      <c r="AK327" s="2436"/>
      <c r="AL327" s="341"/>
      <c r="AM327" s="149"/>
      <c r="AN327" s="457"/>
    </row>
    <row r="328" spans="1:76" s="46" customFormat="1" ht="12.75" customHeight="1">
      <c r="A328" s="165"/>
      <c r="B328" s="72" t="s">
        <v>111</v>
      </c>
      <c r="C328" s="72"/>
      <c r="D328" s="72"/>
      <c r="E328" s="72"/>
      <c r="F328" s="72"/>
      <c r="G328" s="72"/>
      <c r="H328" s="2982"/>
      <c r="I328" s="2982"/>
      <c r="J328" s="2982"/>
      <c r="K328" s="2982"/>
      <c r="L328" s="2982"/>
      <c r="M328" s="2982"/>
      <c r="N328" s="2982"/>
      <c r="O328" s="2982"/>
      <c r="P328" s="2982"/>
      <c r="Q328" s="2982"/>
      <c r="R328" s="2982"/>
      <c r="S328" s="72"/>
      <c r="T328" s="72" t="s">
        <v>111</v>
      </c>
      <c r="U328" s="72"/>
      <c r="V328" s="72"/>
      <c r="W328" s="72"/>
      <c r="X328" s="72"/>
      <c r="Y328" s="72"/>
      <c r="Z328" s="18"/>
      <c r="AA328" s="2982"/>
      <c r="AB328" s="2982"/>
      <c r="AC328" s="2982"/>
      <c r="AD328" s="2982"/>
      <c r="AE328" s="2982"/>
      <c r="AF328" s="2982"/>
      <c r="AG328" s="2982"/>
      <c r="AH328" s="2982"/>
      <c r="AI328" s="2982"/>
      <c r="AJ328" s="2982"/>
      <c r="AK328" s="298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983" t="s">
        <v>413</v>
      </c>
      <c r="AF331" s="2983"/>
      <c r="AG331" s="2983"/>
      <c r="AH331" s="2983"/>
      <c r="AI331" s="2983"/>
      <c r="AJ331" s="2983"/>
      <c r="AK331" s="2983"/>
      <c r="AL331" s="164"/>
      <c r="AM331" s="164"/>
      <c r="AN331" s="164"/>
    </row>
    <row r="332" spans="1:76" s="46" customFormat="1" ht="12.75" customHeight="1">
      <c r="A332" s="164"/>
      <c r="B332" s="173"/>
      <c r="C332" s="2984" t="s">
        <v>2149</v>
      </c>
      <c r="D332" s="2984"/>
      <c r="E332" s="2984"/>
      <c r="F332" s="2984"/>
      <c r="G332" s="2984"/>
      <c r="H332" s="2984"/>
      <c r="I332" s="2984"/>
      <c r="J332" s="2984"/>
      <c r="K332" s="2984"/>
      <c r="L332" s="2984"/>
      <c r="M332" s="2984"/>
      <c r="N332" s="2984"/>
      <c r="O332" s="2984"/>
      <c r="P332" s="2984"/>
      <c r="Q332" s="2984"/>
      <c r="R332" s="2984"/>
      <c r="S332" s="2984"/>
      <c r="T332" s="2984"/>
      <c r="U332" s="2984"/>
      <c r="V332" s="2984"/>
      <c r="W332" s="2984"/>
      <c r="X332" s="2984"/>
      <c r="Y332" s="2984"/>
      <c r="Z332" s="2984"/>
      <c r="AA332" s="2984"/>
      <c r="AB332" s="2984"/>
      <c r="AC332" s="2984"/>
      <c r="AD332" s="2984"/>
      <c r="AE332" s="2984"/>
      <c r="AF332" s="2984"/>
      <c r="AG332" s="2984"/>
      <c r="AH332" s="2984"/>
      <c r="AI332" s="2984"/>
      <c r="AJ332" s="2984"/>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984"/>
      <c r="D333" s="2984"/>
      <c r="E333" s="2984"/>
      <c r="F333" s="2984"/>
      <c r="G333" s="2984"/>
      <c r="H333" s="2984"/>
      <c r="I333" s="2984"/>
      <c r="J333" s="2984"/>
      <c r="K333" s="2984"/>
      <c r="L333" s="2984"/>
      <c r="M333" s="2984"/>
      <c r="N333" s="2984"/>
      <c r="O333" s="2984"/>
      <c r="P333" s="2984"/>
      <c r="Q333" s="2984"/>
      <c r="R333" s="2984"/>
      <c r="S333" s="2984"/>
      <c r="T333" s="2984"/>
      <c r="U333" s="2984"/>
      <c r="V333" s="2984"/>
      <c r="W333" s="2984"/>
      <c r="X333" s="2984"/>
      <c r="Y333" s="2984"/>
      <c r="Z333" s="2984"/>
      <c r="AA333" s="2984"/>
      <c r="AB333" s="2984"/>
      <c r="AC333" s="2984"/>
      <c r="AD333" s="2984"/>
      <c r="AE333" s="2984"/>
      <c r="AF333" s="2984"/>
      <c r="AG333" s="2984"/>
      <c r="AH333" s="2984"/>
      <c r="AI333" s="2984"/>
      <c r="AJ333" s="2984"/>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984"/>
      <c r="D334" s="2984"/>
      <c r="E334" s="2984"/>
      <c r="F334" s="2984"/>
      <c r="G334" s="2984"/>
      <c r="H334" s="2984"/>
      <c r="I334" s="2984"/>
      <c r="J334" s="2984"/>
      <c r="K334" s="2984"/>
      <c r="L334" s="2984"/>
      <c r="M334" s="2984"/>
      <c r="N334" s="2984"/>
      <c r="O334" s="2984"/>
      <c r="P334" s="2984"/>
      <c r="Q334" s="2984"/>
      <c r="R334" s="2984"/>
      <c r="S334" s="2984"/>
      <c r="T334" s="2984"/>
      <c r="U334" s="2984"/>
      <c r="V334" s="2984"/>
      <c r="W334" s="2984"/>
      <c r="X334" s="2984"/>
      <c r="Y334" s="2984"/>
      <c r="Z334" s="2984"/>
      <c r="AA334" s="2984"/>
      <c r="AB334" s="2984"/>
      <c r="AC334" s="2984"/>
      <c r="AD334" s="2984"/>
      <c r="AE334" s="2984"/>
      <c r="AF334" s="2984"/>
      <c r="AG334" s="2984"/>
      <c r="AH334" s="2984"/>
      <c r="AI334" s="2984"/>
      <c r="AJ334" s="2984"/>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984"/>
      <c r="D335" s="2984"/>
      <c r="E335" s="2984"/>
      <c r="F335" s="2984"/>
      <c r="G335" s="2984"/>
      <c r="H335" s="2984"/>
      <c r="I335" s="2984"/>
      <c r="J335" s="2984"/>
      <c r="K335" s="2984"/>
      <c r="L335" s="2984"/>
      <c r="M335" s="2984"/>
      <c r="N335" s="2984"/>
      <c r="O335" s="2984"/>
      <c r="P335" s="2984"/>
      <c r="Q335" s="2984"/>
      <c r="R335" s="2984"/>
      <c r="S335" s="2984"/>
      <c r="T335" s="2984"/>
      <c r="U335" s="2984"/>
      <c r="V335" s="2984"/>
      <c r="W335" s="2984"/>
      <c r="X335" s="2984"/>
      <c r="Y335" s="2984"/>
      <c r="Z335" s="2984"/>
      <c r="AA335" s="2984"/>
      <c r="AB335" s="2984"/>
      <c r="AC335" s="2984"/>
      <c r="AD335" s="2984"/>
      <c r="AE335" s="2984"/>
      <c r="AF335" s="2984"/>
      <c r="AG335" s="2984"/>
      <c r="AH335" s="2984"/>
      <c r="AI335" s="2984"/>
      <c r="AJ335" s="2984"/>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984"/>
      <c r="D336" s="2984"/>
      <c r="E336" s="2984"/>
      <c r="F336" s="2984"/>
      <c r="G336" s="2984"/>
      <c r="H336" s="2984"/>
      <c r="I336" s="2984"/>
      <c r="J336" s="2984"/>
      <c r="K336" s="2984"/>
      <c r="L336" s="2984"/>
      <c r="M336" s="2984"/>
      <c r="N336" s="2984"/>
      <c r="O336" s="2984"/>
      <c r="P336" s="2984"/>
      <c r="Q336" s="2984"/>
      <c r="R336" s="2984"/>
      <c r="S336" s="2984"/>
      <c r="T336" s="2984"/>
      <c r="U336" s="2984"/>
      <c r="V336" s="2984"/>
      <c r="W336" s="2984"/>
      <c r="X336" s="2984"/>
      <c r="Y336" s="2984"/>
      <c r="Z336" s="2984"/>
      <c r="AA336" s="2984"/>
      <c r="AB336" s="2984"/>
      <c r="AC336" s="2984"/>
      <c r="AD336" s="2984"/>
      <c r="AE336" s="2984"/>
      <c r="AF336" s="2984"/>
      <c r="AG336" s="2984"/>
      <c r="AH336" s="2984"/>
      <c r="AI336" s="2984"/>
      <c r="AJ336" s="2984"/>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984"/>
      <c r="D337" s="2984"/>
      <c r="E337" s="2984"/>
      <c r="F337" s="2984"/>
      <c r="G337" s="2984"/>
      <c r="H337" s="2984"/>
      <c r="I337" s="2984"/>
      <c r="J337" s="2984"/>
      <c r="K337" s="2984"/>
      <c r="L337" s="2984"/>
      <c r="M337" s="2984"/>
      <c r="N337" s="2984"/>
      <c r="O337" s="2984"/>
      <c r="P337" s="2984"/>
      <c r="Q337" s="2984"/>
      <c r="R337" s="2984"/>
      <c r="S337" s="2984"/>
      <c r="T337" s="2984"/>
      <c r="U337" s="2984"/>
      <c r="V337" s="2984"/>
      <c r="W337" s="2984"/>
      <c r="X337" s="2984"/>
      <c r="Y337" s="2984"/>
      <c r="Z337" s="2984"/>
      <c r="AA337" s="2984"/>
      <c r="AB337" s="2984"/>
      <c r="AC337" s="2984"/>
      <c r="AD337" s="2984"/>
      <c r="AE337" s="2984"/>
      <c r="AF337" s="2984"/>
      <c r="AG337" s="2984"/>
      <c r="AH337" s="2984"/>
      <c r="AI337" s="2984"/>
      <c r="AJ337" s="2984"/>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984"/>
      <c r="D338" s="2984"/>
      <c r="E338" s="2984"/>
      <c r="F338" s="2984"/>
      <c r="G338" s="2984"/>
      <c r="H338" s="2984"/>
      <c r="I338" s="2984"/>
      <c r="J338" s="2984"/>
      <c r="K338" s="2984"/>
      <c r="L338" s="2984"/>
      <c r="M338" s="2984"/>
      <c r="N338" s="2984"/>
      <c r="O338" s="2984"/>
      <c r="P338" s="2984"/>
      <c r="Q338" s="2984"/>
      <c r="R338" s="2984"/>
      <c r="S338" s="2984"/>
      <c r="T338" s="2984"/>
      <c r="U338" s="2984"/>
      <c r="V338" s="2984"/>
      <c r="W338" s="2984"/>
      <c r="X338" s="2984"/>
      <c r="Y338" s="2984"/>
      <c r="Z338" s="2984"/>
      <c r="AA338" s="2984"/>
      <c r="AB338" s="2984"/>
      <c r="AC338" s="2984"/>
      <c r="AD338" s="2984"/>
      <c r="AE338" s="2984"/>
      <c r="AF338" s="2984"/>
      <c r="AG338" s="2984"/>
      <c r="AH338" s="2984"/>
      <c r="AI338" s="2984"/>
      <c r="AJ338" s="2984"/>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984"/>
      <c r="D339" s="2984"/>
      <c r="E339" s="2984"/>
      <c r="F339" s="2984"/>
      <c r="G339" s="2984"/>
      <c r="H339" s="2984"/>
      <c r="I339" s="2984"/>
      <c r="J339" s="2984"/>
      <c r="K339" s="2984"/>
      <c r="L339" s="2984"/>
      <c r="M339" s="2984"/>
      <c r="N339" s="2984"/>
      <c r="O339" s="2984"/>
      <c r="P339" s="2984"/>
      <c r="Q339" s="2984"/>
      <c r="R339" s="2984"/>
      <c r="S339" s="2984"/>
      <c r="T339" s="2984"/>
      <c r="U339" s="2984"/>
      <c r="V339" s="2984"/>
      <c r="W339" s="2984"/>
      <c r="X339" s="2984"/>
      <c r="Y339" s="2984"/>
      <c r="Z339" s="2984"/>
      <c r="AA339" s="2984"/>
      <c r="AB339" s="2984"/>
      <c r="AC339" s="2984"/>
      <c r="AD339" s="2984"/>
      <c r="AE339" s="2984"/>
      <c r="AF339" s="2984"/>
      <c r="AG339" s="2984"/>
      <c r="AH339" s="2984"/>
      <c r="AI339" s="2984"/>
      <c r="AJ339" s="2984"/>
      <c r="AK339" s="175"/>
      <c r="AL339" s="175"/>
      <c r="AM339" s="175"/>
      <c r="AN339" s="457"/>
      <c r="AO339" s="305"/>
    </row>
    <row r="340" spans="1:76" s="46" customFormat="1" ht="12.75" customHeight="1">
      <c r="A340" s="175"/>
      <c r="B340" s="176"/>
      <c r="C340" s="2984" t="s">
        <v>2150</v>
      </c>
      <c r="D340" s="2984"/>
      <c r="E340" s="2984"/>
      <c r="F340" s="2984"/>
      <c r="G340" s="2984"/>
      <c r="H340" s="2984"/>
      <c r="I340" s="2984"/>
      <c r="J340" s="2984"/>
      <c r="K340" s="2984"/>
      <c r="L340" s="2984"/>
      <c r="M340" s="2984"/>
      <c r="N340" s="2984"/>
      <c r="O340" s="2984"/>
      <c r="P340" s="2984"/>
      <c r="Q340" s="2984"/>
      <c r="R340" s="2984"/>
      <c r="S340" s="2984"/>
      <c r="T340" s="2984"/>
      <c r="U340" s="2984"/>
      <c r="V340" s="2984"/>
      <c r="W340" s="2984"/>
      <c r="X340" s="2984"/>
      <c r="Y340" s="2984"/>
      <c r="Z340" s="2984"/>
      <c r="AA340" s="2984"/>
      <c r="AB340" s="2984"/>
      <c r="AC340" s="2984"/>
      <c r="AD340" s="2984"/>
      <c r="AE340" s="2984"/>
      <c r="AF340" s="2984"/>
      <c r="AG340" s="2984"/>
      <c r="AH340" s="2984"/>
      <c r="AI340" s="2984"/>
      <c r="AJ340" s="2984"/>
      <c r="AK340" s="175"/>
      <c r="AL340" s="175"/>
      <c r="AM340" s="175"/>
      <c r="AN340" s="457"/>
    </row>
    <row r="341" spans="1:76" s="46" customFormat="1" ht="12.75" customHeight="1">
      <c r="A341" s="175"/>
      <c r="B341" s="176"/>
      <c r="C341" s="2984"/>
      <c r="D341" s="2984"/>
      <c r="E341" s="2984"/>
      <c r="F341" s="2984"/>
      <c r="G341" s="2984"/>
      <c r="H341" s="2984"/>
      <c r="I341" s="2984"/>
      <c r="J341" s="2984"/>
      <c r="K341" s="2984"/>
      <c r="L341" s="2984"/>
      <c r="M341" s="2984"/>
      <c r="N341" s="2984"/>
      <c r="O341" s="2984"/>
      <c r="P341" s="2984"/>
      <c r="Q341" s="2984"/>
      <c r="R341" s="2984"/>
      <c r="S341" s="2984"/>
      <c r="T341" s="2984"/>
      <c r="U341" s="2984"/>
      <c r="V341" s="2984"/>
      <c r="W341" s="2984"/>
      <c r="X341" s="2984"/>
      <c r="Y341" s="2984"/>
      <c r="Z341" s="2984"/>
      <c r="AA341" s="2984"/>
      <c r="AB341" s="2984"/>
      <c r="AC341" s="2984"/>
      <c r="AD341" s="2984"/>
      <c r="AE341" s="2984"/>
      <c r="AF341" s="2984"/>
      <c r="AG341" s="2984"/>
      <c r="AH341" s="2984"/>
      <c r="AI341" s="2984"/>
      <c r="AJ341" s="2984"/>
      <c r="AK341" s="175"/>
      <c r="AL341" s="175"/>
      <c r="AM341" s="175"/>
      <c r="AN341" s="457"/>
    </row>
    <row r="342" spans="1:76" s="46" customFormat="1" ht="12.75" customHeight="1">
      <c r="A342" s="175"/>
      <c r="B342" s="176"/>
      <c r="C342" s="2984"/>
      <c r="D342" s="2984"/>
      <c r="E342" s="2984"/>
      <c r="F342" s="2984"/>
      <c r="G342" s="2984"/>
      <c r="H342" s="2984"/>
      <c r="I342" s="2984"/>
      <c r="J342" s="2984"/>
      <c r="K342" s="2984"/>
      <c r="L342" s="2984"/>
      <c r="M342" s="2984"/>
      <c r="N342" s="2984"/>
      <c r="O342" s="2984"/>
      <c r="P342" s="2984"/>
      <c r="Q342" s="2984"/>
      <c r="R342" s="2984"/>
      <c r="S342" s="2984"/>
      <c r="T342" s="2984"/>
      <c r="U342" s="2984"/>
      <c r="V342" s="2984"/>
      <c r="W342" s="2984"/>
      <c r="X342" s="2984"/>
      <c r="Y342" s="2984"/>
      <c r="Z342" s="2984"/>
      <c r="AA342" s="2984"/>
      <c r="AB342" s="2984"/>
      <c r="AC342" s="2984"/>
      <c r="AD342" s="2984"/>
      <c r="AE342" s="2984"/>
      <c r="AF342" s="2984"/>
      <c r="AG342" s="2984"/>
      <c r="AH342" s="2984"/>
      <c r="AI342" s="2984"/>
      <c r="AJ342" s="2984"/>
      <c r="AK342" s="175"/>
      <c r="AL342" s="175"/>
      <c r="AM342" s="175"/>
      <c r="AN342" s="457"/>
      <c r="AQ342" s="50"/>
      <c r="AR342" s="149"/>
    </row>
    <row r="343" spans="1:76" s="46" customFormat="1" ht="12.75" customHeight="1">
      <c r="A343" s="175"/>
      <c r="B343" s="156"/>
      <c r="C343" s="2984"/>
      <c r="D343" s="2984"/>
      <c r="E343" s="2984"/>
      <c r="F343" s="2984"/>
      <c r="G343" s="2984"/>
      <c r="H343" s="2984"/>
      <c r="I343" s="2984"/>
      <c r="J343" s="2984"/>
      <c r="K343" s="2984"/>
      <c r="L343" s="2984"/>
      <c r="M343" s="2984"/>
      <c r="N343" s="2984"/>
      <c r="O343" s="2984"/>
      <c r="P343" s="2984"/>
      <c r="Q343" s="2984"/>
      <c r="R343" s="2984"/>
      <c r="S343" s="2984"/>
      <c r="T343" s="2984"/>
      <c r="U343" s="2984"/>
      <c r="V343" s="2984"/>
      <c r="W343" s="2984"/>
      <c r="X343" s="2984"/>
      <c r="Y343" s="2984"/>
      <c r="Z343" s="2984"/>
      <c r="AA343" s="2984"/>
      <c r="AB343" s="2984"/>
      <c r="AC343" s="2984"/>
      <c r="AD343" s="2984"/>
      <c r="AE343" s="2984"/>
      <c r="AF343" s="2984"/>
      <c r="AG343" s="2984"/>
      <c r="AH343" s="2984"/>
      <c r="AI343" s="2984"/>
      <c r="AJ343" s="2984"/>
      <c r="AK343" s="175"/>
      <c r="AL343" s="175"/>
      <c r="AM343" s="175"/>
      <c r="AN343" s="457"/>
      <c r="AQ343" s="50"/>
      <c r="AR343" s="149"/>
    </row>
    <row r="344" spans="1:76" s="46" customFormat="1" ht="12.4" customHeight="1">
      <c r="A344" s="175"/>
      <c r="B344" s="156"/>
      <c r="C344" s="2984"/>
      <c r="D344" s="2984"/>
      <c r="E344" s="2984"/>
      <c r="F344" s="2984"/>
      <c r="G344" s="2984"/>
      <c r="H344" s="2984"/>
      <c r="I344" s="2984"/>
      <c r="J344" s="2984"/>
      <c r="K344" s="2984"/>
      <c r="L344" s="2984"/>
      <c r="M344" s="2984"/>
      <c r="N344" s="2984"/>
      <c r="O344" s="2984"/>
      <c r="P344" s="2984"/>
      <c r="Q344" s="2984"/>
      <c r="R344" s="2984"/>
      <c r="S344" s="2984"/>
      <c r="T344" s="2984"/>
      <c r="U344" s="2984"/>
      <c r="V344" s="2984"/>
      <c r="W344" s="2984"/>
      <c r="X344" s="2984"/>
      <c r="Y344" s="2984"/>
      <c r="Z344" s="2984"/>
      <c r="AA344" s="2984"/>
      <c r="AB344" s="2984"/>
      <c r="AC344" s="2984"/>
      <c r="AD344" s="2984"/>
      <c r="AE344" s="2984"/>
      <c r="AF344" s="2984"/>
      <c r="AG344" s="2984"/>
      <c r="AH344" s="2984"/>
      <c r="AI344" s="2984"/>
      <c r="AJ344" s="2984"/>
      <c r="AK344" s="175"/>
      <c r="AL344" s="175"/>
      <c r="AM344" s="175"/>
      <c r="AN344" s="457"/>
      <c r="AQ344" s="50"/>
      <c r="AR344" s="50"/>
    </row>
    <row r="345" spans="1:76" s="46" customFormat="1" ht="12.75" customHeight="1">
      <c r="A345" s="175"/>
      <c r="B345" s="156"/>
      <c r="C345" s="2984" t="s">
        <v>2151</v>
      </c>
      <c r="D345" s="2984"/>
      <c r="E345" s="2984"/>
      <c r="F345" s="2984"/>
      <c r="G345" s="2984"/>
      <c r="H345" s="2984"/>
      <c r="I345" s="2984"/>
      <c r="J345" s="2984"/>
      <c r="K345" s="2984"/>
      <c r="L345" s="2984"/>
      <c r="M345" s="2984"/>
      <c r="N345" s="2984"/>
      <c r="O345" s="2984"/>
      <c r="P345" s="2984"/>
      <c r="Q345" s="2984"/>
      <c r="R345" s="2984"/>
      <c r="S345" s="2984"/>
      <c r="T345" s="2984"/>
      <c r="U345" s="2984"/>
      <c r="V345" s="2984"/>
      <c r="W345" s="2984"/>
      <c r="X345" s="2984"/>
      <c r="Y345" s="2984"/>
      <c r="Z345" s="2984"/>
      <c r="AA345" s="2984"/>
      <c r="AB345" s="2984"/>
      <c r="AC345" s="2984"/>
      <c r="AD345" s="2984"/>
      <c r="AE345" s="2984"/>
      <c r="AF345" s="2984"/>
      <c r="AG345" s="2984"/>
      <c r="AH345" s="2984"/>
      <c r="AI345" s="2984"/>
      <c r="AJ345" s="2984"/>
      <c r="AK345" s="175"/>
      <c r="AL345" s="175"/>
      <c r="AM345" s="175"/>
      <c r="AN345" s="457"/>
      <c r="AQ345" s="50"/>
      <c r="AR345" s="50"/>
    </row>
    <row r="346" spans="1:76" s="46" customFormat="1" ht="12.75" customHeight="1">
      <c r="A346" s="175"/>
      <c r="B346" s="156"/>
      <c r="C346" s="2984"/>
      <c r="D346" s="2984"/>
      <c r="E346" s="2984"/>
      <c r="F346" s="2984"/>
      <c r="G346" s="2984"/>
      <c r="H346" s="2984"/>
      <c r="I346" s="2984"/>
      <c r="J346" s="2984"/>
      <c r="K346" s="2984"/>
      <c r="L346" s="2984"/>
      <c r="M346" s="2984"/>
      <c r="N346" s="2984"/>
      <c r="O346" s="2984"/>
      <c r="P346" s="2984"/>
      <c r="Q346" s="2984"/>
      <c r="R346" s="2984"/>
      <c r="S346" s="2984"/>
      <c r="T346" s="2984"/>
      <c r="U346" s="2984"/>
      <c r="V346" s="2984"/>
      <c r="W346" s="2984"/>
      <c r="X346" s="2984"/>
      <c r="Y346" s="2984"/>
      <c r="Z346" s="2984"/>
      <c r="AA346" s="2984"/>
      <c r="AB346" s="2984"/>
      <c r="AC346" s="2984"/>
      <c r="AD346" s="2984"/>
      <c r="AE346" s="2984"/>
      <c r="AF346" s="2984"/>
      <c r="AG346" s="2984"/>
      <c r="AH346" s="2984"/>
      <c r="AI346" s="2984"/>
      <c r="AJ346" s="2984"/>
      <c r="AK346" s="175"/>
      <c r="AL346" s="175"/>
      <c r="AM346" s="175"/>
      <c r="AN346" s="457"/>
      <c r="AQ346" s="149"/>
      <c r="AR346" s="50"/>
    </row>
    <row r="347" spans="1:76" s="46" customFormat="1" ht="12.75" customHeight="1">
      <c r="A347" s="175"/>
      <c r="B347" s="156"/>
      <c r="C347" s="2984"/>
      <c r="D347" s="2984"/>
      <c r="E347" s="2984"/>
      <c r="F347" s="2984"/>
      <c r="G347" s="2984"/>
      <c r="H347" s="2984"/>
      <c r="I347" s="2984"/>
      <c r="J347" s="2984"/>
      <c r="K347" s="2984"/>
      <c r="L347" s="2984"/>
      <c r="M347" s="2984"/>
      <c r="N347" s="2984"/>
      <c r="O347" s="2984"/>
      <c r="P347" s="2984"/>
      <c r="Q347" s="2984"/>
      <c r="R347" s="2984"/>
      <c r="S347" s="2984"/>
      <c r="T347" s="2984"/>
      <c r="U347" s="2984"/>
      <c r="V347" s="2984"/>
      <c r="W347" s="2984"/>
      <c r="X347" s="2984"/>
      <c r="Y347" s="2984"/>
      <c r="Z347" s="2984"/>
      <c r="AA347" s="2984"/>
      <c r="AB347" s="2984"/>
      <c r="AC347" s="2984"/>
      <c r="AD347" s="2984"/>
      <c r="AE347" s="2984"/>
      <c r="AF347" s="2984"/>
      <c r="AG347" s="2984"/>
      <c r="AH347" s="2984"/>
      <c r="AI347" s="2984"/>
      <c r="AJ347" s="2984"/>
      <c r="AK347" s="175"/>
      <c r="AL347" s="175"/>
      <c r="AM347" s="175"/>
      <c r="AN347" s="457"/>
      <c r="AQ347" s="149"/>
      <c r="AR347" s="50"/>
    </row>
    <row r="348" spans="1:76" s="46" customFormat="1" ht="12.75" customHeight="1">
      <c r="A348" s="175"/>
      <c r="B348" s="156"/>
      <c r="C348" s="2984" t="s">
        <v>2152</v>
      </c>
      <c r="D348" s="2984"/>
      <c r="E348" s="2984"/>
      <c r="F348" s="2984"/>
      <c r="G348" s="2984"/>
      <c r="H348" s="2984"/>
      <c r="I348" s="2984"/>
      <c r="J348" s="2984"/>
      <c r="K348" s="2984"/>
      <c r="L348" s="2984"/>
      <c r="M348" s="2984"/>
      <c r="N348" s="2984"/>
      <c r="O348" s="2984"/>
      <c r="P348" s="2984"/>
      <c r="Q348" s="2984"/>
      <c r="R348" s="2984"/>
      <c r="S348" s="2984"/>
      <c r="T348" s="2984"/>
      <c r="U348" s="2984"/>
      <c r="V348" s="2984"/>
      <c r="W348" s="2984"/>
      <c r="X348" s="2984"/>
      <c r="Y348" s="2984"/>
      <c r="Z348" s="2984"/>
      <c r="AA348" s="2984"/>
      <c r="AB348" s="2984"/>
      <c r="AC348" s="2984"/>
      <c r="AD348" s="2984"/>
      <c r="AE348" s="2984"/>
      <c r="AF348" s="2984"/>
      <c r="AG348" s="2984"/>
      <c r="AH348" s="2984"/>
      <c r="AI348" s="2984"/>
      <c r="AJ348" s="2984"/>
      <c r="AK348" s="175"/>
      <c r="AL348" s="175"/>
      <c r="AM348" s="175"/>
      <c r="AN348" s="457"/>
      <c r="AQ348" s="50"/>
      <c r="AR348" s="50"/>
    </row>
    <row r="349" spans="1:76" s="46" customFormat="1" ht="12.75" customHeight="1">
      <c r="A349" s="175"/>
      <c r="B349" s="156"/>
      <c r="C349" s="2984"/>
      <c r="D349" s="2984"/>
      <c r="E349" s="2984"/>
      <c r="F349" s="2984"/>
      <c r="G349" s="2984"/>
      <c r="H349" s="2984"/>
      <c r="I349" s="2984"/>
      <c r="J349" s="2984"/>
      <c r="K349" s="2984"/>
      <c r="L349" s="2984"/>
      <c r="M349" s="2984"/>
      <c r="N349" s="2984"/>
      <c r="O349" s="2984"/>
      <c r="P349" s="2984"/>
      <c r="Q349" s="2984"/>
      <c r="R349" s="2984"/>
      <c r="S349" s="2984"/>
      <c r="T349" s="2984"/>
      <c r="U349" s="2984"/>
      <c r="V349" s="2984"/>
      <c r="W349" s="2984"/>
      <c r="X349" s="2984"/>
      <c r="Y349" s="2984"/>
      <c r="Z349" s="2984"/>
      <c r="AA349" s="2984"/>
      <c r="AB349" s="2984"/>
      <c r="AC349" s="2984"/>
      <c r="AD349" s="2984"/>
      <c r="AE349" s="2984"/>
      <c r="AF349" s="2984"/>
      <c r="AG349" s="2984"/>
      <c r="AH349" s="2984"/>
      <c r="AI349" s="2984"/>
      <c r="AJ349" s="2984"/>
      <c r="AK349" s="175"/>
      <c r="AL349" s="175"/>
      <c r="AM349" s="175"/>
      <c r="AN349" s="457"/>
      <c r="AQ349" s="50"/>
      <c r="AR349" s="50"/>
    </row>
    <row r="350" spans="1:76" s="46" customFormat="1" ht="13.15" customHeight="1">
      <c r="A350" s="175"/>
      <c r="B350" s="156"/>
      <c r="C350" s="2984"/>
      <c r="D350" s="2984"/>
      <c r="E350" s="2984"/>
      <c r="F350" s="2984"/>
      <c r="G350" s="2984"/>
      <c r="H350" s="2984"/>
      <c r="I350" s="2984"/>
      <c r="J350" s="2984"/>
      <c r="K350" s="2984"/>
      <c r="L350" s="2984"/>
      <c r="M350" s="2984"/>
      <c r="N350" s="2984"/>
      <c r="O350" s="2984"/>
      <c r="P350" s="2984"/>
      <c r="Q350" s="2984"/>
      <c r="R350" s="2984"/>
      <c r="S350" s="2984"/>
      <c r="T350" s="2984"/>
      <c r="U350" s="2984"/>
      <c r="V350" s="2984"/>
      <c r="W350" s="2984"/>
      <c r="X350" s="2984"/>
      <c r="Y350" s="2984"/>
      <c r="Z350" s="2984"/>
      <c r="AA350" s="2984"/>
      <c r="AB350" s="2984"/>
      <c r="AC350" s="2984"/>
      <c r="AD350" s="2984"/>
      <c r="AE350" s="2984"/>
      <c r="AF350" s="2984"/>
      <c r="AG350" s="2984"/>
      <c r="AH350" s="2984"/>
      <c r="AI350" s="2984"/>
      <c r="AJ350" s="2984"/>
      <c r="AK350" s="175"/>
      <c r="AL350" s="175"/>
      <c r="AM350" s="175"/>
      <c r="AN350" s="457"/>
      <c r="AQ350" s="50"/>
      <c r="AR350" s="50"/>
    </row>
    <row r="351" spans="1:76" s="46" customFormat="1" ht="12.75" customHeight="1">
      <c r="A351" s="175"/>
      <c r="B351" s="156"/>
      <c r="C351" s="2984"/>
      <c r="D351" s="2984"/>
      <c r="E351" s="2984"/>
      <c r="F351" s="2984"/>
      <c r="G351" s="2984"/>
      <c r="H351" s="2984"/>
      <c r="I351" s="2984"/>
      <c r="J351" s="2984"/>
      <c r="K351" s="2984"/>
      <c r="L351" s="2984"/>
      <c r="M351" s="2984"/>
      <c r="N351" s="2984"/>
      <c r="O351" s="2984"/>
      <c r="P351" s="2984"/>
      <c r="Q351" s="2984"/>
      <c r="R351" s="2984"/>
      <c r="S351" s="2984"/>
      <c r="T351" s="2984"/>
      <c r="U351" s="2984"/>
      <c r="V351" s="2984"/>
      <c r="W351" s="2984"/>
      <c r="X351" s="2984"/>
      <c r="Y351" s="2984"/>
      <c r="Z351" s="2984"/>
      <c r="AA351" s="2984"/>
      <c r="AB351" s="2984"/>
      <c r="AC351" s="2984"/>
      <c r="AD351" s="2984"/>
      <c r="AE351" s="2984"/>
      <c r="AF351" s="2984"/>
      <c r="AG351" s="2984"/>
      <c r="AH351" s="2984"/>
      <c r="AI351" s="2984"/>
      <c r="AJ351" s="2984"/>
      <c r="AK351" s="175"/>
      <c r="AL351" s="175"/>
      <c r="AM351" s="175"/>
      <c r="AN351" s="457"/>
      <c r="AO351" s="269"/>
      <c r="AP351" s="269"/>
      <c r="AQ351" s="50"/>
      <c r="AR351" s="149"/>
    </row>
    <row r="352" spans="1:76" s="46" customFormat="1" ht="11.85" customHeight="1">
      <c r="A352" s="175"/>
      <c r="B352" s="156"/>
      <c r="C352" s="2984"/>
      <c r="D352" s="2984"/>
      <c r="E352" s="2984"/>
      <c r="F352" s="2984"/>
      <c r="G352" s="2984"/>
      <c r="H352" s="2984"/>
      <c r="I352" s="2984"/>
      <c r="J352" s="2984"/>
      <c r="K352" s="2984"/>
      <c r="L352" s="2984"/>
      <c r="M352" s="2984"/>
      <c r="N352" s="2984"/>
      <c r="O352" s="2984"/>
      <c r="P352" s="2984"/>
      <c r="Q352" s="2984"/>
      <c r="R352" s="2984"/>
      <c r="S352" s="2984"/>
      <c r="T352" s="2984"/>
      <c r="U352" s="2984"/>
      <c r="V352" s="2984"/>
      <c r="W352" s="2984"/>
      <c r="X352" s="2984"/>
      <c r="Y352" s="2984"/>
      <c r="Z352" s="2984"/>
      <c r="AA352" s="2984"/>
      <c r="AB352" s="2984"/>
      <c r="AC352" s="2984"/>
      <c r="AD352" s="2984"/>
      <c r="AE352" s="2984"/>
      <c r="AF352" s="2984"/>
      <c r="AG352" s="2984"/>
      <c r="AH352" s="2984"/>
      <c r="AI352" s="2984"/>
      <c r="AJ352" s="2984"/>
      <c r="AK352" s="175"/>
      <c r="AL352" s="175"/>
      <c r="AM352" s="175"/>
      <c r="AN352" s="457"/>
      <c r="AO352" s="1222" t="s">
        <v>1015</v>
      </c>
      <c r="AP352" s="1223">
        <f>IF(C377="Yes",5,0)</f>
        <v>0</v>
      </c>
      <c r="AQ352" s="149"/>
      <c r="AR352" s="149"/>
      <c r="AS352" s="63" t="s">
        <v>2065</v>
      </c>
    </row>
    <row r="353" spans="1:46" s="46" customFormat="1" ht="12.75" customHeight="1">
      <c r="A353" s="175"/>
      <c r="B353" s="156"/>
      <c r="C353" s="2984"/>
      <c r="D353" s="2984"/>
      <c r="E353" s="2984"/>
      <c r="F353" s="2984"/>
      <c r="G353" s="2984"/>
      <c r="H353" s="2984"/>
      <c r="I353" s="2984"/>
      <c r="J353" s="2984"/>
      <c r="K353" s="2984"/>
      <c r="L353" s="2984"/>
      <c r="M353" s="2984"/>
      <c r="N353" s="2984"/>
      <c r="O353" s="2984"/>
      <c r="P353" s="2984"/>
      <c r="Q353" s="2984"/>
      <c r="R353" s="2984"/>
      <c r="S353" s="2984"/>
      <c r="T353" s="2984"/>
      <c r="U353" s="2984"/>
      <c r="V353" s="2984"/>
      <c r="W353" s="2984"/>
      <c r="X353" s="2984"/>
      <c r="Y353" s="2984"/>
      <c r="Z353" s="2984"/>
      <c r="AA353" s="2984"/>
      <c r="AB353" s="2984"/>
      <c r="AC353" s="2984"/>
      <c r="AD353" s="2984"/>
      <c r="AE353" s="2984"/>
      <c r="AF353" s="2984"/>
      <c r="AG353" s="2984"/>
      <c r="AH353" s="2984"/>
      <c r="AI353" s="2984"/>
      <c r="AJ353" s="2984"/>
      <c r="AK353" s="175"/>
      <c r="AL353" s="175"/>
      <c r="AM353" s="175"/>
      <c r="AN353" s="457"/>
      <c r="AO353" s="1222"/>
      <c r="AP353" s="1223">
        <f>IF(C379="Yes",3,0)</f>
        <v>0</v>
      </c>
      <c r="AQ353" s="149"/>
      <c r="AR353" s="149"/>
      <c r="AS353" s="2981">
        <f>IF(AQ366=0,AQ379,AQ366)</f>
        <v>0</v>
      </c>
      <c r="AT353" s="2981"/>
    </row>
    <row r="354" spans="1:46" s="46" customFormat="1" ht="12.75" customHeight="1">
      <c r="A354" s="175"/>
      <c r="B354" s="156"/>
      <c r="C354" s="2984"/>
      <c r="D354" s="2984"/>
      <c r="E354" s="2984"/>
      <c r="F354" s="2984"/>
      <c r="G354" s="2984"/>
      <c r="H354" s="2984"/>
      <c r="I354" s="2984"/>
      <c r="J354" s="2984"/>
      <c r="K354" s="2984"/>
      <c r="L354" s="2984"/>
      <c r="M354" s="2984"/>
      <c r="N354" s="2984"/>
      <c r="O354" s="2984"/>
      <c r="P354" s="2984"/>
      <c r="Q354" s="2984"/>
      <c r="R354" s="2984"/>
      <c r="S354" s="2984"/>
      <c r="T354" s="2984"/>
      <c r="U354" s="2984"/>
      <c r="V354" s="2984"/>
      <c r="W354" s="2984"/>
      <c r="X354" s="2984"/>
      <c r="Y354" s="2984"/>
      <c r="Z354" s="2984"/>
      <c r="AA354" s="2984"/>
      <c r="AB354" s="2984"/>
      <c r="AC354" s="2984"/>
      <c r="AD354" s="2984"/>
      <c r="AE354" s="2984"/>
      <c r="AF354" s="2984"/>
      <c r="AG354" s="2984"/>
      <c r="AH354" s="2984"/>
      <c r="AI354" s="2984"/>
      <c r="AJ354" s="2984"/>
      <c r="AK354" s="175"/>
      <c r="AL354" s="175"/>
      <c r="AM354" s="175"/>
      <c r="AN354" s="457"/>
      <c r="AO354" s="1222" t="s">
        <v>1016</v>
      </c>
      <c r="AP354" s="1223">
        <f>IF(C387="Yes",5,0)</f>
        <v>0</v>
      </c>
      <c r="AS354" s="63" t="s">
        <v>2105</v>
      </c>
    </row>
    <row r="355" spans="1:46" s="46" customFormat="1" ht="12.75" customHeight="1">
      <c r="A355" s="175"/>
      <c r="B355" s="156"/>
      <c r="C355" s="2984"/>
      <c r="D355" s="2984"/>
      <c r="E355" s="2984"/>
      <c r="F355" s="2984"/>
      <c r="G355" s="2984"/>
      <c r="H355" s="2984"/>
      <c r="I355" s="2984"/>
      <c r="J355" s="2984"/>
      <c r="K355" s="2984"/>
      <c r="L355" s="2984"/>
      <c r="M355" s="2984"/>
      <c r="N355" s="2984"/>
      <c r="O355" s="2984"/>
      <c r="P355" s="2984"/>
      <c r="Q355" s="2984"/>
      <c r="R355" s="2984"/>
      <c r="S355" s="2984"/>
      <c r="T355" s="2984"/>
      <c r="U355" s="2984"/>
      <c r="V355" s="2984"/>
      <c r="W355" s="2984"/>
      <c r="X355" s="2984"/>
      <c r="Y355" s="2984"/>
      <c r="Z355" s="2984"/>
      <c r="AA355" s="2984"/>
      <c r="AB355" s="2984"/>
      <c r="AC355" s="2984"/>
      <c r="AD355" s="2984"/>
      <c r="AE355" s="2984"/>
      <c r="AF355" s="2984"/>
      <c r="AG355" s="2984"/>
      <c r="AH355" s="2984"/>
      <c r="AI355" s="2984"/>
      <c r="AJ355" s="2984"/>
      <c r="AK355" s="175"/>
      <c r="AL355" s="175"/>
      <c r="AM355" s="175"/>
      <c r="AN355" s="457"/>
      <c r="AO355" s="1222"/>
      <c r="AP355" s="1223">
        <f>IF(C389="Yes",3,0)</f>
        <v>0</v>
      </c>
      <c r="AS355" s="2981">
        <f>IF(AND(AQ366&gt;0,AQ379&gt;0),(AQ366+AQ379)/2,0)</f>
        <v>0</v>
      </c>
      <c r="AT355" s="2981"/>
    </row>
    <row r="356" spans="1:46" s="46" customFormat="1" ht="12.75" customHeight="1">
      <c r="A356" s="175"/>
      <c r="B356" s="156"/>
      <c r="C356" s="2984"/>
      <c r="D356" s="2984"/>
      <c r="E356" s="2984"/>
      <c r="F356" s="2984"/>
      <c r="G356" s="2984"/>
      <c r="H356" s="2984"/>
      <c r="I356" s="2984"/>
      <c r="J356" s="2984"/>
      <c r="K356" s="2984"/>
      <c r="L356" s="2984"/>
      <c r="M356" s="2984"/>
      <c r="N356" s="2984"/>
      <c r="O356" s="2984"/>
      <c r="P356" s="2984"/>
      <c r="Q356" s="2984"/>
      <c r="R356" s="2984"/>
      <c r="S356" s="2984"/>
      <c r="T356" s="2984"/>
      <c r="U356" s="2984"/>
      <c r="V356" s="2984"/>
      <c r="W356" s="2984"/>
      <c r="X356" s="2984"/>
      <c r="Y356" s="2984"/>
      <c r="Z356" s="2984"/>
      <c r="AA356" s="2984"/>
      <c r="AB356" s="2984"/>
      <c r="AC356" s="2984"/>
      <c r="AD356" s="2984"/>
      <c r="AE356" s="2984"/>
      <c r="AF356" s="2984"/>
      <c r="AG356" s="2984"/>
      <c r="AH356" s="2984"/>
      <c r="AI356" s="2984"/>
      <c r="AJ356" s="2984"/>
      <c r="AK356" s="175"/>
      <c r="AL356" s="175"/>
      <c r="AM356" s="175"/>
      <c r="AN356" s="457"/>
      <c r="AO356" s="1222" t="s">
        <v>1022</v>
      </c>
      <c r="AP356" s="1223">
        <f>IF(C396="Yes",7,0)</f>
        <v>0</v>
      </c>
      <c r="AQ356" s="149"/>
      <c r="AR356" s="149"/>
    </row>
    <row r="357" spans="1:46" s="46" customFormat="1" ht="12.75" customHeight="1">
      <c r="A357" s="175"/>
      <c r="B357" s="156"/>
      <c r="C357" s="2984" t="s">
        <v>2153</v>
      </c>
      <c r="D357" s="2984"/>
      <c r="E357" s="2984"/>
      <c r="F357" s="2984"/>
      <c r="G357" s="2984"/>
      <c r="H357" s="2984"/>
      <c r="I357" s="2984"/>
      <c r="J357" s="2984"/>
      <c r="K357" s="2984"/>
      <c r="L357" s="2984"/>
      <c r="M357" s="2984"/>
      <c r="N357" s="2984"/>
      <c r="O357" s="2984"/>
      <c r="P357" s="2984"/>
      <c r="Q357" s="2984"/>
      <c r="R357" s="2984"/>
      <c r="S357" s="2984"/>
      <c r="T357" s="2984"/>
      <c r="U357" s="2984"/>
      <c r="V357" s="2984"/>
      <c r="W357" s="2984"/>
      <c r="X357" s="2984"/>
      <c r="Y357" s="2984"/>
      <c r="Z357" s="2984"/>
      <c r="AA357" s="2984"/>
      <c r="AB357" s="2984"/>
      <c r="AC357" s="2984"/>
      <c r="AD357" s="2984"/>
      <c r="AE357" s="2984"/>
      <c r="AF357" s="2984"/>
      <c r="AG357" s="2984"/>
      <c r="AH357" s="2984"/>
      <c r="AI357" s="2984"/>
      <c r="AJ357" s="2984"/>
      <c r="AK357" s="175"/>
      <c r="AL357" s="175"/>
      <c r="AM357" s="175"/>
      <c r="AN357" s="457"/>
      <c r="AO357" s="457"/>
      <c r="AP357" s="1223">
        <f>IF(C398="Yes",5,0)</f>
        <v>0</v>
      </c>
    </row>
    <row r="358" spans="1:46" s="46" customFormat="1" ht="12.75" customHeight="1">
      <c r="A358" s="175"/>
      <c r="B358" s="156"/>
      <c r="C358" s="2984"/>
      <c r="D358" s="2984"/>
      <c r="E358" s="2984"/>
      <c r="F358" s="2984"/>
      <c r="G358" s="2984"/>
      <c r="H358" s="2984"/>
      <c r="I358" s="2984"/>
      <c r="J358" s="2984"/>
      <c r="K358" s="2984"/>
      <c r="L358" s="2984"/>
      <c r="M358" s="2984"/>
      <c r="N358" s="2984"/>
      <c r="O358" s="2984"/>
      <c r="P358" s="2984"/>
      <c r="Q358" s="2984"/>
      <c r="R358" s="2984"/>
      <c r="S358" s="2984"/>
      <c r="T358" s="2984"/>
      <c r="U358" s="2984"/>
      <c r="V358" s="2984"/>
      <c r="W358" s="2984"/>
      <c r="X358" s="2984"/>
      <c r="Y358" s="2984"/>
      <c r="Z358" s="2984"/>
      <c r="AA358" s="2984"/>
      <c r="AB358" s="2984"/>
      <c r="AC358" s="2984"/>
      <c r="AD358" s="2984"/>
      <c r="AE358" s="2984"/>
      <c r="AF358" s="2984"/>
      <c r="AG358" s="2984"/>
      <c r="AH358" s="2984"/>
      <c r="AI358" s="2984"/>
      <c r="AJ358" s="2984"/>
      <c r="AK358" s="175"/>
      <c r="AL358" s="175"/>
      <c r="AM358" s="175"/>
      <c r="AN358" s="457"/>
      <c r="AO358" s="457"/>
      <c r="AP358" s="1223">
        <f>IF(C400="Yes",3,0)</f>
        <v>0</v>
      </c>
    </row>
    <row r="359" spans="1:46" s="46" customFormat="1" ht="12.75" customHeight="1">
      <c r="A359" s="175"/>
      <c r="B359" s="156"/>
      <c r="C359" s="2984"/>
      <c r="D359" s="2984"/>
      <c r="E359" s="2984"/>
      <c r="F359" s="2984"/>
      <c r="G359" s="2984"/>
      <c r="H359" s="2984"/>
      <c r="I359" s="2984"/>
      <c r="J359" s="2984"/>
      <c r="K359" s="2984"/>
      <c r="L359" s="2984"/>
      <c r="M359" s="2984"/>
      <c r="N359" s="2984"/>
      <c r="O359" s="2984"/>
      <c r="P359" s="2984"/>
      <c r="Q359" s="2984"/>
      <c r="R359" s="2984"/>
      <c r="S359" s="2984"/>
      <c r="T359" s="2984"/>
      <c r="U359" s="2984"/>
      <c r="V359" s="2984"/>
      <c r="W359" s="2984"/>
      <c r="X359" s="2984"/>
      <c r="Y359" s="2984"/>
      <c r="Z359" s="2984"/>
      <c r="AA359" s="2984"/>
      <c r="AB359" s="2984"/>
      <c r="AC359" s="2984"/>
      <c r="AD359" s="2984"/>
      <c r="AE359" s="2984"/>
      <c r="AF359" s="2984"/>
      <c r="AG359" s="2984"/>
      <c r="AH359" s="2984"/>
      <c r="AI359" s="2984"/>
      <c r="AJ359" s="2984"/>
      <c r="AK359" s="175"/>
      <c r="AL359" s="175"/>
      <c r="AM359" s="175"/>
      <c r="AN359" s="457"/>
      <c r="AO359" s="1222" t="s">
        <v>485</v>
      </c>
      <c r="AP359" s="1223">
        <f>IF(C408="Yes",5,0)</f>
        <v>0</v>
      </c>
    </row>
    <row r="360" spans="1:46" s="46" customFormat="1" ht="11.85" customHeight="1">
      <c r="A360" s="175"/>
      <c r="B360" s="156"/>
      <c r="C360" s="2984"/>
      <c r="D360" s="2984"/>
      <c r="E360" s="2984"/>
      <c r="F360" s="2984"/>
      <c r="G360" s="2984"/>
      <c r="H360" s="2984"/>
      <c r="I360" s="2984"/>
      <c r="J360" s="2984"/>
      <c r="K360" s="2984"/>
      <c r="L360" s="2984"/>
      <c r="M360" s="2984"/>
      <c r="N360" s="2984"/>
      <c r="O360" s="2984"/>
      <c r="P360" s="2984"/>
      <c r="Q360" s="2984"/>
      <c r="R360" s="2984"/>
      <c r="S360" s="2984"/>
      <c r="T360" s="2984"/>
      <c r="U360" s="2984"/>
      <c r="V360" s="2984"/>
      <c r="W360" s="2984"/>
      <c r="X360" s="2984"/>
      <c r="Y360" s="2984"/>
      <c r="Z360" s="2984"/>
      <c r="AA360" s="2984"/>
      <c r="AB360" s="2984"/>
      <c r="AC360" s="2984"/>
      <c r="AD360" s="2984"/>
      <c r="AE360" s="2984"/>
      <c r="AF360" s="2984"/>
      <c r="AG360" s="2984"/>
      <c r="AH360" s="2984"/>
      <c r="AI360" s="2984"/>
      <c r="AJ360" s="2984"/>
      <c r="AK360" s="175"/>
      <c r="AL360" s="175"/>
      <c r="AM360" s="175"/>
      <c r="AN360" s="457"/>
      <c r="AO360" s="457"/>
      <c r="AP360" s="1223">
        <f>IF(C410="Yes",3,0)</f>
        <v>0</v>
      </c>
    </row>
    <row r="361" spans="1:46" s="46" customFormat="1" ht="12.4" customHeight="1">
      <c r="A361" s="175"/>
      <c r="B361" s="156"/>
      <c r="C361" s="2984"/>
      <c r="D361" s="2984"/>
      <c r="E361" s="2984"/>
      <c r="F361" s="2984"/>
      <c r="G361" s="2984"/>
      <c r="H361" s="2984"/>
      <c r="I361" s="2984"/>
      <c r="J361" s="2984"/>
      <c r="K361" s="2984"/>
      <c r="L361" s="2984"/>
      <c r="M361" s="2984"/>
      <c r="N361" s="2984"/>
      <c r="O361" s="2984"/>
      <c r="P361" s="2984"/>
      <c r="Q361" s="2984"/>
      <c r="R361" s="2984"/>
      <c r="S361" s="2984"/>
      <c r="T361" s="2984"/>
      <c r="U361" s="2984"/>
      <c r="V361" s="2984"/>
      <c r="W361" s="2984"/>
      <c r="X361" s="2984"/>
      <c r="Y361" s="2984"/>
      <c r="Z361" s="2984"/>
      <c r="AA361" s="2984"/>
      <c r="AB361" s="2984"/>
      <c r="AC361" s="2984"/>
      <c r="AD361" s="2984"/>
      <c r="AE361" s="2984"/>
      <c r="AF361" s="2984"/>
      <c r="AG361" s="2984"/>
      <c r="AH361" s="2984"/>
      <c r="AI361" s="2984"/>
      <c r="AJ361" s="2984"/>
      <c r="AK361" s="175"/>
      <c r="AL361" s="175"/>
      <c r="AM361" s="175"/>
      <c r="AN361" s="457"/>
      <c r="AO361" s="457"/>
      <c r="AP361" s="1223">
        <f>IF(C412="Yes",2,0)</f>
        <v>0</v>
      </c>
    </row>
    <row r="362" spans="1:46" s="46" customFormat="1" ht="12.75" customHeight="1">
      <c r="A362" s="175"/>
      <c r="B362" s="156"/>
      <c r="C362" s="2984"/>
      <c r="D362" s="2984"/>
      <c r="E362" s="2984"/>
      <c r="F362" s="2984"/>
      <c r="G362" s="2984"/>
      <c r="H362" s="2984"/>
      <c r="I362" s="2984"/>
      <c r="J362" s="2984"/>
      <c r="K362" s="2984"/>
      <c r="L362" s="2984"/>
      <c r="M362" s="2984"/>
      <c r="N362" s="2984"/>
      <c r="O362" s="2984"/>
      <c r="P362" s="2984"/>
      <c r="Q362" s="2984"/>
      <c r="R362" s="2984"/>
      <c r="S362" s="2984"/>
      <c r="T362" s="2984"/>
      <c r="U362" s="2984"/>
      <c r="V362" s="2984"/>
      <c r="W362" s="2984"/>
      <c r="X362" s="2984"/>
      <c r="Y362" s="2984"/>
      <c r="Z362" s="2984"/>
      <c r="AA362" s="2984"/>
      <c r="AB362" s="2984"/>
      <c r="AC362" s="2984"/>
      <c r="AD362" s="2984"/>
      <c r="AE362" s="2984"/>
      <c r="AF362" s="2984"/>
      <c r="AG362" s="2984"/>
      <c r="AH362" s="2984"/>
      <c r="AI362" s="2984"/>
      <c r="AJ362" s="2984"/>
      <c r="AK362" s="175"/>
      <c r="AL362" s="175"/>
      <c r="AM362" s="175"/>
      <c r="AN362" s="457"/>
      <c r="AO362" s="1222" t="s">
        <v>188</v>
      </c>
      <c r="AP362" s="1223">
        <f>IF(C415="Yes",5,0)</f>
        <v>0</v>
      </c>
    </row>
    <row r="363" spans="1:46" s="46" customFormat="1" ht="12.75" customHeight="1">
      <c r="A363" s="175"/>
      <c r="B363" s="156"/>
      <c r="C363" s="2984"/>
      <c r="D363" s="2984"/>
      <c r="E363" s="2984"/>
      <c r="F363" s="2984"/>
      <c r="G363" s="2984"/>
      <c r="H363" s="2984"/>
      <c r="I363" s="2984"/>
      <c r="J363" s="2984"/>
      <c r="K363" s="2984"/>
      <c r="L363" s="2984"/>
      <c r="M363" s="2984"/>
      <c r="N363" s="2984"/>
      <c r="O363" s="2984"/>
      <c r="P363" s="2984"/>
      <c r="Q363" s="2984"/>
      <c r="R363" s="2984"/>
      <c r="S363" s="2984"/>
      <c r="T363" s="2984"/>
      <c r="U363" s="2984"/>
      <c r="V363" s="2984"/>
      <c r="W363" s="2984"/>
      <c r="X363" s="2984"/>
      <c r="Y363" s="2984"/>
      <c r="Z363" s="2984"/>
      <c r="AA363" s="2984"/>
      <c r="AB363" s="2984"/>
      <c r="AC363" s="2984"/>
      <c r="AD363" s="2984"/>
      <c r="AE363" s="2984"/>
      <c r="AF363" s="2984"/>
      <c r="AG363" s="2984"/>
      <c r="AH363" s="2984"/>
      <c r="AI363" s="2984"/>
      <c r="AJ363" s="2984"/>
      <c r="AK363" s="175"/>
      <c r="AL363" s="175"/>
      <c r="AM363" s="175"/>
      <c r="AN363" s="457"/>
      <c r="AO363" s="1222" t="s">
        <v>488</v>
      </c>
      <c r="AP363" s="1223">
        <f>IF(C424="Yes",5,0)</f>
        <v>0</v>
      </c>
    </row>
    <row r="364" spans="1:46" s="46" customFormat="1" ht="12.75" customHeight="1">
      <c r="A364" s="175"/>
      <c r="B364" s="156"/>
      <c r="C364" s="2984" t="s">
        <v>2154</v>
      </c>
      <c r="D364" s="2984"/>
      <c r="E364" s="2984"/>
      <c r="F364" s="2984"/>
      <c r="G364" s="2984"/>
      <c r="H364" s="2984"/>
      <c r="I364" s="2984"/>
      <c r="J364" s="2984"/>
      <c r="K364" s="2984"/>
      <c r="L364" s="2984"/>
      <c r="M364" s="2984"/>
      <c r="N364" s="2984"/>
      <c r="O364" s="2984"/>
      <c r="P364" s="2984"/>
      <c r="Q364" s="2984"/>
      <c r="R364" s="2984"/>
      <c r="S364" s="2984"/>
      <c r="T364" s="2984"/>
      <c r="U364" s="2984"/>
      <c r="V364" s="2984"/>
      <c r="W364" s="2984"/>
      <c r="X364" s="2984"/>
      <c r="Y364" s="2984"/>
      <c r="Z364" s="2984"/>
      <c r="AA364" s="2984"/>
      <c r="AB364" s="2984"/>
      <c r="AC364" s="2984"/>
      <c r="AD364" s="2984"/>
      <c r="AE364" s="2984"/>
      <c r="AF364" s="2984"/>
      <c r="AG364" s="2984"/>
      <c r="AH364" s="2984"/>
      <c r="AI364" s="2984"/>
      <c r="AJ364" s="2984"/>
      <c r="AK364" s="175"/>
      <c r="AL364" s="175"/>
      <c r="AM364" s="175"/>
      <c r="AN364" s="457"/>
      <c r="AO364" s="457"/>
      <c r="AP364" s="1223">
        <f>IF(C426="Yes",3,0)</f>
        <v>0</v>
      </c>
    </row>
    <row r="365" spans="1:46" s="46" customFormat="1" ht="12.75" customHeight="1">
      <c r="A365" s="175"/>
      <c r="B365" s="156"/>
      <c r="C365" s="2984"/>
      <c r="D365" s="2984"/>
      <c r="E365" s="2984"/>
      <c r="F365" s="2984"/>
      <c r="G365" s="2984"/>
      <c r="H365" s="2984"/>
      <c r="I365" s="2984"/>
      <c r="J365" s="2984"/>
      <c r="K365" s="2984"/>
      <c r="L365" s="2984"/>
      <c r="M365" s="2984"/>
      <c r="N365" s="2984"/>
      <c r="O365" s="2984"/>
      <c r="P365" s="2984"/>
      <c r="Q365" s="2984"/>
      <c r="R365" s="2984"/>
      <c r="S365" s="2984"/>
      <c r="T365" s="2984"/>
      <c r="U365" s="2984"/>
      <c r="V365" s="2984"/>
      <c r="W365" s="2984"/>
      <c r="X365" s="2984"/>
      <c r="Y365" s="2984"/>
      <c r="Z365" s="2984"/>
      <c r="AA365" s="2984"/>
      <c r="AB365" s="2984"/>
      <c r="AC365" s="2984"/>
      <c r="AD365" s="2984"/>
      <c r="AE365" s="2984"/>
      <c r="AF365" s="2984"/>
      <c r="AG365" s="2984"/>
      <c r="AH365" s="2984"/>
      <c r="AI365" s="2984"/>
      <c r="AJ365" s="2984"/>
      <c r="AK365" s="175"/>
      <c r="AL365" s="175"/>
      <c r="AM365" s="175"/>
      <c r="AN365" s="457"/>
      <c r="AO365" s="1224"/>
      <c r="AP365" s="1225">
        <f>IF(C428="Yes",2,0)</f>
        <v>0</v>
      </c>
    </row>
    <row r="366" spans="1:46" s="46" customFormat="1" ht="68.099999999999994" customHeight="1">
      <c r="A366" s="175"/>
      <c r="B366" s="156"/>
      <c r="C366" s="2984"/>
      <c r="D366" s="2984"/>
      <c r="E366" s="2984"/>
      <c r="F366" s="2984"/>
      <c r="G366" s="2984"/>
      <c r="H366" s="2984"/>
      <c r="I366" s="2984"/>
      <c r="J366" s="2984"/>
      <c r="K366" s="2984"/>
      <c r="L366" s="2984"/>
      <c r="M366" s="2984"/>
      <c r="N366" s="2984"/>
      <c r="O366" s="2984"/>
      <c r="P366" s="2984"/>
      <c r="Q366" s="2984"/>
      <c r="R366" s="2984"/>
      <c r="S366" s="2984"/>
      <c r="T366" s="2984"/>
      <c r="U366" s="2984"/>
      <c r="V366" s="2984"/>
      <c r="W366" s="2984"/>
      <c r="X366" s="2984"/>
      <c r="Y366" s="2984"/>
      <c r="Z366" s="2984"/>
      <c r="AA366" s="2984"/>
      <c r="AB366" s="2984"/>
      <c r="AC366" s="2984"/>
      <c r="AD366" s="2984"/>
      <c r="AE366" s="2984"/>
      <c r="AF366" s="2984"/>
      <c r="AG366" s="2984"/>
      <c r="AH366" s="2984"/>
      <c r="AI366" s="2984"/>
      <c r="AJ366" s="2984"/>
      <c r="AK366" s="175"/>
      <c r="AL366" s="175"/>
      <c r="AM366" s="175"/>
      <c r="AN366" s="457"/>
      <c r="AO366" s="1226" t="s">
        <v>683</v>
      </c>
      <c r="AP366" s="1227">
        <f>SUM(AP352:AP365)</f>
        <v>0</v>
      </c>
      <c r="AQ366" s="2974">
        <f>IF(AP366&gt;0,AP366,0)</f>
        <v>0</v>
      </c>
      <c r="AR366" s="2974"/>
    </row>
    <row r="367" spans="1:46" s="46" customFormat="1" ht="12.4" customHeight="1">
      <c r="A367" s="175"/>
      <c r="B367" s="156"/>
      <c r="C367" s="453" t="s">
        <v>1706</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3170">
        <f>'Service Amenities Budget'!J10</f>
        <v>496</v>
      </c>
      <c r="V368" s="3170"/>
      <c r="W368" s="317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3171">
        <f>'Service Amenities Budget'!J9</f>
        <v>0</v>
      </c>
      <c r="V369" s="3171"/>
      <c r="W369" s="3171"/>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936" t="s">
        <v>2076</v>
      </c>
      <c r="G373" s="2936"/>
      <c r="H373" s="2936"/>
      <c r="I373" s="2936"/>
      <c r="J373" s="2936"/>
      <c r="K373" s="2936"/>
      <c r="L373" s="2936"/>
      <c r="M373" s="2936"/>
      <c r="N373" s="2936"/>
      <c r="O373" s="2936"/>
      <c r="P373" s="2936"/>
      <c r="Q373" s="2936"/>
      <c r="R373" s="2936"/>
      <c r="S373" s="2936"/>
      <c r="T373" s="2936"/>
      <c r="U373" s="2936"/>
      <c r="V373" s="2936"/>
      <c r="W373" s="2936"/>
      <c r="X373" s="2936"/>
      <c r="Y373" s="2936"/>
      <c r="Z373" s="2936"/>
      <c r="AA373" s="2936"/>
      <c r="AB373" s="2936"/>
      <c r="AC373" s="2936"/>
      <c r="AD373" s="2936"/>
      <c r="AE373" s="2936"/>
      <c r="AF373" s="293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937"/>
      <c r="G374" s="2937"/>
      <c r="H374" s="2937"/>
      <c r="I374" s="2937"/>
      <c r="J374" s="2937"/>
      <c r="K374" s="2937"/>
      <c r="L374" s="2937"/>
      <c r="M374" s="2937"/>
      <c r="N374" s="2937"/>
      <c r="O374" s="2937"/>
      <c r="P374" s="2937"/>
      <c r="Q374" s="2937"/>
      <c r="R374" s="2937"/>
      <c r="S374" s="2937"/>
      <c r="T374" s="2937"/>
      <c r="U374" s="2937"/>
      <c r="V374" s="2937"/>
      <c r="W374" s="2937"/>
      <c r="X374" s="2937"/>
      <c r="Y374" s="2937"/>
      <c r="Z374" s="2937"/>
      <c r="AA374" s="2937"/>
      <c r="AB374" s="2937"/>
      <c r="AC374" s="2937"/>
      <c r="AD374" s="2937"/>
      <c r="AE374" s="2937"/>
      <c r="AF374" s="2937"/>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937"/>
      <c r="G375" s="2937"/>
      <c r="H375" s="2937"/>
      <c r="I375" s="2937"/>
      <c r="J375" s="2937"/>
      <c r="K375" s="2937"/>
      <c r="L375" s="2937"/>
      <c r="M375" s="2937"/>
      <c r="N375" s="2937"/>
      <c r="O375" s="2937"/>
      <c r="P375" s="2937"/>
      <c r="Q375" s="2937"/>
      <c r="R375" s="2937"/>
      <c r="S375" s="2937"/>
      <c r="T375" s="2937"/>
      <c r="U375" s="2937"/>
      <c r="V375" s="2937"/>
      <c r="W375" s="2937"/>
      <c r="X375" s="2937"/>
      <c r="Y375" s="2937"/>
      <c r="Z375" s="2937"/>
      <c r="AA375" s="2937"/>
      <c r="AB375" s="2937"/>
      <c r="AC375" s="2937"/>
      <c r="AD375" s="2937"/>
      <c r="AE375" s="2937"/>
      <c r="AF375" s="293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937"/>
      <c r="G376" s="2937"/>
      <c r="H376" s="2937"/>
      <c r="I376" s="2937"/>
      <c r="J376" s="2937"/>
      <c r="K376" s="2937"/>
      <c r="L376" s="2937"/>
      <c r="M376" s="2937"/>
      <c r="N376" s="2937"/>
      <c r="O376" s="2937"/>
      <c r="P376" s="2937"/>
      <c r="Q376" s="2937"/>
      <c r="R376" s="2937"/>
      <c r="S376" s="2937"/>
      <c r="T376" s="2937"/>
      <c r="U376" s="2937"/>
      <c r="V376" s="2937"/>
      <c r="W376" s="2937"/>
      <c r="X376" s="2937"/>
      <c r="Y376" s="2937"/>
      <c r="Z376" s="2937"/>
      <c r="AA376" s="2937"/>
      <c r="AB376" s="2937"/>
      <c r="AC376" s="2937"/>
      <c r="AD376" s="2937"/>
      <c r="AE376" s="2937"/>
      <c r="AF376" s="293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962" t="s">
        <v>135</v>
      </c>
      <c r="D377" s="2343"/>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943" t="s">
        <v>359</v>
      </c>
      <c r="AG377" s="2943"/>
      <c r="AH377" s="2943"/>
      <c r="AI377" s="2943"/>
      <c r="AJ377" s="2943"/>
      <c r="AK377" s="2943"/>
      <c r="AL377" s="294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962" t="s">
        <v>135</v>
      </c>
      <c r="D379" s="2343"/>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978" t="s">
        <v>1078</v>
      </c>
      <c r="AG379" s="2978"/>
      <c r="AH379" s="2978"/>
      <c r="AI379" s="2978"/>
      <c r="AJ379" s="2978"/>
      <c r="AK379" s="2978"/>
      <c r="AL379" s="2979"/>
      <c r="AM379" s="16"/>
      <c r="AN379" s="457"/>
      <c r="AO379" s="575" t="s">
        <v>683</v>
      </c>
      <c r="AP379" s="576">
        <f>SUM(AP367:AP378)</f>
        <v>0</v>
      </c>
      <c r="AQ379" s="2974">
        <f>IF(AP379&gt;0,AP379,0)</f>
        <v>0</v>
      </c>
      <c r="AR379" s="297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936" t="s">
        <v>2075</v>
      </c>
      <c r="G382" s="2936"/>
      <c r="H382" s="2936"/>
      <c r="I382" s="2936"/>
      <c r="J382" s="2936"/>
      <c r="K382" s="2936"/>
      <c r="L382" s="2936"/>
      <c r="M382" s="2936"/>
      <c r="N382" s="2936"/>
      <c r="O382" s="2936"/>
      <c r="P382" s="2936"/>
      <c r="Q382" s="2936"/>
      <c r="R382" s="2936"/>
      <c r="S382" s="2936"/>
      <c r="T382" s="2936"/>
      <c r="U382" s="2936"/>
      <c r="V382" s="2936"/>
      <c r="W382" s="2936"/>
      <c r="X382" s="2936"/>
      <c r="Y382" s="2936"/>
      <c r="Z382" s="2936"/>
      <c r="AA382" s="2936"/>
      <c r="AB382" s="2936"/>
      <c r="AC382" s="2936"/>
      <c r="AD382" s="2936"/>
      <c r="AE382" s="2936"/>
      <c r="AF382" s="293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937"/>
      <c r="G383" s="2937"/>
      <c r="H383" s="2937"/>
      <c r="I383" s="2937"/>
      <c r="J383" s="2937"/>
      <c r="K383" s="2937"/>
      <c r="L383" s="2937"/>
      <c r="M383" s="2937"/>
      <c r="N383" s="2937"/>
      <c r="O383" s="2937"/>
      <c r="P383" s="2937"/>
      <c r="Q383" s="2937"/>
      <c r="R383" s="2937"/>
      <c r="S383" s="2937"/>
      <c r="T383" s="2937"/>
      <c r="U383" s="2937"/>
      <c r="V383" s="2937"/>
      <c r="W383" s="2937"/>
      <c r="X383" s="2937"/>
      <c r="Y383" s="2937"/>
      <c r="Z383" s="2937"/>
      <c r="AA383" s="2937"/>
      <c r="AB383" s="2937"/>
      <c r="AC383" s="2937"/>
      <c r="AD383" s="2937"/>
      <c r="AE383" s="2937"/>
      <c r="AF383" s="293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937"/>
      <c r="G384" s="2937"/>
      <c r="H384" s="2937"/>
      <c r="I384" s="2937"/>
      <c r="J384" s="2937"/>
      <c r="K384" s="2937"/>
      <c r="L384" s="2937"/>
      <c r="M384" s="2937"/>
      <c r="N384" s="2937"/>
      <c r="O384" s="2937"/>
      <c r="P384" s="2937"/>
      <c r="Q384" s="2937"/>
      <c r="R384" s="2937"/>
      <c r="S384" s="2937"/>
      <c r="T384" s="2937"/>
      <c r="U384" s="2937"/>
      <c r="V384" s="2937"/>
      <c r="W384" s="2937"/>
      <c r="X384" s="2937"/>
      <c r="Y384" s="2937"/>
      <c r="Z384" s="2937"/>
      <c r="AA384" s="2937"/>
      <c r="AB384" s="2937"/>
      <c r="AC384" s="2937"/>
      <c r="AD384" s="2937"/>
      <c r="AE384" s="2937"/>
      <c r="AF384" s="293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937"/>
      <c r="G385" s="2937"/>
      <c r="H385" s="2937"/>
      <c r="I385" s="2937"/>
      <c r="J385" s="2937"/>
      <c r="K385" s="2937"/>
      <c r="L385" s="2937"/>
      <c r="M385" s="2937"/>
      <c r="N385" s="2937"/>
      <c r="O385" s="2937"/>
      <c r="P385" s="2937"/>
      <c r="Q385" s="2937"/>
      <c r="R385" s="2937"/>
      <c r="S385" s="2937"/>
      <c r="T385" s="2937"/>
      <c r="U385" s="2937"/>
      <c r="V385" s="2937"/>
      <c r="W385" s="2937"/>
      <c r="X385" s="2937"/>
      <c r="Y385" s="2937"/>
      <c r="Z385" s="2937"/>
      <c r="AA385" s="2937"/>
      <c r="AB385" s="2937"/>
      <c r="AC385" s="2937"/>
      <c r="AD385" s="2937"/>
      <c r="AE385" s="2937"/>
      <c r="AF385" s="293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937"/>
      <c r="G386" s="2937"/>
      <c r="H386" s="2937"/>
      <c r="I386" s="2937"/>
      <c r="J386" s="2937"/>
      <c r="K386" s="2937"/>
      <c r="L386" s="2937"/>
      <c r="M386" s="2937"/>
      <c r="N386" s="2937"/>
      <c r="O386" s="2937"/>
      <c r="P386" s="2937"/>
      <c r="Q386" s="2937"/>
      <c r="R386" s="2937"/>
      <c r="S386" s="2937"/>
      <c r="T386" s="2937"/>
      <c r="U386" s="2937"/>
      <c r="V386" s="2937"/>
      <c r="W386" s="2937"/>
      <c r="X386" s="2937"/>
      <c r="Y386" s="2937"/>
      <c r="Z386" s="2937"/>
      <c r="AA386" s="2937"/>
      <c r="AB386" s="2937"/>
      <c r="AC386" s="2937"/>
      <c r="AD386" s="2937"/>
      <c r="AE386" s="2937"/>
      <c r="AF386" s="293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962" t="s">
        <v>135</v>
      </c>
      <c r="D387" s="2343"/>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943" t="s">
        <v>359</v>
      </c>
      <c r="AG387" s="2943"/>
      <c r="AH387" s="2943"/>
      <c r="AI387" s="2943"/>
      <c r="AJ387" s="2943"/>
      <c r="AK387" s="2943"/>
      <c r="AL387" s="294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962" t="s">
        <v>135</v>
      </c>
      <c r="D389" s="2343"/>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978" t="s">
        <v>1078</v>
      </c>
      <c r="AG389" s="2978"/>
      <c r="AH389" s="2978"/>
      <c r="AI389" s="2978"/>
      <c r="AJ389" s="2978"/>
      <c r="AK389" s="2978"/>
      <c r="AL389" s="297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936" t="s">
        <v>2074</v>
      </c>
      <c r="G392" s="2936"/>
      <c r="H392" s="2936"/>
      <c r="I392" s="2936"/>
      <c r="J392" s="2936"/>
      <c r="K392" s="2936"/>
      <c r="L392" s="2936"/>
      <c r="M392" s="2936"/>
      <c r="N392" s="2936"/>
      <c r="O392" s="2936"/>
      <c r="P392" s="2936"/>
      <c r="Q392" s="2936"/>
      <c r="R392" s="2936"/>
      <c r="S392" s="2936"/>
      <c r="T392" s="2936"/>
      <c r="U392" s="2936"/>
      <c r="V392" s="2936"/>
      <c r="W392" s="2936"/>
      <c r="X392" s="2936"/>
      <c r="Y392" s="2936"/>
      <c r="Z392" s="2936"/>
      <c r="AA392" s="2936"/>
      <c r="AB392" s="2936"/>
      <c r="AC392" s="2936"/>
      <c r="AD392" s="2936"/>
      <c r="AE392" s="2936"/>
      <c r="AF392" s="293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937"/>
      <c r="G393" s="2937"/>
      <c r="H393" s="2937"/>
      <c r="I393" s="2937"/>
      <c r="J393" s="2937"/>
      <c r="K393" s="2937"/>
      <c r="L393" s="2937"/>
      <c r="M393" s="2937"/>
      <c r="N393" s="2937"/>
      <c r="O393" s="2937"/>
      <c r="P393" s="2937"/>
      <c r="Q393" s="2937"/>
      <c r="R393" s="2937"/>
      <c r="S393" s="2937"/>
      <c r="T393" s="2937"/>
      <c r="U393" s="2937"/>
      <c r="V393" s="2937"/>
      <c r="W393" s="2937"/>
      <c r="X393" s="2937"/>
      <c r="Y393" s="2937"/>
      <c r="Z393" s="2937"/>
      <c r="AA393" s="2937"/>
      <c r="AB393" s="2937"/>
      <c r="AC393" s="2937"/>
      <c r="AD393" s="2937"/>
      <c r="AE393" s="2937"/>
      <c r="AF393" s="293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937"/>
      <c r="G394" s="2937"/>
      <c r="H394" s="2937"/>
      <c r="I394" s="2937"/>
      <c r="J394" s="2937"/>
      <c r="K394" s="2937"/>
      <c r="L394" s="2937"/>
      <c r="M394" s="2937"/>
      <c r="N394" s="2937"/>
      <c r="O394" s="2937"/>
      <c r="P394" s="2937"/>
      <c r="Q394" s="2937"/>
      <c r="R394" s="2937"/>
      <c r="S394" s="2937"/>
      <c r="T394" s="2937"/>
      <c r="U394" s="2937"/>
      <c r="V394" s="2937"/>
      <c r="W394" s="2937"/>
      <c r="X394" s="2937"/>
      <c r="Y394" s="2937"/>
      <c r="Z394" s="2937"/>
      <c r="AA394" s="2937"/>
      <c r="AB394" s="2937"/>
      <c r="AC394" s="2937"/>
      <c r="AD394" s="2937"/>
      <c r="AE394" s="2937"/>
      <c r="AF394" s="293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937"/>
      <c r="G395" s="2937"/>
      <c r="H395" s="2937"/>
      <c r="I395" s="2937"/>
      <c r="J395" s="2937"/>
      <c r="K395" s="2937"/>
      <c r="L395" s="2937"/>
      <c r="M395" s="2937"/>
      <c r="N395" s="2937"/>
      <c r="O395" s="2937"/>
      <c r="P395" s="2937"/>
      <c r="Q395" s="2937"/>
      <c r="R395" s="2937"/>
      <c r="S395" s="2937"/>
      <c r="T395" s="2937"/>
      <c r="U395" s="2937"/>
      <c r="V395" s="2937"/>
      <c r="W395" s="2937"/>
      <c r="X395" s="2937"/>
      <c r="Y395" s="2937"/>
      <c r="Z395" s="2937"/>
      <c r="AA395" s="2937"/>
      <c r="AB395" s="2937"/>
      <c r="AC395" s="2937"/>
      <c r="AD395" s="2937"/>
      <c r="AE395" s="2937"/>
      <c r="AF395" s="293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962" t="s">
        <v>135</v>
      </c>
      <c r="D396" s="2343"/>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943" t="s">
        <v>1081</v>
      </c>
      <c r="AG396" s="2943"/>
      <c r="AH396" s="2943"/>
      <c r="AI396" s="2943"/>
      <c r="AJ396" s="2943"/>
      <c r="AK396" s="2943"/>
      <c r="AL396" s="294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962" t="s">
        <v>135</v>
      </c>
      <c r="D398" s="2343"/>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943" t="s">
        <v>359</v>
      </c>
      <c r="AG398" s="2943"/>
      <c r="AH398" s="2943"/>
      <c r="AI398" s="2943"/>
      <c r="AJ398" s="2943"/>
      <c r="AK398" s="2943"/>
      <c r="AL398" s="294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962" t="s">
        <v>135</v>
      </c>
      <c r="D400" s="2343"/>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943" t="s">
        <v>1078</v>
      </c>
      <c r="AG400" s="2943"/>
      <c r="AH400" s="2943"/>
      <c r="AI400" s="2943"/>
      <c r="AJ400" s="2943"/>
      <c r="AK400" s="2943"/>
      <c r="AL400" s="294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936" t="s">
        <v>2073</v>
      </c>
      <c r="G404" s="2936"/>
      <c r="H404" s="2936"/>
      <c r="I404" s="2936"/>
      <c r="J404" s="2936"/>
      <c r="K404" s="2936"/>
      <c r="L404" s="2936"/>
      <c r="M404" s="2936"/>
      <c r="N404" s="2936"/>
      <c r="O404" s="2936"/>
      <c r="P404" s="2936"/>
      <c r="Q404" s="2936"/>
      <c r="R404" s="2936"/>
      <c r="S404" s="2936"/>
      <c r="T404" s="2936"/>
      <c r="U404" s="2936"/>
      <c r="V404" s="2936"/>
      <c r="W404" s="2936"/>
      <c r="X404" s="2936"/>
      <c r="Y404" s="2936"/>
      <c r="Z404" s="2936"/>
      <c r="AA404" s="2936"/>
      <c r="AB404" s="2936"/>
      <c r="AC404" s="2936"/>
      <c r="AD404" s="2936"/>
      <c r="AE404" s="2936"/>
      <c r="AF404" s="293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937"/>
      <c r="G405" s="2937"/>
      <c r="H405" s="2937"/>
      <c r="I405" s="2937"/>
      <c r="J405" s="2937"/>
      <c r="K405" s="2937"/>
      <c r="L405" s="2937"/>
      <c r="M405" s="2937"/>
      <c r="N405" s="2937"/>
      <c r="O405" s="2937"/>
      <c r="P405" s="2937"/>
      <c r="Q405" s="2937"/>
      <c r="R405" s="2937"/>
      <c r="S405" s="2937"/>
      <c r="T405" s="2937"/>
      <c r="U405" s="2937"/>
      <c r="V405" s="2937"/>
      <c r="W405" s="2937"/>
      <c r="X405" s="2937"/>
      <c r="Y405" s="2937"/>
      <c r="Z405" s="2937"/>
      <c r="AA405" s="2937"/>
      <c r="AB405" s="2937"/>
      <c r="AC405" s="2937"/>
      <c r="AD405" s="2937"/>
      <c r="AE405" s="2937"/>
      <c r="AF405" s="293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937"/>
      <c r="G406" s="2937"/>
      <c r="H406" s="2937"/>
      <c r="I406" s="2937"/>
      <c r="J406" s="2937"/>
      <c r="K406" s="2937"/>
      <c r="L406" s="2937"/>
      <c r="M406" s="2937"/>
      <c r="N406" s="2937"/>
      <c r="O406" s="2937"/>
      <c r="P406" s="2937"/>
      <c r="Q406" s="2937"/>
      <c r="R406" s="2937"/>
      <c r="S406" s="2937"/>
      <c r="T406" s="2937"/>
      <c r="U406" s="2937"/>
      <c r="V406" s="2937"/>
      <c r="W406" s="2937"/>
      <c r="X406" s="2937"/>
      <c r="Y406" s="2937"/>
      <c r="Z406" s="2937"/>
      <c r="AA406" s="2937"/>
      <c r="AB406" s="2937"/>
      <c r="AC406" s="2937"/>
      <c r="AD406" s="2937"/>
      <c r="AE406" s="2937"/>
      <c r="AF406" s="293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937"/>
      <c r="G407" s="2937"/>
      <c r="H407" s="2937"/>
      <c r="I407" s="2937"/>
      <c r="J407" s="2937"/>
      <c r="K407" s="2937"/>
      <c r="L407" s="2937"/>
      <c r="M407" s="2937"/>
      <c r="N407" s="2937"/>
      <c r="O407" s="2937"/>
      <c r="P407" s="2937"/>
      <c r="Q407" s="2937"/>
      <c r="R407" s="2937"/>
      <c r="S407" s="2937"/>
      <c r="T407" s="2937"/>
      <c r="U407" s="2937"/>
      <c r="V407" s="2937"/>
      <c r="W407" s="2937"/>
      <c r="X407" s="2937"/>
      <c r="Y407" s="2937"/>
      <c r="Z407" s="2937"/>
      <c r="AA407" s="2937"/>
      <c r="AB407" s="2937"/>
      <c r="AC407" s="2937"/>
      <c r="AD407" s="2937"/>
      <c r="AE407" s="2937"/>
      <c r="AF407" s="293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962" t="s">
        <v>135</v>
      </c>
      <c r="D408" s="2343"/>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943" t="s">
        <v>359</v>
      </c>
      <c r="AG408" s="2943"/>
      <c r="AH408" s="2943"/>
      <c r="AI408" s="2943"/>
      <c r="AJ408" s="2943"/>
      <c r="AK408" s="2943"/>
      <c r="AL408" s="294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962" t="s">
        <v>135</v>
      </c>
      <c r="D410" s="2343"/>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943" t="s">
        <v>1078</v>
      </c>
      <c r="AG410" s="2943"/>
      <c r="AH410" s="2943"/>
      <c r="AI410" s="2943"/>
      <c r="AJ410" s="2943"/>
      <c r="AK410" s="2943"/>
      <c r="AL410" s="294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962" t="s">
        <v>135</v>
      </c>
      <c r="D412" s="2343"/>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943" t="s">
        <v>1084</v>
      </c>
      <c r="AG412" s="2943"/>
      <c r="AH412" s="2943"/>
      <c r="AI412" s="2943"/>
      <c r="AJ412" s="2943"/>
      <c r="AK412" s="2943"/>
      <c r="AL412" s="294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962" t="s">
        <v>135</v>
      </c>
      <c r="D415" s="2343"/>
      <c r="E415" s="1242" t="s">
        <v>210</v>
      </c>
      <c r="F415" s="2936" t="s">
        <v>2078</v>
      </c>
      <c r="G415" s="2936"/>
      <c r="H415" s="2936"/>
      <c r="I415" s="2936"/>
      <c r="J415" s="2936"/>
      <c r="K415" s="2936"/>
      <c r="L415" s="2936"/>
      <c r="M415" s="2936"/>
      <c r="N415" s="2936"/>
      <c r="O415" s="2936"/>
      <c r="P415" s="2936"/>
      <c r="Q415" s="2936"/>
      <c r="R415" s="2936"/>
      <c r="S415" s="2936"/>
      <c r="T415" s="2936"/>
      <c r="U415" s="2936"/>
      <c r="V415" s="2936"/>
      <c r="W415" s="2936"/>
      <c r="X415" s="2936"/>
      <c r="Y415" s="2936"/>
      <c r="Z415" s="2936"/>
      <c r="AA415" s="2936"/>
      <c r="AB415" s="2936"/>
      <c r="AC415" s="2936"/>
      <c r="AD415" s="2936"/>
      <c r="AE415" s="293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937"/>
      <c r="G416" s="2937"/>
      <c r="H416" s="2937"/>
      <c r="I416" s="2937"/>
      <c r="J416" s="2937"/>
      <c r="K416" s="2937"/>
      <c r="L416" s="2937"/>
      <c r="M416" s="2937"/>
      <c r="N416" s="2937"/>
      <c r="O416" s="2937"/>
      <c r="P416" s="2937"/>
      <c r="Q416" s="2937"/>
      <c r="R416" s="2937"/>
      <c r="S416" s="2937"/>
      <c r="T416" s="2937"/>
      <c r="U416" s="2937"/>
      <c r="V416" s="2937"/>
      <c r="W416" s="2937"/>
      <c r="X416" s="2937"/>
      <c r="Y416" s="2937"/>
      <c r="Z416" s="2937"/>
      <c r="AA416" s="2937"/>
      <c r="AB416" s="2937"/>
      <c r="AC416" s="2937"/>
      <c r="AD416" s="2937"/>
      <c r="AE416" s="2937"/>
      <c r="AF416" s="2725" t="s">
        <v>359</v>
      </c>
      <c r="AG416" s="2725"/>
      <c r="AH416" s="2725"/>
      <c r="AI416" s="2725"/>
      <c r="AJ416" s="2725"/>
      <c r="AK416" s="2725"/>
      <c r="AL416" s="298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937"/>
      <c r="G417" s="2937"/>
      <c r="H417" s="2937"/>
      <c r="I417" s="2937"/>
      <c r="J417" s="2937"/>
      <c r="K417" s="2937"/>
      <c r="L417" s="2937"/>
      <c r="M417" s="2937"/>
      <c r="N417" s="2937"/>
      <c r="O417" s="2937"/>
      <c r="P417" s="2937"/>
      <c r="Q417" s="2937"/>
      <c r="R417" s="2937"/>
      <c r="S417" s="2937"/>
      <c r="T417" s="2937"/>
      <c r="U417" s="2937"/>
      <c r="V417" s="2937"/>
      <c r="W417" s="2937"/>
      <c r="X417" s="2937"/>
      <c r="Y417" s="2937"/>
      <c r="Z417" s="2937"/>
      <c r="AA417" s="2937"/>
      <c r="AB417" s="2937"/>
      <c r="AC417" s="2937"/>
      <c r="AD417" s="2937"/>
      <c r="AE417" s="293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938"/>
      <c r="G418" s="2938"/>
      <c r="H418" s="2938"/>
      <c r="I418" s="2938"/>
      <c r="J418" s="2938"/>
      <c r="K418" s="2938"/>
      <c r="L418" s="2938"/>
      <c r="M418" s="2938"/>
      <c r="N418" s="2938"/>
      <c r="O418" s="2938"/>
      <c r="P418" s="2938"/>
      <c r="Q418" s="2938"/>
      <c r="R418" s="2938"/>
      <c r="S418" s="2938"/>
      <c r="T418" s="2938"/>
      <c r="U418" s="2938"/>
      <c r="V418" s="2938"/>
      <c r="W418" s="2938"/>
      <c r="X418" s="2938"/>
      <c r="Y418" s="2938"/>
      <c r="Z418" s="2938"/>
      <c r="AA418" s="2938"/>
      <c r="AB418" s="2938"/>
      <c r="AC418" s="2938"/>
      <c r="AD418" s="2938"/>
      <c r="AE418" s="293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934" t="s">
        <v>2080</v>
      </c>
      <c r="G420" s="2934"/>
      <c r="H420" s="2934"/>
      <c r="I420" s="2934"/>
      <c r="J420" s="2934"/>
      <c r="K420" s="2934"/>
      <c r="L420" s="2934"/>
      <c r="M420" s="2934"/>
      <c r="N420" s="2934"/>
      <c r="O420" s="2934"/>
      <c r="P420" s="2934"/>
      <c r="Q420" s="2934"/>
      <c r="R420" s="2934"/>
      <c r="S420" s="2934"/>
      <c r="T420" s="2934"/>
      <c r="U420" s="2934"/>
      <c r="V420" s="2934"/>
      <c r="W420" s="2934"/>
      <c r="X420" s="2934"/>
      <c r="Y420" s="2934"/>
      <c r="Z420" s="2934"/>
      <c r="AA420" s="2934"/>
      <c r="AB420" s="2934"/>
      <c r="AC420" s="2934"/>
      <c r="AD420" s="2934"/>
      <c r="AE420" s="2934"/>
      <c r="AF420" s="1265"/>
      <c r="AG420" s="1265"/>
      <c r="AH420" s="1265"/>
      <c r="AI420" s="1265"/>
      <c r="AJ420" s="1265"/>
      <c r="AK420" s="1265"/>
      <c r="AL420" s="1266"/>
      <c r="AM420" s="16"/>
    </row>
    <row r="421" spans="1:153">
      <c r="A421" s="8"/>
      <c r="C421" s="1249"/>
      <c r="D421" s="129"/>
      <c r="E421" s="320"/>
      <c r="F421" s="2935"/>
      <c r="G421" s="2935"/>
      <c r="H421" s="2935"/>
      <c r="I421" s="2935"/>
      <c r="J421" s="2935"/>
      <c r="K421" s="2935"/>
      <c r="L421" s="2935"/>
      <c r="M421" s="2935"/>
      <c r="N421" s="2935"/>
      <c r="O421" s="2935"/>
      <c r="P421" s="2935"/>
      <c r="Q421" s="2935"/>
      <c r="R421" s="2935"/>
      <c r="S421" s="2935"/>
      <c r="T421" s="2935"/>
      <c r="U421" s="2935"/>
      <c r="V421" s="2935"/>
      <c r="W421" s="2935"/>
      <c r="X421" s="2935"/>
      <c r="Y421" s="2935"/>
      <c r="Z421" s="2935"/>
      <c r="AA421" s="2935"/>
      <c r="AB421" s="2935"/>
      <c r="AC421" s="2935"/>
      <c r="AD421" s="2935"/>
      <c r="AE421" s="2935"/>
      <c r="AF421" s="62"/>
      <c r="AG421" s="71"/>
      <c r="AH421" s="174"/>
      <c r="AI421" s="174"/>
      <c r="AJ421" s="174"/>
      <c r="AK421" s="174"/>
      <c r="AL421" s="1250"/>
      <c r="AM421" s="16"/>
    </row>
    <row r="422" spans="1:153" s="46" customFormat="1" ht="12.75" customHeight="1">
      <c r="A422" s="8"/>
      <c r="B422" s="65"/>
      <c r="C422" s="1249"/>
      <c r="D422" s="129"/>
      <c r="E422" s="320"/>
      <c r="F422" s="2935"/>
      <c r="G422" s="2935"/>
      <c r="H422" s="2935"/>
      <c r="I422" s="2935"/>
      <c r="J422" s="2935"/>
      <c r="K422" s="2935"/>
      <c r="L422" s="2935"/>
      <c r="M422" s="2935"/>
      <c r="N422" s="2935"/>
      <c r="O422" s="2935"/>
      <c r="P422" s="2935"/>
      <c r="Q422" s="2935"/>
      <c r="R422" s="2935"/>
      <c r="S422" s="2935"/>
      <c r="T422" s="2935"/>
      <c r="U422" s="2935"/>
      <c r="V422" s="2935"/>
      <c r="W422" s="2935"/>
      <c r="X422" s="2935"/>
      <c r="Y422" s="2935"/>
      <c r="Z422" s="2935"/>
      <c r="AA422" s="2935"/>
      <c r="AB422" s="2935"/>
      <c r="AC422" s="2935"/>
      <c r="AD422" s="2935"/>
      <c r="AE422" s="2935"/>
      <c r="AF422" s="174"/>
      <c r="AG422" s="174"/>
      <c r="AH422" s="174"/>
      <c r="AI422" s="174"/>
      <c r="AJ422" s="174"/>
      <c r="AK422" s="174"/>
      <c r="AL422" s="1250"/>
      <c r="AM422" s="16"/>
      <c r="AN422" s="457"/>
    </row>
    <row r="423" spans="1:153" s="46" customFormat="1" ht="12.75" customHeight="1">
      <c r="A423" s="8"/>
      <c r="B423" s="65"/>
      <c r="C423" s="1254"/>
      <c r="D423" s="174"/>
      <c r="E423" s="174"/>
      <c r="F423" s="2935"/>
      <c r="G423" s="2935"/>
      <c r="H423" s="2935"/>
      <c r="I423" s="2935"/>
      <c r="J423" s="2935"/>
      <c r="K423" s="2935"/>
      <c r="L423" s="2935"/>
      <c r="M423" s="2935"/>
      <c r="N423" s="2935"/>
      <c r="O423" s="2935"/>
      <c r="P423" s="2935"/>
      <c r="Q423" s="2935"/>
      <c r="R423" s="2935"/>
      <c r="S423" s="2935"/>
      <c r="T423" s="2935"/>
      <c r="U423" s="2935"/>
      <c r="V423" s="2935"/>
      <c r="W423" s="2935"/>
      <c r="X423" s="2935"/>
      <c r="Y423" s="2935"/>
      <c r="Z423" s="2935"/>
      <c r="AA423" s="2935"/>
      <c r="AB423" s="2935"/>
      <c r="AC423" s="2935"/>
      <c r="AD423" s="2935"/>
      <c r="AE423" s="2935"/>
      <c r="AF423" s="174"/>
      <c r="AG423" s="174"/>
      <c r="AH423" s="174"/>
      <c r="AI423" s="174"/>
      <c r="AJ423" s="174"/>
      <c r="AK423" s="174"/>
      <c r="AL423" s="1250"/>
      <c r="AM423" s="16"/>
      <c r="AN423" s="457"/>
    </row>
    <row r="424" spans="1:153" s="46" customFormat="1" ht="12.75" customHeight="1">
      <c r="A424" s="8"/>
      <c r="B424" s="65"/>
      <c r="C424" s="2962" t="s">
        <v>135</v>
      </c>
      <c r="D424" s="2343"/>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725" t="s">
        <v>359</v>
      </c>
      <c r="AG424" s="2725"/>
      <c r="AH424" s="2725"/>
      <c r="AI424" s="2725"/>
      <c r="AJ424" s="2725"/>
      <c r="AK424" s="2725"/>
      <c r="AL424" s="298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962" t="s">
        <v>135</v>
      </c>
      <c r="D426" s="2343"/>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725" t="s">
        <v>1078</v>
      </c>
      <c r="AG426" s="2725"/>
      <c r="AH426" s="2725"/>
      <c r="AI426" s="2725"/>
      <c r="AJ426" s="2725"/>
      <c r="AK426" s="2725"/>
      <c r="AL426" s="298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962" t="s">
        <v>135</v>
      </c>
      <c r="D428" s="2343"/>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940" t="s">
        <v>1084</v>
      </c>
      <c r="AG428" s="2940"/>
      <c r="AH428" s="2940"/>
      <c r="AI428" s="2940"/>
      <c r="AJ428" s="2940"/>
      <c r="AK428" s="2940"/>
      <c r="AL428" s="2941"/>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936" t="s">
        <v>2081</v>
      </c>
      <c r="G432" s="2936"/>
      <c r="H432" s="2936"/>
      <c r="I432" s="2936"/>
      <c r="J432" s="2936"/>
      <c r="K432" s="2936"/>
      <c r="L432" s="2936"/>
      <c r="M432" s="2936"/>
      <c r="N432" s="2936"/>
      <c r="O432" s="2936"/>
      <c r="P432" s="2936"/>
      <c r="Q432" s="2936"/>
      <c r="R432" s="2936"/>
      <c r="S432" s="2936"/>
      <c r="T432" s="2936"/>
      <c r="U432" s="2936"/>
      <c r="V432" s="2936"/>
      <c r="W432" s="2936"/>
      <c r="X432" s="2936"/>
      <c r="Y432" s="2936"/>
      <c r="Z432" s="2936"/>
      <c r="AA432" s="2936"/>
      <c r="AB432" s="2936"/>
      <c r="AC432" s="2936"/>
      <c r="AD432" s="2936"/>
      <c r="AE432" s="293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937"/>
      <c r="G433" s="2937"/>
      <c r="H433" s="2937"/>
      <c r="I433" s="2937"/>
      <c r="J433" s="2937"/>
      <c r="K433" s="2937"/>
      <c r="L433" s="2937"/>
      <c r="M433" s="2937"/>
      <c r="N433" s="2937"/>
      <c r="O433" s="2937"/>
      <c r="P433" s="2937"/>
      <c r="Q433" s="2937"/>
      <c r="R433" s="2937"/>
      <c r="S433" s="2937"/>
      <c r="T433" s="2937"/>
      <c r="U433" s="2937"/>
      <c r="V433" s="2937"/>
      <c r="W433" s="2937"/>
      <c r="X433" s="2937"/>
      <c r="Y433" s="2937"/>
      <c r="Z433" s="2937"/>
      <c r="AA433" s="2937"/>
      <c r="AB433" s="2937"/>
      <c r="AC433" s="2937"/>
      <c r="AD433" s="2937"/>
      <c r="AE433" s="293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937"/>
      <c r="G434" s="2937"/>
      <c r="H434" s="2937"/>
      <c r="I434" s="2937"/>
      <c r="J434" s="2937"/>
      <c r="K434" s="2937"/>
      <c r="L434" s="2937"/>
      <c r="M434" s="2937"/>
      <c r="N434" s="2937"/>
      <c r="O434" s="2937"/>
      <c r="P434" s="2937"/>
      <c r="Q434" s="2937"/>
      <c r="R434" s="2937"/>
      <c r="S434" s="2937"/>
      <c r="T434" s="2937"/>
      <c r="U434" s="2937"/>
      <c r="V434" s="2937"/>
      <c r="W434" s="2937"/>
      <c r="X434" s="2937"/>
      <c r="Y434" s="2937"/>
      <c r="Z434" s="2937"/>
      <c r="AA434" s="2937"/>
      <c r="AB434" s="2937"/>
      <c r="AC434" s="2937"/>
      <c r="AD434" s="2937"/>
      <c r="AE434" s="2937"/>
      <c r="AF434" s="174"/>
      <c r="AG434" s="174"/>
      <c r="AH434" s="174"/>
      <c r="AI434" s="174"/>
      <c r="AJ434" s="174"/>
      <c r="AK434" s="174"/>
      <c r="AL434" s="1250"/>
      <c r="AM434" s="16"/>
      <c r="AN434" s="457"/>
      <c r="AO434" s="174"/>
      <c r="AP434" s="174"/>
    </row>
    <row r="435" spans="1:60" s="46" customFormat="1" ht="12.75" customHeight="1">
      <c r="A435" s="8"/>
      <c r="B435" s="118"/>
      <c r="C435" s="2962" t="s">
        <v>135</v>
      </c>
      <c r="D435" s="2343"/>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725" t="s">
        <v>359</v>
      </c>
      <c r="AG435" s="2725"/>
      <c r="AH435" s="2725"/>
      <c r="AI435" s="2725"/>
      <c r="AJ435" s="2725"/>
      <c r="AK435" s="2725"/>
      <c r="AL435" s="298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962" t="s">
        <v>135</v>
      </c>
      <c r="D437" s="2343"/>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940" t="s">
        <v>1078</v>
      </c>
      <c r="AG437" s="2940"/>
      <c r="AH437" s="2940"/>
      <c r="AI437" s="2940"/>
      <c r="AJ437" s="2940"/>
      <c r="AK437" s="2940"/>
      <c r="AL437" s="2941"/>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936" t="s">
        <v>2082</v>
      </c>
      <c r="G439" s="2936"/>
      <c r="H439" s="2936"/>
      <c r="I439" s="2936"/>
      <c r="J439" s="2936"/>
      <c r="K439" s="2936"/>
      <c r="L439" s="2936"/>
      <c r="M439" s="2936"/>
      <c r="N439" s="2936"/>
      <c r="O439" s="2936"/>
      <c r="P439" s="2936"/>
      <c r="Q439" s="2936"/>
      <c r="R439" s="2936"/>
      <c r="S439" s="2936"/>
      <c r="T439" s="2936"/>
      <c r="U439" s="2936"/>
      <c r="V439" s="2936"/>
      <c r="W439" s="2936"/>
      <c r="X439" s="2936"/>
      <c r="Y439" s="2936"/>
      <c r="Z439" s="2936"/>
      <c r="AA439" s="2936"/>
      <c r="AB439" s="2936"/>
      <c r="AC439" s="2936"/>
      <c r="AD439" s="2936"/>
      <c r="AE439" s="293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937"/>
      <c r="G440" s="2937"/>
      <c r="H440" s="2937"/>
      <c r="I440" s="2937"/>
      <c r="J440" s="2937"/>
      <c r="K440" s="2937"/>
      <c r="L440" s="2937"/>
      <c r="M440" s="2937"/>
      <c r="N440" s="2937"/>
      <c r="O440" s="2937"/>
      <c r="P440" s="2937"/>
      <c r="Q440" s="2937"/>
      <c r="R440" s="2937"/>
      <c r="S440" s="2937"/>
      <c r="T440" s="2937"/>
      <c r="U440" s="2937"/>
      <c r="V440" s="2937"/>
      <c r="W440" s="2937"/>
      <c r="X440" s="2937"/>
      <c r="Y440" s="2937"/>
      <c r="Z440" s="2937"/>
      <c r="AA440" s="2937"/>
      <c r="AB440" s="2937"/>
      <c r="AC440" s="2937"/>
      <c r="AD440" s="2937"/>
      <c r="AE440" s="293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937"/>
      <c r="G441" s="2937"/>
      <c r="H441" s="2937"/>
      <c r="I441" s="2937"/>
      <c r="J441" s="2937"/>
      <c r="K441" s="2937"/>
      <c r="L441" s="2937"/>
      <c r="M441" s="2937"/>
      <c r="N441" s="2937"/>
      <c r="O441" s="2937"/>
      <c r="P441" s="2937"/>
      <c r="Q441" s="2937"/>
      <c r="R441" s="2937"/>
      <c r="S441" s="2937"/>
      <c r="T441" s="2937"/>
      <c r="U441" s="2937"/>
      <c r="V441" s="2937"/>
      <c r="W441" s="2937"/>
      <c r="X441" s="2937"/>
      <c r="Y441" s="2937"/>
      <c r="Z441" s="2937"/>
      <c r="AA441" s="2937"/>
      <c r="AB441" s="2937"/>
      <c r="AC441" s="2937"/>
      <c r="AD441" s="2937"/>
      <c r="AE441" s="293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937"/>
      <c r="G442" s="2937"/>
      <c r="H442" s="2937"/>
      <c r="I442" s="2937"/>
      <c r="J442" s="2937"/>
      <c r="K442" s="2937"/>
      <c r="L442" s="2937"/>
      <c r="M442" s="2937"/>
      <c r="N442" s="2937"/>
      <c r="O442" s="2937"/>
      <c r="P442" s="2937"/>
      <c r="Q442" s="2937"/>
      <c r="R442" s="2937"/>
      <c r="S442" s="2937"/>
      <c r="T442" s="2937"/>
      <c r="U442" s="2937"/>
      <c r="V442" s="2937"/>
      <c r="W442" s="2937"/>
      <c r="X442" s="2937"/>
      <c r="Y442" s="2937"/>
      <c r="Z442" s="2937"/>
      <c r="AA442" s="2937"/>
      <c r="AB442" s="2937"/>
      <c r="AC442" s="2937"/>
      <c r="AD442" s="2937"/>
      <c r="AE442" s="293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937"/>
      <c r="G443" s="2937"/>
      <c r="H443" s="2937"/>
      <c r="I443" s="2937"/>
      <c r="J443" s="2937"/>
      <c r="K443" s="2937"/>
      <c r="L443" s="2937"/>
      <c r="M443" s="2937"/>
      <c r="N443" s="2937"/>
      <c r="O443" s="2937"/>
      <c r="P443" s="2937"/>
      <c r="Q443" s="2937"/>
      <c r="R443" s="2937"/>
      <c r="S443" s="2937"/>
      <c r="T443" s="2937"/>
      <c r="U443" s="2937"/>
      <c r="V443" s="2937"/>
      <c r="W443" s="2937"/>
      <c r="X443" s="2937"/>
      <c r="Y443" s="2937"/>
      <c r="Z443" s="2937"/>
      <c r="AA443" s="2937"/>
      <c r="AB443" s="2937"/>
      <c r="AC443" s="2937"/>
      <c r="AD443" s="2937"/>
      <c r="AE443" s="293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937"/>
      <c r="G444" s="2937"/>
      <c r="H444" s="2937"/>
      <c r="I444" s="2937"/>
      <c r="J444" s="2937"/>
      <c r="K444" s="2937"/>
      <c r="L444" s="2937"/>
      <c r="M444" s="2937"/>
      <c r="N444" s="2937"/>
      <c r="O444" s="2937"/>
      <c r="P444" s="2937"/>
      <c r="Q444" s="2937"/>
      <c r="R444" s="2937"/>
      <c r="S444" s="2937"/>
      <c r="T444" s="2937"/>
      <c r="U444" s="2937"/>
      <c r="V444" s="2937"/>
      <c r="W444" s="2937"/>
      <c r="X444" s="2937"/>
      <c r="Y444" s="2937"/>
      <c r="Z444" s="2937"/>
      <c r="AA444" s="2937"/>
      <c r="AB444" s="2937"/>
      <c r="AC444" s="2937"/>
      <c r="AD444" s="2937"/>
      <c r="AE444" s="2937"/>
      <c r="AF444" s="1373"/>
      <c r="AG444" s="1373"/>
      <c r="AH444" s="1373"/>
      <c r="AI444" s="1373"/>
      <c r="AJ444" s="1373"/>
      <c r="AK444" s="1373"/>
      <c r="AL444" s="1380"/>
      <c r="AM444" s="16"/>
      <c r="AN444" s="457"/>
    </row>
    <row r="445" spans="1:60" s="46" customFormat="1" ht="12.75" customHeight="1">
      <c r="A445" s="8"/>
      <c r="B445" s="118"/>
      <c r="C445" s="1381"/>
      <c r="D445" s="1374"/>
      <c r="E445" s="368"/>
      <c r="F445" s="2937"/>
      <c r="G445" s="2937"/>
      <c r="H445" s="2937"/>
      <c r="I445" s="2937"/>
      <c r="J445" s="2937"/>
      <c r="K445" s="2937"/>
      <c r="L445" s="2937"/>
      <c r="M445" s="2937"/>
      <c r="N445" s="2937"/>
      <c r="O445" s="2937"/>
      <c r="P445" s="2937"/>
      <c r="Q445" s="2937"/>
      <c r="R445" s="2937"/>
      <c r="S445" s="2937"/>
      <c r="T445" s="2937"/>
      <c r="U445" s="2937"/>
      <c r="V445" s="2937"/>
      <c r="W445" s="2937"/>
      <c r="X445" s="2937"/>
      <c r="Y445" s="2937"/>
      <c r="Z445" s="2937"/>
      <c r="AA445" s="2937"/>
      <c r="AB445" s="2937"/>
      <c r="AC445" s="2937"/>
      <c r="AD445" s="2937"/>
      <c r="AE445" s="2937"/>
      <c r="AF445" s="1373"/>
      <c r="AG445" s="1373"/>
      <c r="AH445" s="1373"/>
      <c r="AI445" s="1373"/>
      <c r="AJ445" s="1373"/>
      <c r="AK445" s="1373"/>
      <c r="AL445" s="1380"/>
      <c r="AM445" s="16"/>
      <c r="AN445" s="457"/>
    </row>
    <row r="446" spans="1:60" s="46" customFormat="1" ht="12.75" customHeight="1">
      <c r="A446" s="8"/>
      <c r="B446" s="118"/>
      <c r="C446" s="1381"/>
      <c r="D446" s="1374"/>
      <c r="E446" s="368"/>
      <c r="F446" s="2937"/>
      <c r="G446" s="2937"/>
      <c r="H446" s="2937"/>
      <c r="I446" s="2937"/>
      <c r="J446" s="2937"/>
      <c r="K446" s="2937"/>
      <c r="L446" s="2937"/>
      <c r="M446" s="2937"/>
      <c r="N446" s="2937"/>
      <c r="O446" s="2937"/>
      <c r="P446" s="2937"/>
      <c r="Q446" s="2937"/>
      <c r="R446" s="2937"/>
      <c r="S446" s="2937"/>
      <c r="T446" s="2937"/>
      <c r="U446" s="2937"/>
      <c r="V446" s="2937"/>
      <c r="W446" s="2937"/>
      <c r="X446" s="2937"/>
      <c r="Y446" s="2937"/>
      <c r="Z446" s="2937"/>
      <c r="AA446" s="2937"/>
      <c r="AB446" s="2937"/>
      <c r="AC446" s="2937"/>
      <c r="AD446" s="2937"/>
      <c r="AE446" s="2937"/>
      <c r="AF446" s="1373"/>
      <c r="AG446" s="1373"/>
      <c r="AH446" s="1373"/>
      <c r="AI446" s="1373"/>
      <c r="AJ446" s="1373"/>
      <c r="AK446" s="1373"/>
      <c r="AL446" s="1380"/>
      <c r="AM446" s="16"/>
      <c r="AN446" s="457"/>
    </row>
    <row r="447" spans="1:60" s="46" customFormat="1" ht="17.25" customHeight="1">
      <c r="A447" s="8"/>
      <c r="B447" s="118"/>
      <c r="C447" s="1381"/>
      <c r="D447" s="1374"/>
      <c r="E447" s="368"/>
      <c r="F447" s="2937"/>
      <c r="G447" s="2937"/>
      <c r="H447" s="2937"/>
      <c r="I447" s="2937"/>
      <c r="J447" s="2937"/>
      <c r="K447" s="2937"/>
      <c r="L447" s="2937"/>
      <c r="M447" s="2937"/>
      <c r="N447" s="2937"/>
      <c r="O447" s="2937"/>
      <c r="P447" s="2937"/>
      <c r="Q447" s="2937"/>
      <c r="R447" s="2937"/>
      <c r="S447" s="2937"/>
      <c r="T447" s="2937"/>
      <c r="U447" s="2937"/>
      <c r="V447" s="2937"/>
      <c r="W447" s="2937"/>
      <c r="X447" s="2937"/>
      <c r="Y447" s="2937"/>
      <c r="Z447" s="2937"/>
      <c r="AA447" s="2937"/>
      <c r="AB447" s="2937"/>
      <c r="AC447" s="2937"/>
      <c r="AD447" s="2937"/>
      <c r="AE447" s="2937"/>
      <c r="AF447" s="174"/>
      <c r="AG447" s="174"/>
      <c r="AH447" s="174"/>
      <c r="AI447" s="174"/>
      <c r="AJ447" s="174"/>
      <c r="AK447" s="174"/>
      <c r="AL447" s="1250"/>
      <c r="AM447" s="16"/>
      <c r="AN447" s="457"/>
    </row>
    <row r="448" spans="1:60" s="46" customFormat="1" ht="12.75" customHeight="1">
      <c r="A448" s="8"/>
      <c r="B448" s="65"/>
      <c r="C448" s="2962" t="s">
        <v>135</v>
      </c>
      <c r="D448" s="2343"/>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725" t="s">
        <v>359</v>
      </c>
      <c r="AG448" s="2725"/>
      <c r="AH448" s="2725"/>
      <c r="AI448" s="2725"/>
      <c r="AJ448" s="2725"/>
      <c r="AK448" s="2725"/>
      <c r="AL448" s="298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962" t="s">
        <v>135</v>
      </c>
      <c r="D450" s="2343"/>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978" t="s">
        <v>1078</v>
      </c>
      <c r="AG450" s="2978"/>
      <c r="AH450" s="2978"/>
      <c r="AI450" s="2978"/>
      <c r="AJ450" s="2978"/>
      <c r="AK450" s="2978"/>
      <c r="AL450" s="297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936" t="s">
        <v>2086</v>
      </c>
      <c r="G452" s="2936"/>
      <c r="H452" s="2936"/>
      <c r="I452" s="2936"/>
      <c r="J452" s="2936"/>
      <c r="K452" s="2936"/>
      <c r="L452" s="2936"/>
      <c r="M452" s="2936"/>
      <c r="N452" s="2936"/>
      <c r="O452" s="2936"/>
      <c r="P452" s="2936"/>
      <c r="Q452" s="2936"/>
      <c r="R452" s="2936"/>
      <c r="S452" s="2936"/>
      <c r="T452" s="2936"/>
      <c r="U452" s="2936"/>
      <c r="V452" s="2936"/>
      <c r="W452" s="2936"/>
      <c r="X452" s="2936"/>
      <c r="Y452" s="2936"/>
      <c r="Z452" s="2936"/>
      <c r="AA452" s="2936"/>
      <c r="AB452" s="2936"/>
      <c r="AC452" s="2936"/>
      <c r="AD452" s="2936"/>
      <c r="AE452" s="2936"/>
      <c r="AF452" s="1241"/>
      <c r="AG452" s="1241"/>
      <c r="AH452" s="1241"/>
      <c r="AI452" s="1241"/>
      <c r="AJ452" s="1241"/>
      <c r="AK452" s="1241"/>
      <c r="AL452" s="1271"/>
      <c r="AM452" s="16"/>
      <c r="AN452" s="457"/>
    </row>
    <row r="453" spans="1:49" s="46" customFormat="1" ht="12.75" customHeight="1">
      <c r="A453" s="8"/>
      <c r="B453" s="118"/>
      <c r="C453" s="1381"/>
      <c r="D453" s="1374"/>
      <c r="E453" s="368"/>
      <c r="F453" s="2937"/>
      <c r="G453" s="2937"/>
      <c r="H453" s="2937"/>
      <c r="I453" s="2937"/>
      <c r="J453" s="2937"/>
      <c r="K453" s="2937"/>
      <c r="L453" s="2937"/>
      <c r="M453" s="2937"/>
      <c r="N453" s="2937"/>
      <c r="O453" s="2937"/>
      <c r="P453" s="2937"/>
      <c r="Q453" s="2937"/>
      <c r="R453" s="2937"/>
      <c r="S453" s="2937"/>
      <c r="T453" s="2937"/>
      <c r="U453" s="2937"/>
      <c r="V453" s="2937"/>
      <c r="W453" s="2937"/>
      <c r="X453" s="2937"/>
      <c r="Y453" s="2937"/>
      <c r="Z453" s="2937"/>
      <c r="AA453" s="2937"/>
      <c r="AB453" s="2937"/>
      <c r="AC453" s="2937"/>
      <c r="AD453" s="2937"/>
      <c r="AE453" s="2937"/>
      <c r="AF453" s="1375"/>
      <c r="AG453" s="1375"/>
      <c r="AH453" s="1375"/>
      <c r="AI453" s="1375"/>
      <c r="AJ453" s="1375"/>
      <c r="AK453" s="1375"/>
      <c r="AL453" s="1376"/>
      <c r="AM453" s="16"/>
      <c r="AN453" s="457"/>
    </row>
    <row r="454" spans="1:49" s="46" customFormat="1" ht="12.75" customHeight="1">
      <c r="A454" s="8"/>
      <c r="B454" s="118"/>
      <c r="C454" s="1381"/>
      <c r="D454" s="1374"/>
      <c r="E454" s="368"/>
      <c r="F454" s="2937"/>
      <c r="G454" s="2937"/>
      <c r="H454" s="2937"/>
      <c r="I454" s="2937"/>
      <c r="J454" s="2937"/>
      <c r="K454" s="2937"/>
      <c r="L454" s="2937"/>
      <c r="M454" s="2937"/>
      <c r="N454" s="2937"/>
      <c r="O454" s="2937"/>
      <c r="P454" s="2937"/>
      <c r="Q454" s="2937"/>
      <c r="R454" s="2937"/>
      <c r="S454" s="2937"/>
      <c r="T454" s="2937"/>
      <c r="U454" s="2937"/>
      <c r="V454" s="2937"/>
      <c r="W454" s="2937"/>
      <c r="X454" s="2937"/>
      <c r="Y454" s="2937"/>
      <c r="Z454" s="2937"/>
      <c r="AA454" s="2937"/>
      <c r="AB454" s="2937"/>
      <c r="AC454" s="2937"/>
      <c r="AD454" s="2937"/>
      <c r="AE454" s="2937"/>
      <c r="AF454" s="1375"/>
      <c r="AG454" s="1375"/>
      <c r="AH454" s="1375"/>
      <c r="AI454" s="1375"/>
      <c r="AJ454" s="1375"/>
      <c r="AK454" s="1375"/>
      <c r="AL454" s="1376"/>
      <c r="AM454" s="16"/>
      <c r="AN454" s="457"/>
    </row>
    <row r="455" spans="1:49" s="46" customFormat="1" ht="12.75" customHeight="1">
      <c r="A455" s="8"/>
      <c r="B455" s="118"/>
      <c r="C455" s="1381"/>
      <c r="D455" s="1374"/>
      <c r="E455" s="368"/>
      <c r="F455" s="2937"/>
      <c r="G455" s="2937"/>
      <c r="H455" s="2937"/>
      <c r="I455" s="2937"/>
      <c r="J455" s="2937"/>
      <c r="K455" s="2937"/>
      <c r="L455" s="2937"/>
      <c r="M455" s="2937"/>
      <c r="N455" s="2937"/>
      <c r="O455" s="2937"/>
      <c r="P455" s="2937"/>
      <c r="Q455" s="2937"/>
      <c r="R455" s="2937"/>
      <c r="S455" s="2937"/>
      <c r="T455" s="2937"/>
      <c r="U455" s="2937"/>
      <c r="V455" s="2937"/>
      <c r="W455" s="2937"/>
      <c r="X455" s="2937"/>
      <c r="Y455" s="2937"/>
      <c r="Z455" s="2937"/>
      <c r="AA455" s="2937"/>
      <c r="AB455" s="2937"/>
      <c r="AC455" s="2937"/>
      <c r="AD455" s="2937"/>
      <c r="AE455" s="2937"/>
      <c r="AF455" s="174"/>
      <c r="AG455" s="174"/>
      <c r="AH455" s="174"/>
      <c r="AI455" s="174"/>
      <c r="AJ455" s="174"/>
      <c r="AK455" s="174"/>
      <c r="AL455" s="1250"/>
      <c r="AM455" s="16"/>
      <c r="AN455" s="457"/>
    </row>
    <row r="456" spans="1:49" s="174" customFormat="1" ht="12.75" customHeight="1">
      <c r="A456" s="8"/>
      <c r="B456" s="118"/>
      <c r="C456" s="2962" t="s">
        <v>135</v>
      </c>
      <c r="D456" s="2343"/>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725" t="s">
        <v>359</v>
      </c>
      <c r="AG456" s="2725"/>
      <c r="AH456" s="2725"/>
      <c r="AI456" s="2725"/>
      <c r="AJ456" s="2725"/>
      <c r="AK456" s="2725"/>
      <c r="AL456" s="2980"/>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962" t="s">
        <v>135</v>
      </c>
      <c r="D458" s="2343"/>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943" t="s">
        <v>1078</v>
      </c>
      <c r="AG458" s="2943"/>
      <c r="AH458" s="2943"/>
      <c r="AI458" s="2943"/>
      <c r="AJ458" s="2943"/>
      <c r="AK458" s="2943"/>
      <c r="AL458" s="294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962" t="s">
        <v>135</v>
      </c>
      <c r="D460" s="2343"/>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943" t="s">
        <v>1084</v>
      </c>
      <c r="AG460" s="2943"/>
      <c r="AH460" s="2943"/>
      <c r="AI460" s="2943"/>
      <c r="AJ460" s="2943"/>
      <c r="AK460" s="2943"/>
      <c r="AL460" s="294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962" t="s">
        <v>135</v>
      </c>
      <c r="D464" s="2343"/>
      <c r="E464" s="1242" t="s">
        <v>1090</v>
      </c>
      <c r="F464" s="2936" t="s">
        <v>1092</v>
      </c>
      <c r="G464" s="2936"/>
      <c r="H464" s="2936"/>
      <c r="I464" s="2936"/>
      <c r="J464" s="2936"/>
      <c r="K464" s="2936"/>
      <c r="L464" s="2936"/>
      <c r="M464" s="2936"/>
      <c r="N464" s="2936"/>
      <c r="O464" s="2936"/>
      <c r="P464" s="2936"/>
      <c r="Q464" s="2936"/>
      <c r="R464" s="2936"/>
      <c r="S464" s="2936"/>
      <c r="T464" s="2936"/>
      <c r="U464" s="2936"/>
      <c r="V464" s="2936"/>
      <c r="W464" s="2936"/>
      <c r="X464" s="2936"/>
      <c r="Y464" s="2936"/>
      <c r="Z464" s="2936"/>
      <c r="AA464" s="2936"/>
      <c r="AB464" s="2936"/>
      <c r="AC464" s="2936"/>
      <c r="AD464" s="2936"/>
      <c r="AE464" s="2936"/>
      <c r="AF464" s="3154" t="s">
        <v>359</v>
      </c>
      <c r="AG464" s="3154"/>
      <c r="AH464" s="3154"/>
      <c r="AI464" s="3154"/>
      <c r="AJ464" s="3154"/>
      <c r="AK464" s="3154"/>
      <c r="AL464" s="3155"/>
      <c r="AM464" s="16"/>
      <c r="AN464" s="1198"/>
      <c r="AO464" s="174"/>
      <c r="AP464" s="174"/>
      <c r="AQ464" s="261"/>
    </row>
    <row r="465" spans="1:54" s="149" customFormat="1" ht="12.75" customHeight="1">
      <c r="A465" s="8"/>
      <c r="B465" s="118"/>
      <c r="C465" s="1381"/>
      <c r="D465" s="1374"/>
      <c r="E465" s="368"/>
      <c r="F465" s="2937"/>
      <c r="G465" s="2937"/>
      <c r="H465" s="2937"/>
      <c r="I465" s="2937"/>
      <c r="J465" s="2937"/>
      <c r="K465" s="2937"/>
      <c r="L465" s="2937"/>
      <c r="M465" s="2937"/>
      <c r="N465" s="2937"/>
      <c r="O465" s="2937"/>
      <c r="P465" s="2937"/>
      <c r="Q465" s="2937"/>
      <c r="R465" s="2937"/>
      <c r="S465" s="2937"/>
      <c r="T465" s="2937"/>
      <c r="U465" s="2937"/>
      <c r="V465" s="2937"/>
      <c r="W465" s="2937"/>
      <c r="X465" s="2937"/>
      <c r="Y465" s="2937"/>
      <c r="Z465" s="2937"/>
      <c r="AA465" s="2937"/>
      <c r="AB465" s="2937"/>
      <c r="AC465" s="2937"/>
      <c r="AD465" s="2937"/>
      <c r="AE465" s="2937"/>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938"/>
      <c r="G466" s="2938"/>
      <c r="H466" s="2938"/>
      <c r="I466" s="2938"/>
      <c r="J466" s="2938"/>
      <c r="K466" s="2938"/>
      <c r="L466" s="2938"/>
      <c r="M466" s="2938"/>
      <c r="N466" s="2938"/>
      <c r="O466" s="2938"/>
      <c r="P466" s="2938"/>
      <c r="Q466" s="2938"/>
      <c r="R466" s="2938"/>
      <c r="S466" s="2938"/>
      <c r="T466" s="2938"/>
      <c r="U466" s="2938"/>
      <c r="V466" s="2938"/>
      <c r="W466" s="2938"/>
      <c r="X466" s="2938"/>
      <c r="Y466" s="2938"/>
      <c r="Z466" s="2938"/>
      <c r="AA466" s="2938"/>
      <c r="AB466" s="2938"/>
      <c r="AC466" s="2938"/>
      <c r="AD466" s="2938"/>
      <c r="AE466" s="2938"/>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962" t="s">
        <v>135</v>
      </c>
      <c r="D468" s="2343"/>
      <c r="E468" s="1242" t="s">
        <v>1091</v>
      </c>
      <c r="F468" s="2936" t="s">
        <v>2136</v>
      </c>
      <c r="G468" s="2936"/>
      <c r="H468" s="2936"/>
      <c r="I468" s="2936"/>
      <c r="J468" s="2936"/>
      <c r="K468" s="2936"/>
      <c r="L468" s="2936"/>
      <c r="M468" s="2936"/>
      <c r="N468" s="2936"/>
      <c r="O468" s="2936"/>
      <c r="P468" s="2936"/>
      <c r="Q468" s="2936"/>
      <c r="R468" s="2936"/>
      <c r="S468" s="2936"/>
      <c r="T468" s="2936"/>
      <c r="U468" s="2936"/>
      <c r="V468" s="2936"/>
      <c r="W468" s="2936"/>
      <c r="X468" s="2936"/>
      <c r="Y468" s="2936"/>
      <c r="Z468" s="2936"/>
      <c r="AA468" s="2936"/>
      <c r="AB468" s="2936"/>
      <c r="AC468" s="2936"/>
      <c r="AD468" s="2936"/>
      <c r="AE468" s="2936"/>
      <c r="AF468" s="3154" t="s">
        <v>359</v>
      </c>
      <c r="AG468" s="3154"/>
      <c r="AH468" s="3154"/>
      <c r="AI468" s="3154"/>
      <c r="AJ468" s="3154"/>
      <c r="AK468" s="3154"/>
      <c r="AL468" s="3155"/>
      <c r="AM468" s="16"/>
      <c r="AN468" s="1201"/>
      <c r="AO468" s="46" t="s">
        <v>1502</v>
      </c>
      <c r="AP468" s="46">
        <v>5</v>
      </c>
      <c r="AQ468" s="263"/>
    </row>
    <row r="469" spans="1:54" s="46" customFormat="1" ht="12.75" customHeight="1">
      <c r="A469" s="8"/>
      <c r="B469" s="65"/>
      <c r="C469" s="1249"/>
      <c r="D469" s="129"/>
      <c r="E469" s="320"/>
      <c r="F469" s="2937"/>
      <c r="G469" s="2937"/>
      <c r="H469" s="2937"/>
      <c r="I469" s="2937"/>
      <c r="J469" s="2937"/>
      <c r="K469" s="2937"/>
      <c r="L469" s="2937"/>
      <c r="M469" s="2937"/>
      <c r="N469" s="2937"/>
      <c r="O469" s="2937"/>
      <c r="P469" s="2937"/>
      <c r="Q469" s="2937"/>
      <c r="R469" s="2937"/>
      <c r="S469" s="2937"/>
      <c r="T469" s="2937"/>
      <c r="U469" s="2937"/>
      <c r="V469" s="2937"/>
      <c r="W469" s="2937"/>
      <c r="X469" s="2937"/>
      <c r="Y469" s="2937"/>
      <c r="Z469" s="2937"/>
      <c r="AA469" s="2937"/>
      <c r="AB469" s="2937"/>
      <c r="AC469" s="2937"/>
      <c r="AD469" s="2937"/>
      <c r="AE469" s="2937"/>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937"/>
      <c r="G470" s="2937"/>
      <c r="H470" s="2937"/>
      <c r="I470" s="2937"/>
      <c r="J470" s="2937"/>
      <c r="K470" s="2937"/>
      <c r="L470" s="2937"/>
      <c r="M470" s="2937"/>
      <c r="N470" s="2937"/>
      <c r="O470" s="2937"/>
      <c r="P470" s="2937"/>
      <c r="Q470" s="2937"/>
      <c r="R470" s="2937"/>
      <c r="S470" s="2937"/>
      <c r="T470" s="2937"/>
      <c r="U470" s="2937"/>
      <c r="V470" s="2937"/>
      <c r="W470" s="2937"/>
      <c r="X470" s="2937"/>
      <c r="Y470" s="2937"/>
      <c r="Z470" s="2937"/>
      <c r="AA470" s="2937"/>
      <c r="AB470" s="2937"/>
      <c r="AC470" s="2937"/>
      <c r="AD470" s="2937"/>
      <c r="AE470" s="2937"/>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938"/>
      <c r="G471" s="2938"/>
      <c r="H471" s="2938"/>
      <c r="I471" s="2938"/>
      <c r="J471" s="2938"/>
      <c r="K471" s="2938"/>
      <c r="L471" s="2938"/>
      <c r="M471" s="2938"/>
      <c r="N471" s="2938"/>
      <c r="O471" s="2938"/>
      <c r="P471" s="2938"/>
      <c r="Q471" s="2938"/>
      <c r="R471" s="2938"/>
      <c r="S471" s="2938"/>
      <c r="T471" s="2938"/>
      <c r="U471" s="2938"/>
      <c r="V471" s="2938"/>
      <c r="W471" s="2938"/>
      <c r="X471" s="2938"/>
      <c r="Y471" s="2938"/>
      <c r="Z471" s="2938"/>
      <c r="AA471" s="2938"/>
      <c r="AB471" s="2938"/>
      <c r="AC471" s="2938"/>
      <c r="AD471" s="2938"/>
      <c r="AE471" s="2938"/>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1089</v>
      </c>
      <c r="F473" s="2934" t="s">
        <v>2137</v>
      </c>
      <c r="G473" s="2934"/>
      <c r="H473" s="2934"/>
      <c r="I473" s="2934"/>
      <c r="J473" s="2934"/>
      <c r="K473" s="2934"/>
      <c r="L473" s="2934"/>
      <c r="M473" s="2934"/>
      <c r="N473" s="2934"/>
      <c r="O473" s="2934"/>
      <c r="P473" s="2934"/>
      <c r="Q473" s="2934"/>
      <c r="R473" s="2934"/>
      <c r="S473" s="2934"/>
      <c r="T473" s="2934"/>
      <c r="U473" s="2934"/>
      <c r="V473" s="2934"/>
      <c r="W473" s="2934"/>
      <c r="X473" s="2934"/>
      <c r="Y473" s="2934"/>
      <c r="Z473" s="2934"/>
      <c r="AA473" s="2934"/>
      <c r="AB473" s="2934"/>
      <c r="AC473" s="2934"/>
      <c r="AD473" s="2934"/>
      <c r="AE473" s="2934"/>
      <c r="AF473" s="2934"/>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935"/>
      <c r="G474" s="2935"/>
      <c r="H474" s="2935"/>
      <c r="I474" s="2935"/>
      <c r="J474" s="2935"/>
      <c r="K474" s="2935"/>
      <c r="L474" s="2935"/>
      <c r="M474" s="2935"/>
      <c r="N474" s="2935"/>
      <c r="O474" s="2935"/>
      <c r="P474" s="2935"/>
      <c r="Q474" s="2935"/>
      <c r="R474" s="2935"/>
      <c r="S474" s="2935"/>
      <c r="T474" s="2935"/>
      <c r="U474" s="2935"/>
      <c r="V474" s="2935"/>
      <c r="W474" s="2935"/>
      <c r="X474" s="2935"/>
      <c r="Y474" s="2935"/>
      <c r="Z474" s="2935"/>
      <c r="AA474" s="2935"/>
      <c r="AB474" s="2935"/>
      <c r="AC474" s="2935"/>
      <c r="AD474" s="2935"/>
      <c r="AE474" s="2935"/>
      <c r="AF474" s="2935"/>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935"/>
      <c r="G475" s="2935"/>
      <c r="H475" s="2935"/>
      <c r="I475" s="2935"/>
      <c r="J475" s="2935"/>
      <c r="K475" s="2935"/>
      <c r="L475" s="2935"/>
      <c r="M475" s="2935"/>
      <c r="N475" s="2935"/>
      <c r="O475" s="2935"/>
      <c r="P475" s="2935"/>
      <c r="Q475" s="2935"/>
      <c r="R475" s="2935"/>
      <c r="S475" s="2935"/>
      <c r="T475" s="2935"/>
      <c r="U475" s="2935"/>
      <c r="V475" s="2935"/>
      <c r="W475" s="2935"/>
      <c r="X475" s="2935"/>
      <c r="Y475" s="2935"/>
      <c r="Z475" s="2935"/>
      <c r="AA475" s="2935"/>
      <c r="AB475" s="2935"/>
      <c r="AC475" s="2935"/>
      <c r="AD475" s="2935"/>
      <c r="AE475" s="2935"/>
      <c r="AF475" s="2935"/>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935"/>
      <c r="G476" s="2935"/>
      <c r="H476" s="2935"/>
      <c r="I476" s="2935"/>
      <c r="J476" s="2935"/>
      <c r="K476" s="2935"/>
      <c r="L476" s="2935"/>
      <c r="M476" s="2935"/>
      <c r="N476" s="2935"/>
      <c r="O476" s="2935"/>
      <c r="P476" s="2935"/>
      <c r="Q476" s="2935"/>
      <c r="R476" s="2935"/>
      <c r="S476" s="2935"/>
      <c r="T476" s="2935"/>
      <c r="U476" s="2935"/>
      <c r="V476" s="2935"/>
      <c r="W476" s="2935"/>
      <c r="X476" s="2935"/>
      <c r="Y476" s="2935"/>
      <c r="Z476" s="2935"/>
      <c r="AA476" s="2935"/>
      <c r="AB476" s="2935"/>
      <c r="AC476" s="2935"/>
      <c r="AD476" s="2935"/>
      <c r="AE476" s="2935"/>
      <c r="AF476" s="2935"/>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962" t="s">
        <v>135</v>
      </c>
      <c r="D477" s="2343"/>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943" t="s">
        <v>359</v>
      </c>
      <c r="AG477" s="2943"/>
      <c r="AH477" s="2943"/>
      <c r="AI477" s="2943"/>
      <c r="AJ477" s="2943"/>
      <c r="AK477" s="2943"/>
      <c r="AL477" s="2944"/>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962" t="s">
        <v>135</v>
      </c>
      <c r="D479" s="2343"/>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725" t="s">
        <v>1078</v>
      </c>
      <c r="AG479" s="2725"/>
      <c r="AH479" s="2725"/>
      <c r="AI479" s="2725"/>
      <c r="AJ479" s="2725"/>
      <c r="AK479" s="2725"/>
      <c r="AL479" s="2980"/>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962" t="s">
        <v>135</v>
      </c>
      <c r="D481" s="2343"/>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940" t="s">
        <v>1084</v>
      </c>
      <c r="AG481" s="2940"/>
      <c r="AH481" s="2940"/>
      <c r="AI481" s="2940"/>
      <c r="AJ481" s="2940"/>
      <c r="AK481" s="2940"/>
      <c r="AL481" s="2941"/>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754">
        <f>IF(AS355=0,AS353,AS355)</f>
        <v>0</v>
      </c>
      <c r="AL483" s="2755"/>
      <c r="AM483" s="2756"/>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3003" t="s">
        <v>1418</v>
      </c>
      <c r="AF486" s="3003"/>
      <c r="AG486" s="3003"/>
      <c r="AH486" s="3003"/>
      <c r="AI486" s="3003"/>
      <c r="AJ486" s="3003"/>
      <c r="AK486" s="3003"/>
      <c r="AL486" s="1358"/>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898" t="s">
        <v>118</v>
      </c>
      <c r="D492" s="2899"/>
      <c r="E492" s="1310" t="s">
        <v>212</v>
      </c>
      <c r="F492" s="2976" t="s">
        <v>1095</v>
      </c>
      <c r="G492" s="2976"/>
      <c r="H492" s="2976"/>
      <c r="I492" s="2976"/>
      <c r="J492" s="2976"/>
      <c r="K492" s="2976"/>
      <c r="L492" s="2976"/>
      <c r="M492" s="2976"/>
      <c r="N492" s="2976"/>
      <c r="O492" s="2976"/>
      <c r="P492" s="2976"/>
      <c r="Q492" s="2976"/>
      <c r="R492" s="2976"/>
      <c r="S492" s="2976"/>
      <c r="T492" s="2976"/>
      <c r="U492" s="2976"/>
      <c r="V492" s="2976"/>
      <c r="W492" s="2976"/>
      <c r="X492" s="2976"/>
      <c r="Y492" s="2976"/>
      <c r="Z492" s="2976"/>
      <c r="AA492" s="2976"/>
      <c r="AB492" s="2976"/>
      <c r="AC492" s="2976"/>
      <c r="AD492" s="2976"/>
      <c r="AE492" s="2976"/>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2977"/>
      <c r="G493" s="2977"/>
      <c r="H493" s="2977"/>
      <c r="I493" s="2977"/>
      <c r="J493" s="2977"/>
      <c r="K493" s="2977"/>
      <c r="L493" s="2977"/>
      <c r="M493" s="2977"/>
      <c r="N493" s="2977"/>
      <c r="O493" s="2977"/>
      <c r="P493" s="2977"/>
      <c r="Q493" s="2977"/>
      <c r="R493" s="2977"/>
      <c r="S493" s="2977"/>
      <c r="T493" s="2977"/>
      <c r="U493" s="2977"/>
      <c r="V493" s="2977"/>
      <c r="W493" s="2977"/>
      <c r="X493" s="2977"/>
      <c r="Y493" s="2977"/>
      <c r="Z493" s="2977"/>
      <c r="AA493" s="2977"/>
      <c r="AB493" s="2977"/>
      <c r="AC493" s="2977"/>
      <c r="AD493" s="2977"/>
      <c r="AE493" s="2977"/>
      <c r="AF493" s="174"/>
      <c r="AG493" s="27"/>
      <c r="AH493" s="27"/>
      <c r="AI493" s="27"/>
      <c r="AJ493" s="27"/>
      <c r="AK493" s="1250"/>
      <c r="AL493" s="174"/>
      <c r="AN493" s="457"/>
      <c r="AO493" s="46" t="s">
        <v>1501</v>
      </c>
      <c r="AP493" s="46">
        <v>1</v>
      </c>
    </row>
    <row r="494" spans="1:50" s="46" customFormat="1" ht="12.75" customHeight="1">
      <c r="A494" s="28"/>
      <c r="C494" s="1280"/>
      <c r="D494" s="1261"/>
      <c r="E494" s="1281"/>
      <c r="F494" s="2903" t="s">
        <v>1377</v>
      </c>
      <c r="G494" s="2903"/>
      <c r="H494" s="2903"/>
      <c r="I494" s="2903"/>
      <c r="J494" s="2903"/>
      <c r="K494" s="2903"/>
      <c r="L494" s="2903"/>
      <c r="M494" s="2903"/>
      <c r="N494" s="2903"/>
      <c r="O494" s="2903"/>
      <c r="P494" s="2903"/>
      <c r="Q494" s="2903"/>
      <c r="R494" s="2903"/>
      <c r="S494" s="2903"/>
      <c r="T494" s="2903"/>
      <c r="U494" s="2903"/>
      <c r="V494" s="2903"/>
      <c r="W494" s="2903"/>
      <c r="X494" s="2903"/>
      <c r="Y494" s="2903"/>
      <c r="Z494" s="2903"/>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970" t="s">
        <v>135</v>
      </c>
      <c r="D496" s="2971"/>
      <c r="E496" s="1310" t="s">
        <v>340</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900" t="s">
        <v>135</v>
      </c>
      <c r="W499" s="2900"/>
      <c r="X499" s="2900"/>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900" t="s">
        <v>135</v>
      </c>
      <c r="W501" s="2900"/>
      <c r="X501" s="2900"/>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900" t="s">
        <v>135</v>
      </c>
      <c r="W506" s="2900"/>
      <c r="X506" s="2900"/>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975"/>
      <c r="E509" s="2975"/>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900" t="s">
        <v>135</v>
      </c>
      <c r="W510" s="2900"/>
      <c r="X510" s="2900"/>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900" t="s">
        <v>135</v>
      </c>
      <c r="W512" s="2900"/>
      <c r="X512" s="2900"/>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3172" t="s">
        <v>730</v>
      </c>
      <c r="AV513" s="3173"/>
      <c r="AW513" s="3173"/>
      <c r="AX513" s="3173"/>
      <c r="AY513" s="3173"/>
      <c r="AZ513" s="3173"/>
      <c r="BA513" s="3173"/>
      <c r="BB513" s="217"/>
      <c r="BC513" s="217"/>
      <c r="BE513" s="46"/>
      <c r="BF513" s="46"/>
      <c r="BG513" s="46"/>
      <c r="BH513" s="46"/>
      <c r="BI513" s="46"/>
      <c r="BJ513" s="3103" t="s">
        <v>35</v>
      </c>
      <c r="BK513" s="3104"/>
      <c r="BL513" s="3104"/>
      <c r="BM513" s="3104"/>
      <c r="BN513" s="3104"/>
      <c r="BO513" s="3104"/>
      <c r="BP513" s="310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3172"/>
      <c r="AV514" s="3173"/>
      <c r="AW514" s="3173"/>
      <c r="AX514" s="3173"/>
      <c r="AY514" s="3173"/>
      <c r="AZ514" s="3173"/>
      <c r="BA514" s="3173"/>
      <c r="BB514" s="217"/>
      <c r="BC514" s="217"/>
      <c r="BE514" s="46"/>
      <c r="BF514" s="46"/>
      <c r="BG514" s="46"/>
      <c r="BH514" s="46"/>
      <c r="BI514" s="46"/>
      <c r="BJ514" s="3103"/>
      <c r="BK514" s="3104"/>
      <c r="BL514" s="3104"/>
      <c r="BM514" s="3104"/>
      <c r="BN514" s="3104"/>
      <c r="BO514" s="3104"/>
      <c r="BP514" s="3104"/>
      <c r="BQ514" s="217"/>
      <c r="BR514" s="46"/>
    </row>
    <row r="515" spans="1:147" s="16" customFormat="1" ht="12.75" customHeight="1">
      <c r="A515" s="207"/>
      <c r="B515" s="46"/>
      <c r="C515" s="2898" t="s">
        <v>135</v>
      </c>
      <c r="D515" s="2899"/>
      <c r="E515" s="1297" t="s">
        <v>212</v>
      </c>
      <c r="F515" s="2976" t="s">
        <v>1095</v>
      </c>
      <c r="G515" s="2976"/>
      <c r="H515" s="2976"/>
      <c r="I515" s="2976"/>
      <c r="J515" s="2976"/>
      <c r="K515" s="2976"/>
      <c r="L515" s="2976"/>
      <c r="M515" s="2976"/>
      <c r="N515" s="2976"/>
      <c r="O515" s="2976"/>
      <c r="P515" s="2976"/>
      <c r="Q515" s="2976"/>
      <c r="R515" s="2976"/>
      <c r="S515" s="2976"/>
      <c r="T515" s="2976"/>
      <c r="U515" s="2976"/>
      <c r="V515" s="2976"/>
      <c r="W515" s="2976"/>
      <c r="X515" s="2976"/>
      <c r="Y515" s="2976"/>
      <c r="Z515" s="2976"/>
      <c r="AA515" s="2976"/>
      <c r="AB515" s="2976"/>
      <c r="AC515" s="2976"/>
      <c r="AD515" s="2976"/>
      <c r="AE515" s="297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977"/>
      <c r="G516" s="2977"/>
      <c r="H516" s="2977"/>
      <c r="I516" s="2977"/>
      <c r="J516" s="2977"/>
      <c r="K516" s="2977"/>
      <c r="L516" s="2977"/>
      <c r="M516" s="2977"/>
      <c r="N516" s="2977"/>
      <c r="O516" s="2977"/>
      <c r="P516" s="2977"/>
      <c r="Q516" s="2977"/>
      <c r="R516" s="2977"/>
      <c r="S516" s="2977"/>
      <c r="T516" s="2977"/>
      <c r="U516" s="2977"/>
      <c r="V516" s="2977"/>
      <c r="W516" s="2977"/>
      <c r="X516" s="2977"/>
      <c r="Y516" s="2977"/>
      <c r="Z516" s="2977"/>
      <c r="AA516" s="2977"/>
      <c r="AB516" s="2977"/>
      <c r="AC516" s="2977"/>
      <c r="AD516" s="2977"/>
      <c r="AE516" s="2977"/>
      <c r="AF516" s="174"/>
      <c r="AG516" s="27"/>
      <c r="AH516" s="27"/>
      <c r="AI516" s="27"/>
      <c r="AJ516" s="27"/>
      <c r="AK516" s="1250"/>
      <c r="AL516" s="174"/>
      <c r="AM516" s="46"/>
      <c r="AN516" s="1188"/>
      <c r="AO516" s="143"/>
      <c r="AP516" s="3144" t="s">
        <v>1714</v>
      </c>
      <c r="AQ516" s="3145"/>
      <c r="AR516" s="3146"/>
      <c r="AS516" s="1027">
        <v>80</v>
      </c>
      <c r="AT516" s="46">
        <v>0</v>
      </c>
      <c r="AU516" s="255">
        <v>10</v>
      </c>
      <c r="AV516" s="255">
        <v>25</v>
      </c>
      <c r="AW516" s="255">
        <v>37.5</v>
      </c>
      <c r="AX516" s="255">
        <v>35</v>
      </c>
      <c r="AY516" s="255">
        <v>37.5</v>
      </c>
      <c r="AZ516" s="255">
        <v>50</v>
      </c>
      <c r="BA516" s="255">
        <v>50</v>
      </c>
      <c r="BB516" s="65"/>
      <c r="BC516" s="65"/>
      <c r="BE516" s="3144" t="s">
        <v>1714</v>
      </c>
      <c r="BF516" s="3145"/>
      <c r="BG516" s="314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3024" t="s">
        <v>135</v>
      </c>
      <c r="G517" s="3024"/>
      <c r="H517" s="3024"/>
      <c r="I517" s="3024"/>
      <c r="J517" s="3024"/>
      <c r="K517" s="3024"/>
      <c r="L517" s="3024"/>
      <c r="M517" s="3024"/>
      <c r="N517" s="3024"/>
      <c r="O517" s="3024"/>
      <c r="P517" s="3024"/>
      <c r="Q517" s="3024"/>
      <c r="R517" s="3024"/>
      <c r="S517" s="3024"/>
      <c r="T517" s="3024"/>
      <c r="U517" s="3024"/>
      <c r="V517" s="3024"/>
      <c r="W517" s="3024"/>
      <c r="X517" s="3024"/>
      <c r="Y517" s="3024"/>
      <c r="Z517" s="3024"/>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963"/>
      <c r="AQ517" s="2964"/>
      <c r="AR517" s="2965"/>
      <c r="AS517" s="1027">
        <v>75</v>
      </c>
      <c r="AT517" s="46">
        <v>0</v>
      </c>
      <c r="AU517" s="255">
        <v>10</v>
      </c>
      <c r="AV517" s="255">
        <v>25</v>
      </c>
      <c r="AW517" s="255">
        <v>37.5</v>
      </c>
      <c r="AX517" s="255">
        <v>35</v>
      </c>
      <c r="AY517" s="255">
        <v>37.5</v>
      </c>
      <c r="AZ517" s="255">
        <v>50</v>
      </c>
      <c r="BA517" s="255">
        <v>50</v>
      </c>
      <c r="BB517" s="65"/>
      <c r="BC517" s="65"/>
      <c r="BE517" s="2963"/>
      <c r="BF517" s="2964"/>
      <c r="BG517" s="2965"/>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963"/>
      <c r="AQ518" s="2964"/>
      <c r="AR518" s="2965"/>
      <c r="AS518" s="1027">
        <v>70</v>
      </c>
      <c r="AT518" s="46">
        <v>0</v>
      </c>
      <c r="AU518" s="255">
        <v>10</v>
      </c>
      <c r="AV518" s="255">
        <v>25</v>
      </c>
      <c r="AW518" s="255">
        <v>37.5</v>
      </c>
      <c r="AX518" s="255">
        <v>35</v>
      </c>
      <c r="AY518" s="255">
        <v>37.5</v>
      </c>
      <c r="AZ518" s="255">
        <v>50</v>
      </c>
      <c r="BA518" s="255">
        <v>50</v>
      </c>
      <c r="BB518" s="65"/>
      <c r="BC518" s="65"/>
      <c r="BE518" s="2963"/>
      <c r="BF518" s="2964"/>
      <c r="BG518" s="2965"/>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898" t="s">
        <v>135</v>
      </c>
      <c r="D519" s="2899"/>
      <c r="E519" s="1297" t="s">
        <v>340</v>
      </c>
      <c r="F519" s="2972" t="s">
        <v>1311</v>
      </c>
      <c r="G519" s="2972"/>
      <c r="H519" s="2972"/>
      <c r="I519" s="2972"/>
      <c r="J519" s="2972"/>
      <c r="K519" s="2972"/>
      <c r="L519" s="2972"/>
      <c r="M519" s="2972"/>
      <c r="N519" s="2972"/>
      <c r="O519" s="2972"/>
      <c r="P519" s="2972"/>
      <c r="Q519" s="2972"/>
      <c r="R519" s="2972"/>
      <c r="S519" s="2972"/>
      <c r="T519" s="2972"/>
      <c r="U519" s="2972"/>
      <c r="V519" s="2972"/>
      <c r="W519" s="2972"/>
      <c r="X519" s="2972"/>
      <c r="Y519" s="2972"/>
      <c r="Z519" s="2972"/>
      <c r="AA519" s="2972"/>
      <c r="AB519" s="2972"/>
      <c r="AC519" s="2972"/>
      <c r="AD519" s="2972"/>
      <c r="AE519" s="2972"/>
      <c r="AF519" s="1241"/>
      <c r="AG519" s="1287"/>
      <c r="AH519" s="1287"/>
      <c r="AI519" s="1287"/>
      <c r="AJ519" s="1287"/>
      <c r="AK519" s="1271"/>
      <c r="AL519" s="174"/>
      <c r="AM519" s="46"/>
      <c r="AN519" s="1188"/>
      <c r="AO519" s="143"/>
      <c r="AP519" s="2963"/>
      <c r="AQ519" s="2964"/>
      <c r="AR519" s="2965"/>
      <c r="AS519" s="1027">
        <v>65</v>
      </c>
      <c r="AT519" s="46">
        <v>0</v>
      </c>
      <c r="AU519" s="255">
        <v>10</v>
      </c>
      <c r="AV519" s="255">
        <v>25</v>
      </c>
      <c r="AW519" s="255">
        <v>37.5</v>
      </c>
      <c r="AX519" s="255">
        <v>35</v>
      </c>
      <c r="AY519" s="255">
        <v>37.5</v>
      </c>
      <c r="AZ519" s="255">
        <v>50</v>
      </c>
      <c r="BA519" s="255">
        <v>50</v>
      </c>
      <c r="BB519" s="65"/>
      <c r="BC519" s="65"/>
      <c r="BE519" s="2963"/>
      <c r="BF519" s="2964"/>
      <c r="BG519" s="2965"/>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973"/>
      <c r="G520" s="2973"/>
      <c r="H520" s="2973"/>
      <c r="I520" s="2973"/>
      <c r="J520" s="2973"/>
      <c r="K520" s="2973"/>
      <c r="L520" s="2973"/>
      <c r="M520" s="2973"/>
      <c r="N520" s="2973"/>
      <c r="O520" s="2973"/>
      <c r="P520" s="2973"/>
      <c r="Q520" s="2973"/>
      <c r="R520" s="2973"/>
      <c r="S520" s="2973"/>
      <c r="T520" s="2973"/>
      <c r="U520" s="2973"/>
      <c r="V520" s="2973"/>
      <c r="W520" s="2973"/>
      <c r="X520" s="2973"/>
      <c r="Y520" s="2973"/>
      <c r="Z520" s="2973"/>
      <c r="AA520" s="2973"/>
      <c r="AB520" s="2973"/>
      <c r="AC520" s="2973"/>
      <c r="AD520" s="2973"/>
      <c r="AE520" s="2973"/>
      <c r="AF520" s="174"/>
      <c r="AG520" s="27"/>
      <c r="AH520" s="27"/>
      <c r="AI520" s="27"/>
      <c r="AJ520" s="27"/>
      <c r="AK520" s="1250"/>
      <c r="AL520" s="174"/>
      <c r="AM520" s="46"/>
      <c r="AN520" s="1188"/>
      <c r="AO520" s="143"/>
      <c r="AP520" s="2963"/>
      <c r="AQ520" s="2964"/>
      <c r="AR520" s="2965"/>
      <c r="AS520" s="1027">
        <v>60</v>
      </c>
      <c r="AT520" s="46">
        <v>0</v>
      </c>
      <c r="AU520" s="255">
        <v>10</v>
      </c>
      <c r="AV520" s="255">
        <v>25</v>
      </c>
      <c r="AW520" s="255">
        <v>37.5</v>
      </c>
      <c r="AX520" s="255">
        <v>35</v>
      </c>
      <c r="AY520" s="255">
        <v>37.5</v>
      </c>
      <c r="AZ520" s="255">
        <v>50</v>
      </c>
      <c r="BA520" s="255">
        <v>50</v>
      </c>
      <c r="BB520" s="65"/>
      <c r="BC520" s="65"/>
      <c r="BE520" s="2963"/>
      <c r="BF520" s="2964"/>
      <c r="BG520" s="2965"/>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963"/>
      <c r="AQ521" s="2964"/>
      <c r="AR521" s="2965"/>
      <c r="AS521" s="1027">
        <v>55</v>
      </c>
      <c r="AT521" s="46">
        <v>0</v>
      </c>
      <c r="AU521" s="255">
        <v>10</v>
      </c>
      <c r="AV521" s="255">
        <v>25</v>
      </c>
      <c r="AW521" s="255">
        <v>37.5</v>
      </c>
      <c r="AX521" s="255">
        <v>35</v>
      </c>
      <c r="AY521" s="255">
        <v>37.5</v>
      </c>
      <c r="AZ521" s="255">
        <v>50</v>
      </c>
      <c r="BA521" s="255">
        <v>50</v>
      </c>
      <c r="BE521" s="2963"/>
      <c r="BF521" s="2964"/>
      <c r="BG521" s="2965"/>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3025" t="s">
        <v>135</v>
      </c>
      <c r="G522" s="3025"/>
      <c r="H522" s="302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963"/>
      <c r="AQ522" s="2964"/>
      <c r="AR522" s="2965"/>
      <c r="AS522" s="254">
        <v>50</v>
      </c>
      <c r="AT522" s="46">
        <v>0</v>
      </c>
      <c r="AU522" s="255">
        <v>10</v>
      </c>
      <c r="AV522" s="255">
        <v>25</v>
      </c>
      <c r="AW522" s="255">
        <v>37.5</v>
      </c>
      <c r="AX522" s="255">
        <v>35</v>
      </c>
      <c r="AY522" s="255">
        <v>37.5</v>
      </c>
      <c r="AZ522" s="255">
        <v>50</v>
      </c>
      <c r="BA522" s="255">
        <v>50</v>
      </c>
      <c r="BE522" s="2963"/>
      <c r="BF522" s="2964"/>
      <c r="BG522" s="296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963"/>
      <c r="AQ523" s="2964"/>
      <c r="AR523" s="2965"/>
      <c r="AS523" s="254">
        <v>45</v>
      </c>
      <c r="AT523" s="46">
        <v>0</v>
      </c>
      <c r="AU523" s="255">
        <v>10</v>
      </c>
      <c r="AV523" s="255">
        <v>22.5</v>
      </c>
      <c r="AW523" s="255">
        <v>33.799999999999997</v>
      </c>
      <c r="AX523" s="255">
        <v>35</v>
      </c>
      <c r="AY523" s="255">
        <v>37.5</v>
      </c>
      <c r="AZ523" s="255">
        <v>50</v>
      </c>
      <c r="BA523" s="255">
        <v>50</v>
      </c>
      <c r="BE523" s="2963"/>
      <c r="BF523" s="2964"/>
      <c r="BG523" s="296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898" t="s">
        <v>135</v>
      </c>
      <c r="D524" s="2899"/>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963"/>
      <c r="AQ524" s="2964"/>
      <c r="AR524" s="2965"/>
      <c r="AS524" s="254">
        <v>40</v>
      </c>
      <c r="AT524" s="46">
        <v>0</v>
      </c>
      <c r="AU524" s="255">
        <v>10</v>
      </c>
      <c r="AV524" s="255">
        <v>20</v>
      </c>
      <c r="AW524" s="255">
        <v>30</v>
      </c>
      <c r="AX524" s="255">
        <v>35</v>
      </c>
      <c r="AY524" s="255">
        <v>37.5</v>
      </c>
      <c r="AZ524" s="255">
        <v>50</v>
      </c>
      <c r="BA524" s="255">
        <v>50</v>
      </c>
      <c r="BE524" s="2963"/>
      <c r="BF524" s="2964"/>
      <c r="BG524" s="296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963"/>
      <c r="AQ525" s="2964"/>
      <c r="AR525" s="2965"/>
      <c r="AS525" s="254">
        <v>35</v>
      </c>
      <c r="AT525" s="46">
        <v>0</v>
      </c>
      <c r="AU525" s="255">
        <v>8.8000000000000007</v>
      </c>
      <c r="AV525" s="255">
        <v>17.5</v>
      </c>
      <c r="AW525" s="255">
        <v>26.3</v>
      </c>
      <c r="AX525" s="255">
        <v>35</v>
      </c>
      <c r="AY525" s="255">
        <v>37.5</v>
      </c>
      <c r="AZ525" s="255">
        <v>50</v>
      </c>
      <c r="BA525" s="255">
        <v>50</v>
      </c>
      <c r="BE525" s="2963"/>
      <c r="BF525" s="2964"/>
      <c r="BG525" s="296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3030"/>
      <c r="D526" s="2975"/>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963"/>
      <c r="AQ526" s="2964"/>
      <c r="AR526" s="2965"/>
      <c r="AS526" s="254">
        <v>30</v>
      </c>
      <c r="AT526" s="46">
        <v>0</v>
      </c>
      <c r="AU526" s="255">
        <v>7.5</v>
      </c>
      <c r="AV526" s="255">
        <v>15</v>
      </c>
      <c r="AW526" s="255">
        <v>22.5</v>
      </c>
      <c r="AX526" s="255">
        <v>30</v>
      </c>
      <c r="AY526" s="255">
        <v>37.5</v>
      </c>
      <c r="AZ526" s="255">
        <v>45</v>
      </c>
      <c r="BA526" s="255">
        <v>50</v>
      </c>
      <c r="BE526" s="2963"/>
      <c r="BF526" s="2964"/>
      <c r="BG526" s="296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3026" t="s">
        <v>135</v>
      </c>
      <c r="H527" s="3026"/>
      <c r="I527" s="3026"/>
      <c r="J527" s="3026"/>
      <c r="K527" s="3026"/>
      <c r="L527" s="3026"/>
      <c r="M527" s="3026"/>
      <c r="N527" s="3026"/>
      <c r="O527" s="3026"/>
      <c r="P527" s="3026"/>
      <c r="Q527" s="3026"/>
      <c r="R527" s="3026"/>
      <c r="S527" s="3026"/>
      <c r="T527" s="3026"/>
      <c r="U527" s="3026"/>
      <c r="V527" s="3026"/>
      <c r="W527" s="3026"/>
      <c r="X527" s="3026"/>
      <c r="Y527" s="3026"/>
      <c r="Z527" s="3026"/>
      <c r="AA527" s="3026"/>
      <c r="AB527" s="3026"/>
      <c r="AC527" s="3026"/>
      <c r="AD527" s="3026"/>
      <c r="AE527" s="3026"/>
      <c r="AF527" s="3026"/>
      <c r="AG527" s="174"/>
      <c r="AH527" s="174"/>
      <c r="AI527" s="174"/>
      <c r="AJ527" s="27"/>
      <c r="AK527" s="1250"/>
      <c r="AL527" s="174"/>
      <c r="AM527" s="46"/>
      <c r="AN527" s="1188"/>
      <c r="AP527" s="2963"/>
      <c r="AQ527" s="2964"/>
      <c r="AR527" s="2965"/>
      <c r="AS527" s="254">
        <v>25</v>
      </c>
      <c r="AT527" s="46">
        <v>0</v>
      </c>
      <c r="AU527" s="255">
        <v>6.3</v>
      </c>
      <c r="AV527" s="255">
        <v>12.5</v>
      </c>
      <c r="AW527" s="255">
        <v>18.8</v>
      </c>
      <c r="AX527" s="255">
        <v>25</v>
      </c>
      <c r="AY527" s="255">
        <v>31.3</v>
      </c>
      <c r="AZ527" s="255">
        <v>37.5</v>
      </c>
      <c r="BA527" s="255">
        <v>50</v>
      </c>
      <c r="BE527" s="2963"/>
      <c r="BF527" s="2964"/>
      <c r="BG527" s="296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963"/>
      <c r="AQ528" s="2964"/>
      <c r="AR528" s="2965"/>
      <c r="AS528" s="254">
        <v>20</v>
      </c>
      <c r="AT528" s="46">
        <v>0</v>
      </c>
      <c r="AU528" s="255">
        <v>5</v>
      </c>
      <c r="AV528" s="255">
        <v>10</v>
      </c>
      <c r="AW528" s="255">
        <v>15</v>
      </c>
      <c r="AX528" s="255">
        <v>20</v>
      </c>
      <c r="AY528" s="255">
        <v>25</v>
      </c>
      <c r="AZ528" s="255">
        <v>30</v>
      </c>
      <c r="BA528" s="255">
        <v>40</v>
      </c>
      <c r="BE528" s="2963"/>
      <c r="BF528" s="2964"/>
      <c r="BG528" s="296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3027" t="s">
        <v>135</v>
      </c>
      <c r="D529" s="3028"/>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963"/>
      <c r="AQ529" s="2964"/>
      <c r="AR529" s="2965"/>
      <c r="AS529" s="254">
        <v>15</v>
      </c>
      <c r="AT529" s="46">
        <v>0</v>
      </c>
      <c r="AU529" s="255">
        <v>3.8</v>
      </c>
      <c r="AV529" s="255">
        <v>7.5</v>
      </c>
      <c r="AW529" s="255">
        <v>11.3</v>
      </c>
      <c r="AX529" s="255">
        <v>15</v>
      </c>
      <c r="AY529" s="255">
        <v>18.8</v>
      </c>
      <c r="AZ529" s="255">
        <v>22.5</v>
      </c>
      <c r="BA529" s="255">
        <v>30</v>
      </c>
      <c r="BE529" s="2963"/>
      <c r="BF529" s="2964"/>
      <c r="BG529" s="296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966"/>
      <c r="AQ530" s="2967"/>
      <c r="AR530" s="2968"/>
      <c r="AS530" s="254">
        <v>10</v>
      </c>
      <c r="AT530" s="46">
        <v>0</v>
      </c>
      <c r="AU530" s="255">
        <v>2.5</v>
      </c>
      <c r="AV530" s="255">
        <v>5</v>
      </c>
      <c r="AW530" s="255">
        <v>7.5</v>
      </c>
      <c r="AX530" s="255">
        <v>10</v>
      </c>
      <c r="AY530" s="255">
        <v>12.5</v>
      </c>
      <c r="AZ530" s="255">
        <v>15</v>
      </c>
      <c r="BA530" s="255">
        <v>20</v>
      </c>
      <c r="BE530" s="2966"/>
      <c r="BF530" s="2967"/>
      <c r="BG530" s="2968"/>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3027" t="s">
        <v>135</v>
      </c>
      <c r="D533" s="3028"/>
      <c r="E533" s="174"/>
      <c r="F533" s="838" t="s">
        <v>973</v>
      </c>
      <c r="G533" s="2957" t="s">
        <v>1106</v>
      </c>
      <c r="H533" s="2957"/>
      <c r="I533" s="2957"/>
      <c r="J533" s="2957"/>
      <c r="K533" s="2957"/>
      <c r="L533" s="2957"/>
      <c r="M533" s="2957"/>
      <c r="N533" s="2957"/>
      <c r="O533" s="2957"/>
      <c r="P533" s="2957"/>
      <c r="Q533" s="2957"/>
      <c r="R533" s="2957"/>
      <c r="S533" s="2957"/>
      <c r="T533" s="2957"/>
      <c r="U533" s="2957"/>
      <c r="V533" s="2957"/>
      <c r="W533" s="2957"/>
      <c r="X533" s="2957"/>
      <c r="Y533" s="2957"/>
      <c r="Z533" s="2957"/>
      <c r="AA533" s="2957"/>
      <c r="AB533" s="2957"/>
      <c r="AC533" s="2957"/>
      <c r="AD533" s="2957"/>
      <c r="AE533" s="2957"/>
      <c r="AF533" s="2957"/>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3169">
        <f>BJ537</f>
        <v>100</v>
      </c>
      <c r="BE533" s="3169"/>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3029"/>
      <c r="H534" s="3029"/>
      <c r="I534" s="3029"/>
      <c r="J534" s="3029"/>
      <c r="K534" s="3029"/>
      <c r="L534" s="3029"/>
      <c r="M534" s="3029"/>
      <c r="N534" s="3029"/>
      <c r="O534" s="3029"/>
      <c r="P534" s="3029"/>
      <c r="Q534" s="3029"/>
      <c r="R534" s="3029"/>
      <c r="S534" s="3029"/>
      <c r="T534" s="3029"/>
      <c r="U534" s="3029"/>
      <c r="V534" s="3029"/>
      <c r="W534" s="3029"/>
      <c r="X534" s="3029"/>
      <c r="Y534" s="3029"/>
      <c r="Z534" s="3029"/>
      <c r="AA534" s="3029"/>
      <c r="AB534" s="3029"/>
      <c r="AC534" s="3029"/>
      <c r="AD534" s="3029"/>
      <c r="AE534" s="3029"/>
      <c r="AF534" s="302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3169">
        <f>SUM(E590:J598)</f>
        <v>100</v>
      </c>
      <c r="BE534" s="3169"/>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3164">
        <v>0</v>
      </c>
      <c r="BK535" s="316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3164">
        <f>Application!AG424</f>
        <v>396</v>
      </c>
      <c r="BK536" s="3165"/>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962" t="s">
        <v>135</v>
      </c>
      <c r="D537" s="2343"/>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3164">
        <f>Application!AG426</f>
        <v>100</v>
      </c>
      <c r="BK537" s="3165"/>
      <c r="BM537" s="3015"/>
      <c r="BN537" s="3016"/>
      <c r="BO537" s="3015"/>
      <c r="BP537" s="3016"/>
      <c r="BQ537" s="3038"/>
      <c r="BR537" s="3039"/>
      <c r="BS537" s="3038"/>
      <c r="BT537" s="3039"/>
      <c r="BU537" s="3015">
        <f>IF(T617&gt;0,1,0)</f>
        <v>0</v>
      </c>
      <c r="BV537" s="3016"/>
      <c r="BW537" s="3015">
        <f>IF(Y617&gt;=0.1,1,0)</f>
        <v>0</v>
      </c>
      <c r="BX537" s="3016"/>
      <c r="BY537" s="3038"/>
      <c r="BZ537" s="3039"/>
      <c r="CA537" s="3038"/>
      <c r="CB537" s="3039"/>
      <c r="CC537" s="3015"/>
      <c r="CD537" s="3016"/>
      <c r="CE537" s="3015"/>
      <c r="CF537" s="3016"/>
      <c r="CG537" s="16"/>
      <c r="CH537" s="16"/>
      <c r="CI537" s="16"/>
      <c r="CJ537" s="16"/>
    </row>
    <row r="538" spans="1:122" s="46" customFormat="1" ht="12.75" customHeight="1">
      <c r="A538" s="28"/>
      <c r="C538" s="1305"/>
      <c r="D538" s="165"/>
      <c r="E538" s="237"/>
      <c r="F538" s="2709" t="s">
        <v>135</v>
      </c>
      <c r="G538" s="2709"/>
      <c r="H538" s="2709"/>
      <c r="I538" s="2709"/>
      <c r="J538" s="2709"/>
      <c r="K538" s="2709"/>
      <c r="L538" s="2709"/>
      <c r="M538" s="2709"/>
      <c r="N538" s="2709"/>
      <c r="O538" s="2709"/>
      <c r="P538" s="2709"/>
      <c r="Q538" s="2709"/>
      <c r="R538" s="2709"/>
      <c r="S538" s="2709"/>
      <c r="T538" s="2709"/>
      <c r="U538" s="2709"/>
      <c r="V538" s="2709"/>
      <c r="W538" s="2709"/>
      <c r="X538" s="2709"/>
      <c r="Y538" s="2709"/>
      <c r="Z538" s="2709"/>
      <c r="AA538" s="2709"/>
      <c r="AB538" s="2709"/>
      <c r="AC538" s="2709"/>
      <c r="AD538" s="2709"/>
      <c r="AE538" s="2709"/>
      <c r="AF538" s="2709"/>
      <c r="AG538" s="27"/>
      <c r="AH538" s="27"/>
      <c r="AI538" s="27"/>
      <c r="AJ538" s="27"/>
      <c r="AK538" s="1250"/>
      <c r="AL538" s="174"/>
      <c r="AN538" s="457"/>
      <c r="BM538" s="3015"/>
      <c r="BN538" s="3016"/>
      <c r="BO538" s="3015"/>
      <c r="BP538" s="3016"/>
      <c r="BQ538" s="3038"/>
      <c r="BR538" s="3039"/>
      <c r="BS538" s="3038"/>
      <c r="BT538" s="3039"/>
      <c r="BU538" s="3015"/>
      <c r="BV538" s="3016"/>
      <c r="BW538" s="3015"/>
      <c r="BX538" s="3016"/>
      <c r="BY538" s="3047">
        <f>IF(T618&gt;0,1,0)</f>
        <v>0</v>
      </c>
      <c r="BZ538" s="3049"/>
      <c r="CA538" s="3047">
        <f>IF(Y618&gt;=0.1,1,0)</f>
        <v>0</v>
      </c>
      <c r="CB538" s="3049"/>
      <c r="CC538" s="3015"/>
      <c r="CD538" s="3016"/>
      <c r="CE538" s="3015"/>
      <c r="CF538" s="3016"/>
      <c r="CG538" s="16"/>
      <c r="CH538" s="16"/>
      <c r="CI538" s="16"/>
      <c r="CJ538" s="16"/>
      <c r="CW538" s="16"/>
    </row>
    <row r="539" spans="1:122" s="46" customFormat="1" ht="12.75" customHeight="1">
      <c r="A539" s="28"/>
      <c r="C539" s="1306"/>
      <c r="D539" s="1261"/>
      <c r="E539" s="1281"/>
      <c r="F539" s="2969"/>
      <c r="G539" s="2969"/>
      <c r="H539" s="2969"/>
      <c r="I539" s="2969"/>
      <c r="J539" s="2969"/>
      <c r="K539" s="2969"/>
      <c r="L539" s="2969"/>
      <c r="M539" s="2969"/>
      <c r="N539" s="2969"/>
      <c r="O539" s="2969"/>
      <c r="P539" s="2969"/>
      <c r="Q539" s="2969"/>
      <c r="R539" s="2969"/>
      <c r="S539" s="2969"/>
      <c r="T539" s="2969"/>
      <c r="U539" s="2969"/>
      <c r="V539" s="2969"/>
      <c r="W539" s="2969"/>
      <c r="X539" s="2969"/>
      <c r="Y539" s="2969"/>
      <c r="Z539" s="2969"/>
      <c r="AA539" s="2969"/>
      <c r="AB539" s="2969"/>
      <c r="AC539" s="2969"/>
      <c r="AD539" s="2969"/>
      <c r="AE539" s="2969"/>
      <c r="AF539" s="2969"/>
      <c r="AG539" s="1283"/>
      <c r="AH539" s="1283"/>
      <c r="AI539" s="1283"/>
      <c r="AJ539" s="1283"/>
      <c r="AK539" s="1262"/>
      <c r="AL539" s="174"/>
      <c r="AN539" s="457"/>
      <c r="BM539" s="3015"/>
      <c r="BN539" s="3016"/>
      <c r="BO539" s="3015"/>
      <c r="BP539" s="3016"/>
      <c r="BQ539" s="3038"/>
      <c r="BR539" s="3039"/>
      <c r="BS539" s="3038"/>
      <c r="BT539" s="3039"/>
      <c r="BU539" s="3015"/>
      <c r="BV539" s="3016"/>
      <c r="BW539" s="3015"/>
      <c r="BX539" s="3016"/>
      <c r="BY539" s="3038"/>
      <c r="BZ539" s="3039"/>
      <c r="CA539" s="3038"/>
      <c r="CB539" s="3039"/>
      <c r="CC539" s="3015">
        <f>IF(T619&gt;0,1,0)</f>
        <v>1</v>
      </c>
      <c r="CD539" s="3016"/>
      <c r="CE539" s="3015">
        <f>IF(Y619&gt;=0.1,1,0)</f>
        <v>1</v>
      </c>
      <c r="CF539" s="301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3015">
        <f>SUM(BM535:BN539)</f>
        <v>0</v>
      </c>
      <c r="BN540" s="3016"/>
      <c r="BO540" s="3015">
        <f>SUM(BO535:BP539)</f>
        <v>0</v>
      </c>
      <c r="BP540" s="3016"/>
      <c r="BQ540" s="3015">
        <f>SUM(BQ535:BR539)</f>
        <v>0</v>
      </c>
      <c r="BR540" s="3016"/>
      <c r="BS540" s="3015">
        <f>SUM(BS535:BT539)</f>
        <v>0</v>
      </c>
      <c r="BT540" s="3016"/>
      <c r="BU540" s="3015">
        <f>SUM(BU535:BV539)</f>
        <v>0</v>
      </c>
      <c r="BV540" s="3016"/>
      <c r="BW540" s="3015">
        <f>SUM(BW535:BX539)</f>
        <v>0</v>
      </c>
      <c r="BX540" s="3016"/>
      <c r="BY540" s="3015">
        <f>SUM(BY535:BZ539)</f>
        <v>0</v>
      </c>
      <c r="BZ540" s="3016"/>
      <c r="CA540" s="3015">
        <f>SUM(CA535:CB539)</f>
        <v>0</v>
      </c>
      <c r="CB540" s="3016"/>
      <c r="CC540" s="3015">
        <f>SUM(CC535:CD539)</f>
        <v>1</v>
      </c>
      <c r="CD540" s="3016"/>
      <c r="CE540" s="3015">
        <f>SUM(CE535:CF539)</f>
        <v>1</v>
      </c>
      <c r="CF540" s="3016"/>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3166" t="s">
        <v>509</v>
      </c>
      <c r="AQ541" s="3167"/>
      <c r="AR541" s="3167"/>
      <c r="AS541" s="3167"/>
      <c r="AT541" s="3168"/>
      <c r="AU541" s="3166" t="s">
        <v>510</v>
      </c>
      <c r="AV541" s="3167"/>
      <c r="AW541" s="3167"/>
      <c r="AX541" s="3167"/>
      <c r="AY541" s="3168"/>
      <c r="BM541" s="3038">
        <f>SUM(BM540:BP540)</f>
        <v>0</v>
      </c>
      <c r="BN541" s="3056"/>
      <c r="BO541" s="3056"/>
      <c r="BP541" s="3039"/>
      <c r="BQ541" s="3038">
        <f>SUM(BQ540:BT540)</f>
        <v>0</v>
      </c>
      <c r="BR541" s="3056"/>
      <c r="BS541" s="3056"/>
      <c r="BT541" s="3039"/>
      <c r="BU541" s="3038">
        <f>SUM(BU540:BX540)</f>
        <v>0</v>
      </c>
      <c r="BV541" s="3056"/>
      <c r="BW541" s="3056"/>
      <c r="BX541" s="3039"/>
      <c r="BY541" s="3038">
        <f>SUM(BY540:CB540)</f>
        <v>0</v>
      </c>
      <c r="BZ541" s="3056"/>
      <c r="CA541" s="3056"/>
      <c r="CB541" s="3039"/>
      <c r="CC541" s="3038">
        <f>SUM(CC540:CF540)</f>
        <v>2</v>
      </c>
      <c r="CD541" s="3056"/>
      <c r="CE541" s="3056"/>
      <c r="CF541" s="3039"/>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3079">
        <f>RANK(T615,$T$615:$X$619,0)+COUNTIF($T$615:$X$619,T615)-1</f>
        <v>5</v>
      </c>
      <c r="AQ542" s="3080"/>
      <c r="AR542" s="3080"/>
      <c r="AS542" s="3080"/>
      <c r="AT542" s="3081"/>
      <c r="AU542" s="3079">
        <f>RANK(Y615,$Y$615:$AC$619,0)+COUNTIF($Y$615:$AC$619,Y615)-1</f>
        <v>5</v>
      </c>
      <c r="AV542" s="3080"/>
      <c r="AW542" s="3080"/>
      <c r="AX542" s="3080"/>
      <c r="AY542" s="3081"/>
      <c r="BM542" s="3038"/>
      <c r="BN542" s="3056"/>
      <c r="BO542" s="3056"/>
      <c r="BP542" s="3039"/>
      <c r="BQ542" s="3038">
        <f>IF(AND(BQ541=2,BM541=1),1,0)</f>
        <v>0</v>
      </c>
      <c r="BR542" s="3056"/>
      <c r="BS542" s="3056"/>
      <c r="BT542" s="3039"/>
      <c r="BU542" s="3038">
        <f>IF(AND(BU541=2,BQ541=1),1,0)</f>
        <v>0</v>
      </c>
      <c r="BV542" s="3056"/>
      <c r="BW542" s="3056"/>
      <c r="BX542" s="3039"/>
      <c r="BY542" s="3038">
        <f>IF(AND(BY541=2,BU541=1),1,0)</f>
        <v>0</v>
      </c>
      <c r="BZ542" s="3056"/>
      <c r="CA542" s="3056"/>
      <c r="CB542" s="3039"/>
      <c r="CC542" s="3038">
        <f>IF(AND(CC541=2,BU541=1),1,0)</f>
        <v>0</v>
      </c>
      <c r="CD542" s="3056"/>
      <c r="CE542" s="3056"/>
      <c r="CF542" s="3039"/>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3079">
        <f>RANK(T616,$T$615:$X$619,0)+COUNTIF($T$615:$X$619,T616)-1</f>
        <v>5</v>
      </c>
      <c r="AQ543" s="3080"/>
      <c r="AR543" s="3080"/>
      <c r="AS543" s="3080"/>
      <c r="AT543" s="3081"/>
      <c r="AU543" s="3079">
        <f>RANK(Y616,$Y$615:$AC$619,0)+COUNTIF($Y$615:$AC$619,Y616)-1</f>
        <v>5</v>
      </c>
      <c r="AV543" s="3080"/>
      <c r="AW543" s="3080"/>
      <c r="AX543" s="3080"/>
      <c r="AY543" s="3081"/>
      <c r="BM543" s="3038"/>
      <c r="BN543" s="3056"/>
      <c r="BO543" s="3056"/>
      <c r="BP543" s="3039"/>
      <c r="BQ543" s="3038"/>
      <c r="BR543" s="3056"/>
      <c r="BS543" s="3056"/>
      <c r="BT543" s="3039"/>
      <c r="BU543" s="3038">
        <f>IF(AND(BU541=2,BM541=1),1,0)</f>
        <v>0</v>
      </c>
      <c r="BV543" s="3056"/>
      <c r="BW543" s="3056"/>
      <c r="BX543" s="3039"/>
      <c r="BY543" s="3038">
        <f>IF(AND(BY541=2,BQ541=1),1,0)</f>
        <v>0</v>
      </c>
      <c r="BZ543" s="3056"/>
      <c r="CA543" s="3056"/>
      <c r="CB543" s="3039"/>
      <c r="CC543" s="3038">
        <f>IF(AND(CC542=2,BY542=1),1,0)</f>
        <v>0</v>
      </c>
      <c r="CD543" s="3056"/>
      <c r="CE543" s="3056"/>
      <c r="CF543" s="3039"/>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3079">
        <f>RANK(T617,$T$615:$X$619,0)+COUNTIF($T$615:$X$619,T617)-1</f>
        <v>5</v>
      </c>
      <c r="AQ544" s="3080"/>
      <c r="AR544" s="3080"/>
      <c r="AS544" s="3080"/>
      <c r="AT544" s="3081"/>
      <c r="AU544" s="3079">
        <f>RANK(Y617,$Y$615:$AC$619,0)+COUNTIF($Y$615:$AC$619,Y617)-1</f>
        <v>5</v>
      </c>
      <c r="AV544" s="3080"/>
      <c r="AW544" s="3080"/>
      <c r="AX544" s="3080"/>
      <c r="AY544" s="3081"/>
      <c r="BM544" s="3038"/>
      <c r="BN544" s="3056"/>
      <c r="BO544" s="3056"/>
      <c r="BP544" s="3039"/>
      <c r="BQ544" s="3038"/>
      <c r="BR544" s="3056"/>
      <c r="BS544" s="3056"/>
      <c r="BT544" s="3039"/>
      <c r="BU544" s="3038"/>
      <c r="BV544" s="3056"/>
      <c r="BW544" s="3056"/>
      <c r="BX544" s="3039"/>
      <c r="BY544" s="3038">
        <f>IF(AND(BY541=2,BM541=1),1,0)</f>
        <v>0</v>
      </c>
      <c r="BZ544" s="3056"/>
      <c r="CA544" s="3056"/>
      <c r="CB544" s="3039"/>
      <c r="CC544" s="3038">
        <f>IF(AND(CC541=2,BQ541=1),1,0)</f>
        <v>0</v>
      </c>
      <c r="CD544" s="3056"/>
      <c r="CE544" s="3056"/>
      <c r="CF544" s="3039"/>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3079">
        <f>RANK(T618,$T$615:$X$619,0)+COUNTIF($T$615:$X$619,T618)-1</f>
        <v>5</v>
      </c>
      <c r="AQ545" s="3080"/>
      <c r="AR545" s="3080"/>
      <c r="AS545" s="3080"/>
      <c r="AT545" s="3081"/>
      <c r="AU545" s="3079">
        <f>RANK(Y618,$Y$615:$AC$619,0)+COUNTIF($Y$615:$AC$619,Y618)-1</f>
        <v>5</v>
      </c>
      <c r="AV545" s="3080"/>
      <c r="AW545" s="3080"/>
      <c r="AX545" s="3080"/>
      <c r="AY545" s="3081"/>
      <c r="BM545" s="3038"/>
      <c r="BN545" s="3056"/>
      <c r="BO545" s="3056"/>
      <c r="BP545" s="3039"/>
      <c r="BQ545" s="3038"/>
      <c r="BR545" s="3056"/>
      <c r="BS545" s="3056"/>
      <c r="BT545" s="3039"/>
      <c r="BU545" s="3038"/>
      <c r="BV545" s="3056"/>
      <c r="BW545" s="3056"/>
      <c r="BX545" s="3039"/>
      <c r="BY545" s="3038"/>
      <c r="BZ545" s="3056"/>
      <c r="CA545" s="3056"/>
      <c r="CB545" s="3039"/>
      <c r="CC545" s="3038">
        <f>IF(AND(CC541=2,BM541=1),1,0)</f>
        <v>0</v>
      </c>
      <c r="CD545" s="3056"/>
      <c r="CE545" s="3056"/>
      <c r="CF545" s="3039"/>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3079">
        <f>RANK(T619,$T$615:$X$619,0)+COUNTIF($T$615:$X$619,T619)-1</f>
        <v>1</v>
      </c>
      <c r="AQ546" s="3080"/>
      <c r="AR546" s="3080"/>
      <c r="AS546" s="3080"/>
      <c r="AT546" s="3081"/>
      <c r="AU546" s="3079">
        <f>RANK(Y619,$Y$615:$AC$619,0)+COUNTIF($Y$615:$AC$619,Y619)-1</f>
        <v>1</v>
      </c>
      <c r="AV546" s="3080"/>
      <c r="AW546" s="3080"/>
      <c r="AX546" s="3080"/>
      <c r="AY546" s="3081"/>
      <c r="BM546" s="3038">
        <f>SUM(BM542:BP545)</f>
        <v>0</v>
      </c>
      <c r="BN546" s="3056"/>
      <c r="BO546" s="3056"/>
      <c r="BP546" s="3039"/>
      <c r="BQ546" s="3038">
        <f>SUM(BQ542:BT545)</f>
        <v>0</v>
      </c>
      <c r="BR546" s="3056"/>
      <c r="BS546" s="3056"/>
      <c r="BT546" s="3039"/>
      <c r="BU546" s="3038">
        <f>SUM(BU542:BX545)</f>
        <v>0</v>
      </c>
      <c r="BV546" s="3056"/>
      <c r="BW546" s="3056"/>
      <c r="BX546" s="3039"/>
      <c r="BY546" s="3038">
        <f>SUM(BY542:CB545)</f>
        <v>0</v>
      </c>
      <c r="BZ546" s="3056"/>
      <c r="CA546" s="3056"/>
      <c r="CB546" s="3039"/>
      <c r="CC546" s="3038">
        <f>SUM(CC542:CF545)</f>
        <v>0</v>
      </c>
      <c r="CD546" s="3056"/>
      <c r="CE546" s="3056"/>
      <c r="CF546" s="3039"/>
      <c r="CG546" s="3038">
        <f>SUM(BM546:CF546)</f>
        <v>0</v>
      </c>
      <c r="CH546" s="3056"/>
      <c r="CI546" s="3056"/>
      <c r="CJ546" s="3039"/>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754">
        <f>SUM(AG493:AG538)</f>
        <v>5</v>
      </c>
      <c r="AL549" s="2755"/>
      <c r="AM549" s="2756"/>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3015">
        <f>SUM(O615:S619)</f>
        <v>100</v>
      </c>
      <c r="AZ550" s="3016"/>
      <c r="CG550" s="35"/>
      <c r="CH550" s="3057" t="s">
        <v>855</v>
      </c>
      <c r="CI550" s="3058"/>
      <c r="CJ550" s="3058"/>
      <c r="CK550" s="305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3015" t="str">
        <f>IF(AY550=BK577,"passed","failed")</f>
        <v>passed</v>
      </c>
      <c r="AT551" s="3021"/>
      <c r="AU551" s="3016"/>
      <c r="AV551" s="245"/>
      <c r="AW551" s="245"/>
      <c r="AX551" s="245"/>
      <c r="AY551" s="245"/>
      <c r="AZ551" s="246"/>
      <c r="CG551" s="35"/>
      <c r="CH551" s="3060"/>
      <c r="CI551" s="3061"/>
      <c r="CJ551" s="3061"/>
      <c r="CK551" s="3062"/>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983" t="s">
        <v>414</v>
      </c>
      <c r="AF552" s="2983"/>
      <c r="AG552" s="2983"/>
      <c r="AH552" s="2983"/>
      <c r="AI552" s="2983"/>
      <c r="AJ552" s="2983"/>
      <c r="AK552" s="2983"/>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3060"/>
      <c r="CI552" s="3061"/>
      <c r="CJ552" s="3061"/>
      <c r="CK552" s="3062"/>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939" t="s">
        <v>199</v>
      </c>
      <c r="AH553" s="2939"/>
      <c r="AI553" s="2939"/>
      <c r="AJ553" s="2939"/>
      <c r="AK553" s="26"/>
      <c r="AL553" s="1358"/>
      <c r="AM553" s="65"/>
      <c r="AN553" s="457"/>
      <c r="BE553" s="3038" t="s">
        <v>249</v>
      </c>
      <c r="BF553" s="3056"/>
      <c r="BG553" s="3056"/>
      <c r="BH553" s="3039"/>
      <c r="BI553" s="3038" t="s">
        <v>790</v>
      </c>
      <c r="BJ553" s="3056"/>
      <c r="BK553" s="3056"/>
      <c r="BL553" s="3039"/>
      <c r="BM553" s="3038" t="s">
        <v>791</v>
      </c>
      <c r="BN553" s="3056"/>
      <c r="BO553" s="3056"/>
      <c r="BP553" s="3039"/>
      <c r="BQ553" s="3038" t="s">
        <v>792</v>
      </c>
      <c r="BR553" s="3056"/>
      <c r="BS553" s="3056"/>
      <c r="BT553" s="3039"/>
      <c r="BU553" s="3038" t="s">
        <v>793</v>
      </c>
      <c r="BV553" s="3056"/>
      <c r="BW553" s="3056"/>
      <c r="BX553" s="3039"/>
      <c r="BY553" s="3038" t="s">
        <v>250</v>
      </c>
      <c r="BZ553" s="3056"/>
      <c r="CA553" s="3056"/>
      <c r="CB553" s="3039"/>
      <c r="CC553" s="16"/>
      <c r="CG553" s="16"/>
      <c r="CH553" s="3060"/>
      <c r="CI553" s="3061"/>
      <c r="CJ553" s="3061"/>
      <c r="CK553" s="3062"/>
    </row>
    <row r="554" spans="1:89" s="46" customFormat="1" ht="12.75" customHeight="1">
      <c r="A554" s="164"/>
      <c r="B554" s="2908" t="s">
        <v>1989</v>
      </c>
      <c r="C554" s="2908"/>
      <c r="D554" s="2908"/>
      <c r="E554" s="2908"/>
      <c r="F554" s="2908"/>
      <c r="G554" s="2908"/>
      <c r="H554" s="2908"/>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908"/>
      <c r="AD554" s="2908"/>
      <c r="AE554" s="2908"/>
      <c r="AF554" s="2908"/>
      <c r="AG554" s="2908"/>
      <c r="AK554" s="65"/>
      <c r="AL554" s="65"/>
      <c r="AM554" s="165"/>
      <c r="AN554" s="457"/>
      <c r="AP554" s="718" t="s">
        <v>686</v>
      </c>
      <c r="AQ554" s="719"/>
      <c r="AR554" s="719"/>
      <c r="AS554" s="719"/>
      <c r="AT554" s="719"/>
      <c r="AU554" s="719"/>
      <c r="AV554" s="720"/>
      <c r="AW554" s="719"/>
      <c r="AX554" s="719"/>
      <c r="AY554" s="720"/>
      <c r="BE554" s="3015">
        <f>IF(CH555=1,0,1)</f>
        <v>0</v>
      </c>
      <c r="BF554" s="3021"/>
      <c r="BG554" s="3021"/>
      <c r="BH554" s="3016"/>
      <c r="BI554" s="3015"/>
      <c r="BJ554" s="3021"/>
      <c r="BK554" s="3021"/>
      <c r="BL554" s="3016"/>
      <c r="BM554" s="3015"/>
      <c r="BN554" s="3021"/>
      <c r="BO554" s="3021"/>
      <c r="BP554" s="3016"/>
      <c r="BQ554" s="3015"/>
      <c r="BR554" s="3021"/>
      <c r="BS554" s="3021"/>
      <c r="BT554" s="3016"/>
      <c r="BU554" s="3047"/>
      <c r="BV554" s="3048"/>
      <c r="BW554" s="3048"/>
      <c r="BX554" s="3049"/>
      <c r="BY554" s="3047"/>
      <c r="BZ554" s="3048"/>
      <c r="CA554" s="3048"/>
      <c r="CB554" s="3049"/>
      <c r="CC554" s="16"/>
      <c r="CG554" s="16"/>
      <c r="CH554" s="3063"/>
      <c r="CI554" s="3064"/>
      <c r="CJ554" s="3064"/>
      <c r="CK554" s="3065"/>
    </row>
    <row r="555" spans="1:89" s="46" customFormat="1" ht="12.75" customHeight="1">
      <c r="A555" s="29"/>
      <c r="B555" s="2908"/>
      <c r="C555" s="2908"/>
      <c r="D555" s="2908"/>
      <c r="E555" s="2908"/>
      <c r="F555" s="2908"/>
      <c r="G555" s="2908"/>
      <c r="H555" s="2908"/>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908"/>
      <c r="AD555" s="2908"/>
      <c r="AE555" s="2908"/>
      <c r="AF555" s="2908"/>
      <c r="AG555" s="2908"/>
      <c r="AK555" s="258"/>
      <c r="AL555" s="258"/>
      <c r="AM555" s="258"/>
      <c r="AN555" s="457"/>
      <c r="AP555" s="721" t="s">
        <v>684</v>
      </c>
      <c r="AQ555" s="722"/>
      <c r="AR555" s="722"/>
      <c r="AS555" s="722"/>
      <c r="AT555" s="722"/>
      <c r="AU555" s="3082">
        <f>ROUNDUP(BK577*0.1,0)</f>
        <v>10</v>
      </c>
      <c r="AV555" s="3084"/>
      <c r="AW555" s="722"/>
      <c r="AX555" s="722">
        <f>AU555-AP557</f>
        <v>0</v>
      </c>
      <c r="AY555" s="723"/>
      <c r="BE555" s="3015"/>
      <c r="BF555" s="3021"/>
      <c r="BG555" s="3021"/>
      <c r="BH555" s="3016"/>
      <c r="BI555" s="3015">
        <f>IF(AND(CH556=1,BE554=0),0,1)</f>
        <v>0</v>
      </c>
      <c r="BJ555" s="3021"/>
      <c r="BK555" s="3021"/>
      <c r="BL555" s="3016"/>
      <c r="BM555" s="3015"/>
      <c r="BN555" s="3021"/>
      <c r="BO555" s="3021"/>
      <c r="BP555" s="3016"/>
      <c r="BQ555" s="3015"/>
      <c r="BR555" s="3021"/>
      <c r="BS555" s="3021"/>
      <c r="BT555" s="3016"/>
      <c r="BU555" s="3047"/>
      <c r="BV555" s="3048"/>
      <c r="BW555" s="3048"/>
      <c r="BX555" s="3049"/>
      <c r="BY555" s="3047"/>
      <c r="BZ555" s="3048"/>
      <c r="CA555" s="3048"/>
      <c r="CB555" s="3049"/>
      <c r="CC555" s="16"/>
      <c r="CG555" s="16"/>
      <c r="CH555" s="3038">
        <f>IF(OR(Y615=0,Y615&gt;=0.1),1,0)</f>
        <v>1</v>
      </c>
      <c r="CI555" s="3056"/>
      <c r="CJ555" s="3056"/>
      <c r="CK555" s="3039"/>
    </row>
    <row r="556" spans="1:89" s="46" customFormat="1" ht="12.75" customHeight="1">
      <c r="A556" s="28"/>
      <c r="B556" s="2908"/>
      <c r="C556" s="2908"/>
      <c r="D556" s="2908"/>
      <c r="E556" s="2908"/>
      <c r="F556" s="2908"/>
      <c r="G556" s="2908"/>
      <c r="H556" s="2908"/>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908"/>
      <c r="AD556" s="2908"/>
      <c r="AE556" s="2908"/>
      <c r="AF556" s="2908"/>
      <c r="AG556" s="2908"/>
      <c r="AH556" s="257"/>
      <c r="AI556" s="257"/>
      <c r="AJ556" s="257"/>
      <c r="AK556" s="258"/>
      <c r="AL556" s="258"/>
      <c r="AM556" s="258"/>
      <c r="AN556" s="457"/>
      <c r="AP556" s="721"/>
      <c r="AQ556" s="722"/>
      <c r="AR556" s="722"/>
      <c r="AS556" s="722"/>
      <c r="AT556" s="722"/>
      <c r="AU556" s="722"/>
      <c r="AV556" s="723"/>
      <c r="AW556" s="722"/>
      <c r="AX556" s="722"/>
      <c r="AY556" s="723"/>
      <c r="BE556" s="3015"/>
      <c r="BF556" s="3021"/>
      <c r="BG556" s="3021"/>
      <c r="BH556" s="3016"/>
      <c r="BI556" s="3015"/>
      <c r="BJ556" s="3021"/>
      <c r="BK556" s="3021"/>
      <c r="BL556" s="3016"/>
      <c r="BM556" s="3015">
        <f>IF(AND(AND(CH557=1,BI555=0,BE554=0)),0,1)</f>
        <v>0</v>
      </c>
      <c r="BN556" s="3021"/>
      <c r="BO556" s="3021"/>
      <c r="BP556" s="3016"/>
      <c r="BQ556" s="3015"/>
      <c r="BR556" s="3021"/>
      <c r="BS556" s="3021"/>
      <c r="BT556" s="3016"/>
      <c r="BU556" s="3047"/>
      <c r="BV556" s="3048"/>
      <c r="BW556" s="3048"/>
      <c r="BX556" s="3049"/>
      <c r="BY556" s="3047"/>
      <c r="BZ556" s="3048"/>
      <c r="CA556" s="3048"/>
      <c r="CB556" s="3049"/>
      <c r="CC556" s="16"/>
      <c r="CG556" s="16"/>
      <c r="CH556" s="3038">
        <f>IF(OR(Y616=0,Y616&gt;=0.1),1,0)</f>
        <v>1</v>
      </c>
      <c r="CI556" s="3056"/>
      <c r="CJ556" s="3056"/>
      <c r="CK556" s="3039"/>
    </row>
    <row r="557" spans="1:89" s="46" customFormat="1" ht="12.75" customHeight="1">
      <c r="A557" s="28"/>
      <c r="B557" s="2908"/>
      <c r="C557" s="2908"/>
      <c r="D557" s="2908"/>
      <c r="E557" s="2908"/>
      <c r="F557" s="2908"/>
      <c r="G557" s="2908"/>
      <c r="H557" s="2908"/>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908"/>
      <c r="AD557" s="2908"/>
      <c r="AE557" s="2908"/>
      <c r="AF557" s="2908"/>
      <c r="AG557" s="2908"/>
      <c r="AH557" s="257"/>
      <c r="AI557" s="257"/>
      <c r="AJ557" s="257"/>
      <c r="AK557" s="258"/>
      <c r="AL557" s="258"/>
      <c r="AM557" s="258"/>
      <c r="AN557" s="457"/>
      <c r="AP557" s="3151">
        <f>SUM(T615:X619)</f>
        <v>10</v>
      </c>
      <c r="AQ557" s="3152"/>
      <c r="AR557" s="3152"/>
      <c r="AS557" s="3152"/>
      <c r="AT557" s="3153"/>
      <c r="AU557" s="722"/>
      <c r="AV557" s="723"/>
      <c r="AW557" s="722"/>
      <c r="AX557" s="722"/>
      <c r="AY557" s="723"/>
      <c r="BE557" s="3015"/>
      <c r="BF557" s="3021"/>
      <c r="BG557" s="3021"/>
      <c r="BH557" s="3016"/>
      <c r="BI557" s="3015"/>
      <c r="BJ557" s="3021"/>
      <c r="BK557" s="3021"/>
      <c r="BL557" s="3016"/>
      <c r="BM557" s="3015"/>
      <c r="BN557" s="3021"/>
      <c r="BO557" s="3021"/>
      <c r="BP557" s="3016"/>
      <c r="BQ557" s="3015">
        <f>IF(AND(AND(AND(CH558=1,BM556=0,BI555=0,BE554=0))),0,1)</f>
        <v>0</v>
      </c>
      <c r="BR557" s="3021"/>
      <c r="BS557" s="3021"/>
      <c r="BT557" s="3016"/>
      <c r="BU557" s="3047"/>
      <c r="BV557" s="3048"/>
      <c r="BW557" s="3048"/>
      <c r="BX557" s="3049"/>
      <c r="BY557" s="3047"/>
      <c r="BZ557" s="3048"/>
      <c r="CA557" s="3048"/>
      <c r="CB557" s="3049"/>
      <c r="CC557" s="16"/>
      <c r="CG557" s="16"/>
      <c r="CH557" s="3038">
        <f>IF(OR(Y617=0,Y617&gt;=0.1),1,0)</f>
        <v>1</v>
      </c>
      <c r="CI557" s="3056"/>
      <c r="CJ557" s="3056"/>
      <c r="CK557" s="3039"/>
    </row>
    <row r="558" spans="1:89" s="46" customFormat="1" ht="12.75" customHeight="1">
      <c r="A558" s="28"/>
      <c r="B558" s="2908"/>
      <c r="C558" s="2908"/>
      <c r="D558" s="2908"/>
      <c r="E558" s="2908"/>
      <c r="F558" s="2908"/>
      <c r="G558" s="2908"/>
      <c r="H558" s="2908"/>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908"/>
      <c r="AD558" s="2908"/>
      <c r="AE558" s="2908"/>
      <c r="AF558" s="2908"/>
      <c r="AG558" s="2908"/>
      <c r="AH558" s="257"/>
      <c r="AI558" s="257"/>
      <c r="AJ558" s="257"/>
      <c r="AK558" s="258"/>
      <c r="AL558" s="258"/>
      <c r="AM558" s="258"/>
      <c r="AN558" s="457"/>
      <c r="AP558" s="724"/>
      <c r="AQ558" s="725"/>
      <c r="AR558" s="725"/>
      <c r="AS558" s="725"/>
      <c r="AT558" s="726" t="s">
        <v>679</v>
      </c>
      <c r="AU558" s="3082" t="str">
        <f>IF(AP557&gt;=AU555,"passed","failed")</f>
        <v>passed</v>
      </c>
      <c r="AV558" s="3083"/>
      <c r="AW558" s="3084"/>
      <c r="AX558" s="727"/>
      <c r="AY558" s="728"/>
      <c r="BE558" s="3015"/>
      <c r="BF558" s="3021"/>
      <c r="BG558" s="3021"/>
      <c r="BH558" s="3016"/>
      <c r="BI558" s="3015"/>
      <c r="BJ558" s="3021"/>
      <c r="BK558" s="3021"/>
      <c r="BL558" s="3016"/>
      <c r="BM558" s="3015"/>
      <c r="BN558" s="3021"/>
      <c r="BO558" s="3021"/>
      <c r="BP558" s="3016"/>
      <c r="BQ558" s="3015"/>
      <c r="BR558" s="3021"/>
      <c r="BS558" s="3021"/>
      <c r="BT558" s="3016"/>
      <c r="BU558" s="3015">
        <f>IF(AND(AND(AND(AND(CH559=1,BQ557=0,BM556=0,BI555=0,BE554=0)))),0,1)</f>
        <v>0</v>
      </c>
      <c r="BV558" s="3021"/>
      <c r="BW558" s="3021"/>
      <c r="BX558" s="3016"/>
      <c r="BY558" s="3047"/>
      <c r="BZ558" s="3048"/>
      <c r="CA558" s="3048"/>
      <c r="CB558" s="3049"/>
      <c r="CC558" s="16"/>
      <c r="CD558" s="16"/>
      <c r="CE558" s="16"/>
      <c r="CF558" s="16"/>
      <c r="CG558" s="16"/>
      <c r="CH558" s="3038">
        <f>IF(OR(Y618=0,Y618&gt;=0.1),1,0)</f>
        <v>1</v>
      </c>
      <c r="CI558" s="3056"/>
      <c r="CJ558" s="3056"/>
      <c r="CK558" s="3039"/>
    </row>
    <row r="559" spans="1:89" s="46" customFormat="1" ht="13.7" customHeight="1">
      <c r="A559" s="28"/>
      <c r="B559" s="2908"/>
      <c r="C559" s="2908"/>
      <c r="D559" s="2908"/>
      <c r="E559" s="2908"/>
      <c r="F559" s="2908"/>
      <c r="G559" s="2908"/>
      <c r="H559" s="2908"/>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908"/>
      <c r="AD559" s="2908"/>
      <c r="AE559" s="2908"/>
      <c r="AF559" s="2908"/>
      <c r="AG559" s="2908"/>
      <c r="AH559" s="257"/>
      <c r="AI559" s="257"/>
      <c r="AJ559" s="257"/>
      <c r="AK559" s="258"/>
      <c r="AL559" s="258"/>
      <c r="AM559" s="258"/>
      <c r="AN559" s="1193"/>
      <c r="BE559" s="3015">
        <f>SUM(BE554:BH558)</f>
        <v>0</v>
      </c>
      <c r="BF559" s="3021"/>
      <c r="BG559" s="3021"/>
      <c r="BH559" s="3016"/>
      <c r="BI559" s="3015">
        <f>SUM(BI554:BL558)</f>
        <v>0</v>
      </c>
      <c r="BJ559" s="3021"/>
      <c r="BK559" s="3021"/>
      <c r="BL559" s="3016"/>
      <c r="BM559" s="3015">
        <f>SUM(BM554:BP558)</f>
        <v>0</v>
      </c>
      <c r="BN559" s="3021"/>
      <c r="BO559" s="3021"/>
      <c r="BP559" s="3016"/>
      <c r="BQ559" s="3015">
        <f>SUM(BQ554:BT558)</f>
        <v>0</v>
      </c>
      <c r="BR559" s="3021"/>
      <c r="BS559" s="3021"/>
      <c r="BT559" s="3016"/>
      <c r="BU559" s="3015">
        <f>SUM(BU554:BX558)</f>
        <v>0</v>
      </c>
      <c r="BV559" s="3021"/>
      <c r="BW559" s="3021"/>
      <c r="BX559" s="3016"/>
      <c r="BY559" s="3015">
        <f>SUM(BY554:CB558)</f>
        <v>0</v>
      </c>
      <c r="BZ559" s="3021"/>
      <c r="CA559" s="3021"/>
      <c r="CB559" s="3016"/>
      <c r="CC559" s="3038">
        <f>IF(AND(CH555=1,T615&gt;0),0,SUM(BE559:CB559))</f>
        <v>0</v>
      </c>
      <c r="CD559" s="3056"/>
      <c r="CE559" s="3056"/>
      <c r="CF559" s="3039"/>
      <c r="CG559" s="16"/>
      <c r="CH559" s="3038">
        <f>IF(OR(Y619=0,Y619&gt;=0.1),1,0)</f>
        <v>1</v>
      </c>
      <c r="CI559" s="3056"/>
      <c r="CJ559" s="3056"/>
      <c r="CK559" s="3039"/>
    </row>
    <row r="560" spans="1:89" s="149" customFormat="1" ht="12.4" customHeight="1">
      <c r="A560" s="28"/>
      <c r="B560" s="3078" t="s">
        <v>1715</v>
      </c>
      <c r="C560" s="3078"/>
      <c r="D560" s="3078"/>
      <c r="E560" s="3078"/>
      <c r="F560" s="3078"/>
      <c r="G560" s="3078"/>
      <c r="H560" s="3078"/>
      <c r="I560" s="3078"/>
      <c r="J560" s="3078"/>
      <c r="K560" s="3078"/>
      <c r="L560" s="3078"/>
      <c r="M560" s="3078"/>
      <c r="N560" s="3078"/>
      <c r="O560" s="3078"/>
      <c r="P560" s="3078"/>
      <c r="Q560" s="3078"/>
      <c r="R560" s="3078"/>
      <c r="S560" s="3078"/>
      <c r="T560" s="3078"/>
      <c r="U560" s="3078"/>
      <c r="V560" s="3078"/>
      <c r="W560" s="3078"/>
      <c r="X560" s="3078"/>
      <c r="Y560" s="3078"/>
      <c r="Z560" s="3078"/>
      <c r="AA560" s="3078"/>
      <c r="AB560" s="3078"/>
      <c r="AC560" s="3078"/>
      <c r="AD560" s="3078"/>
      <c r="AE560" s="3078"/>
      <c r="AF560" s="3078"/>
      <c r="AG560" s="3078"/>
      <c r="AH560" s="257"/>
      <c r="AI560" s="257"/>
      <c r="AJ560" s="257"/>
      <c r="AK560" s="258"/>
      <c r="AL560" s="258"/>
      <c r="AM560" s="258"/>
      <c r="AN560" s="457"/>
    </row>
    <row r="561" spans="1:91" s="46" customFormat="1" ht="21" customHeight="1">
      <c r="A561" s="28"/>
      <c r="B561" s="3078"/>
      <c r="C561" s="3078"/>
      <c r="D561" s="3078"/>
      <c r="E561" s="3078"/>
      <c r="F561" s="3078"/>
      <c r="G561" s="3078"/>
      <c r="H561" s="3078"/>
      <c r="I561" s="3078"/>
      <c r="J561" s="3078"/>
      <c r="K561" s="3078"/>
      <c r="L561" s="3078"/>
      <c r="M561" s="3078"/>
      <c r="N561" s="3078"/>
      <c r="O561" s="3078"/>
      <c r="P561" s="3078"/>
      <c r="Q561" s="3078"/>
      <c r="R561" s="3078"/>
      <c r="S561" s="3078"/>
      <c r="T561" s="3078"/>
      <c r="U561" s="3078"/>
      <c r="V561" s="3078"/>
      <c r="W561" s="3078"/>
      <c r="X561" s="3078"/>
      <c r="Y561" s="3078"/>
      <c r="Z561" s="3078"/>
      <c r="AA561" s="3078"/>
      <c r="AB561" s="3078"/>
      <c r="AC561" s="3078"/>
      <c r="AD561" s="3078"/>
      <c r="AE561" s="3078"/>
      <c r="AF561" s="3078"/>
      <c r="AG561" s="3078"/>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3078" t="s">
        <v>2048</v>
      </c>
      <c r="C562" s="3078"/>
      <c r="D562" s="3078"/>
      <c r="E562" s="3078"/>
      <c r="F562" s="3078"/>
      <c r="G562" s="3078"/>
      <c r="H562" s="3078"/>
      <c r="I562" s="3078"/>
      <c r="J562" s="3078"/>
      <c r="K562" s="3078"/>
      <c r="L562" s="3078"/>
      <c r="M562" s="3078"/>
      <c r="N562" s="3078"/>
      <c r="O562" s="3078"/>
      <c r="P562" s="3078"/>
      <c r="Q562" s="3078"/>
      <c r="R562" s="3078"/>
      <c r="S562" s="3078"/>
      <c r="T562" s="3078"/>
      <c r="U562" s="3078"/>
      <c r="V562" s="3078"/>
      <c r="W562" s="3078"/>
      <c r="X562" s="3078"/>
      <c r="Y562" s="3078"/>
      <c r="Z562" s="3078"/>
      <c r="AA562" s="3078"/>
      <c r="AB562" s="3078"/>
      <c r="AC562" s="3078"/>
      <c r="AD562" s="3078"/>
      <c r="AE562" s="3078"/>
      <c r="AF562" s="3078"/>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3078"/>
      <c r="C563" s="3078"/>
      <c r="D563" s="3078"/>
      <c r="E563" s="3078"/>
      <c r="F563" s="3078"/>
      <c r="G563" s="3078"/>
      <c r="H563" s="3078"/>
      <c r="I563" s="3078"/>
      <c r="J563" s="3078"/>
      <c r="K563" s="3078"/>
      <c r="L563" s="3078"/>
      <c r="M563" s="3078"/>
      <c r="N563" s="3078"/>
      <c r="O563" s="3078"/>
      <c r="P563" s="3078"/>
      <c r="Q563" s="3078"/>
      <c r="R563" s="3078"/>
      <c r="S563" s="3078"/>
      <c r="T563" s="3078"/>
      <c r="U563" s="3078"/>
      <c r="V563" s="3078"/>
      <c r="W563" s="3078"/>
      <c r="X563" s="3078"/>
      <c r="Y563" s="3078"/>
      <c r="Z563" s="3078"/>
      <c r="AA563" s="3078"/>
      <c r="AB563" s="3078"/>
      <c r="AC563" s="3078"/>
      <c r="AD563" s="3078"/>
      <c r="AE563" s="3078"/>
      <c r="AF563" s="3078"/>
      <c r="AG563" s="257"/>
      <c r="AH563" s="257"/>
      <c r="AI563" s="257"/>
      <c r="AJ563" s="257"/>
      <c r="AK563" s="258"/>
      <c r="AL563" s="258"/>
      <c r="AM563" s="258"/>
      <c r="AN563" s="457"/>
      <c r="AP563" s="244"/>
      <c r="AQ563" s="245"/>
      <c r="AR563" s="245"/>
      <c r="AS563" s="245"/>
      <c r="AT563" s="251" t="s">
        <v>679</v>
      </c>
      <c r="AU563" s="245"/>
      <c r="AV563" s="3015" t="str">
        <f>IF(BJ599&gt;0,"failed","passed")</f>
        <v>passed</v>
      </c>
      <c r="AW563" s="3021"/>
      <c r="AX563" s="3021"/>
      <c r="AY563" s="3016"/>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3158" t="s">
        <v>1716</v>
      </c>
      <c r="R566" s="3158"/>
      <c r="S566" s="3158"/>
      <c r="T566" s="3158"/>
      <c r="U566" s="3158"/>
      <c r="V566" s="3158"/>
      <c r="W566" s="3158"/>
      <c r="X566" s="3158"/>
      <c r="Y566" s="3158"/>
      <c r="Z566" s="3158"/>
      <c r="AA566" s="3158"/>
      <c r="AB566" s="3158"/>
      <c r="AC566" s="3158"/>
      <c r="AD566" s="3158"/>
      <c r="AE566" s="3158"/>
      <c r="AF566" s="3158"/>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3158"/>
      <c r="R567" s="3158"/>
      <c r="S567" s="3158"/>
      <c r="T567" s="3158"/>
      <c r="U567" s="3158"/>
      <c r="V567" s="3158"/>
      <c r="W567" s="3158"/>
      <c r="X567" s="3158"/>
      <c r="Y567" s="3158"/>
      <c r="Z567" s="3158"/>
      <c r="AA567" s="3158"/>
      <c r="AB567" s="3158"/>
      <c r="AC567" s="3158"/>
      <c r="AD567" s="3158"/>
      <c r="AE567" s="3158"/>
      <c r="AF567" s="3158"/>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952" t="s">
        <v>2047</v>
      </c>
      <c r="R568" s="2953"/>
      <c r="S568" s="3161" t="s">
        <v>227</v>
      </c>
      <c r="T568" s="3161"/>
      <c r="U568" s="2952">
        <v>0.5</v>
      </c>
      <c r="V568" s="2953"/>
      <c r="W568" s="2952">
        <v>0.45</v>
      </c>
      <c r="X568" s="2953"/>
      <c r="Y568" s="2952">
        <v>0.4</v>
      </c>
      <c r="Z568" s="2953"/>
      <c r="AA568" s="2952">
        <v>0.35</v>
      </c>
      <c r="AB568" s="2953"/>
      <c r="AC568" s="2954">
        <v>0.3</v>
      </c>
      <c r="AD568" s="2955"/>
      <c r="AE568" s="2952">
        <v>0.2</v>
      </c>
      <c r="AF568" s="295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901"/>
      <c r="P569" s="2902"/>
      <c r="Q569" s="3023"/>
      <c r="R569" s="2942"/>
      <c r="S569" s="3088"/>
      <c r="T569" s="3088"/>
      <c r="U569" s="2942"/>
      <c r="V569" s="2942"/>
      <c r="W569" s="2942"/>
      <c r="X569" s="2942"/>
      <c r="Y569" s="2942"/>
      <c r="Z569" s="2942"/>
      <c r="AA569" s="3022"/>
      <c r="AB569" s="3022"/>
      <c r="AC569" s="2942"/>
      <c r="AD569" s="2942"/>
      <c r="AE569" s="3159"/>
      <c r="AF569" s="3160"/>
      <c r="AN569" s="457"/>
      <c r="AP569" s="238" t="s">
        <v>787</v>
      </c>
      <c r="AQ569" s="91"/>
      <c r="AR569" s="91"/>
      <c r="AS569" s="91"/>
      <c r="AT569" s="3038" t="str">
        <f>IF(OR(AV563="passed",BD567="passed"),"passed","failed")</f>
        <v>passed</v>
      </c>
      <c r="AU569" s="3056"/>
      <c r="AV569" s="3056"/>
      <c r="AW569" s="3056"/>
      <c r="AX569" s="3039"/>
    </row>
    <row r="570" spans="1:91" s="46" customFormat="1" ht="12.75" customHeight="1">
      <c r="A570" s="28"/>
      <c r="B570" s="106"/>
      <c r="C570" s="28"/>
      <c r="I570" s="362"/>
      <c r="J570" s="257"/>
      <c r="K570" s="174"/>
      <c r="L570" s="174"/>
      <c r="M570" s="174"/>
      <c r="N570" s="71"/>
      <c r="O570" s="2901"/>
      <c r="P570" s="2902"/>
      <c r="Q570" s="2923"/>
      <c r="R570" s="2924"/>
      <c r="S570" s="2924"/>
      <c r="T570" s="2924"/>
      <c r="U570" s="2924"/>
      <c r="V570" s="2924"/>
      <c r="W570" s="2924"/>
      <c r="X570" s="2924"/>
      <c r="Y570" s="2922"/>
      <c r="Z570" s="2922"/>
      <c r="AA570" s="2924"/>
      <c r="AB570" s="2924"/>
      <c r="AC570" s="2922"/>
      <c r="AD570" s="2922"/>
      <c r="AE570" s="2925"/>
      <c r="AF570" s="292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901"/>
      <c r="P571" s="2902"/>
      <c r="Q571" s="2923"/>
      <c r="R571" s="2924"/>
      <c r="S571" s="2924"/>
      <c r="T571" s="2924"/>
      <c r="U571" s="2924"/>
      <c r="V571" s="2924"/>
      <c r="W571" s="2924"/>
      <c r="X571" s="2924"/>
      <c r="Y571" s="2924"/>
      <c r="Z571" s="2924"/>
      <c r="AA571" s="2922"/>
      <c r="AB571" s="2922"/>
      <c r="AC571" s="2924"/>
      <c r="AD571" s="2924"/>
      <c r="AE571" s="3089"/>
      <c r="AF571" s="3090"/>
      <c r="AN571" s="457"/>
      <c r="AP571" s="247" t="s">
        <v>680</v>
      </c>
      <c r="AQ571" s="248"/>
      <c r="AR571" s="248"/>
      <c r="AS571" s="248"/>
      <c r="AT571" s="248"/>
      <c r="AU571" s="248"/>
      <c r="AV571" s="249"/>
      <c r="AW571" s="3085" t="str">
        <f>IF(AND(AND(AND(AND(AS551="passed",AU558="passed",BD567="passed",SUM(T615:X619)&gt;1)))),"YES","NO")</f>
        <v>YES</v>
      </c>
      <c r="AX571" s="3086"/>
      <c r="AY571" s="308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901"/>
      <c r="P572" s="2902"/>
      <c r="Q572" s="2923"/>
      <c r="R572" s="2924"/>
      <c r="S572" s="2924"/>
      <c r="T572" s="2924"/>
      <c r="U572" s="2924"/>
      <c r="V572" s="2924"/>
      <c r="W572" s="2924"/>
      <c r="X572" s="2924"/>
      <c r="Y572" s="2922"/>
      <c r="Z572" s="2922"/>
      <c r="AA572" s="2924"/>
      <c r="AB572" s="2924"/>
      <c r="AC572" s="2922"/>
      <c r="AD572" s="2922"/>
      <c r="AE572" s="2925"/>
      <c r="AF572" s="2926"/>
      <c r="AN572" s="457"/>
    </row>
    <row r="573" spans="1:91" s="46" customFormat="1" ht="12.75" customHeight="1">
      <c r="A573" s="28"/>
      <c r="B573" s="106"/>
      <c r="C573" s="28"/>
      <c r="I573" s="362"/>
      <c r="J573" s="257"/>
      <c r="K573" s="174"/>
      <c r="L573" s="174"/>
      <c r="M573" s="174"/>
      <c r="N573" s="71"/>
      <c r="O573" s="2901"/>
      <c r="P573" s="2902"/>
      <c r="Q573" s="2923"/>
      <c r="R573" s="2924"/>
      <c r="S573" s="2924"/>
      <c r="T573" s="2924"/>
      <c r="U573" s="2924"/>
      <c r="V573" s="2924"/>
      <c r="W573" s="2922"/>
      <c r="X573" s="2922"/>
      <c r="Y573" s="2924"/>
      <c r="Z573" s="2924"/>
      <c r="AA573" s="2922"/>
      <c r="AB573" s="2922"/>
      <c r="AC573" s="2924"/>
      <c r="AD573" s="2924"/>
      <c r="AE573" s="3089"/>
      <c r="AF573" s="3090"/>
      <c r="AN573" s="457"/>
    </row>
    <row r="574" spans="1:91" s="46" customFormat="1" ht="12.75" customHeight="1">
      <c r="A574" s="28"/>
      <c r="B574" s="106"/>
      <c r="C574" s="28"/>
      <c r="I574" s="362"/>
      <c r="J574" s="257"/>
      <c r="K574" s="174"/>
      <c r="L574" s="174"/>
      <c r="M574" s="174"/>
      <c r="N574" s="71"/>
      <c r="O574" s="2901"/>
      <c r="P574" s="2902"/>
      <c r="Q574" s="2923"/>
      <c r="R574" s="2924"/>
      <c r="S574" s="2924"/>
      <c r="T574" s="2924"/>
      <c r="U574" s="2924"/>
      <c r="V574" s="2924"/>
      <c r="W574" s="2924"/>
      <c r="X574" s="2924"/>
      <c r="Y574" s="2922"/>
      <c r="Z574" s="2922"/>
      <c r="AA574" s="2924"/>
      <c r="AB574" s="2924"/>
      <c r="AC574" s="2922"/>
      <c r="AD574" s="2922"/>
      <c r="AE574" s="2925"/>
      <c r="AF574" s="2926"/>
      <c r="AN574" s="457"/>
      <c r="AU574" s="65"/>
      <c r="AV574" s="65"/>
      <c r="AW574" s="90"/>
      <c r="AX574" s="91"/>
      <c r="AY574" s="91"/>
      <c r="AZ574" s="100" t="s">
        <v>1274</v>
      </c>
      <c r="BA574" s="3066" t="s">
        <v>788</v>
      </c>
      <c r="BB574" s="3067"/>
      <c r="BC574" s="3067"/>
      <c r="BD574" s="3067"/>
      <c r="BE574" s="3068"/>
      <c r="BF574" s="3075">
        <f>SUM(O615:S619)</f>
        <v>100</v>
      </c>
      <c r="BG574" s="3076"/>
      <c r="BH574" s="3076"/>
      <c r="BI574" s="3076"/>
      <c r="BJ574" s="3077"/>
      <c r="BK574" s="2913">
        <f>SUM(T615:X619)</f>
        <v>10</v>
      </c>
      <c r="BL574" s="2914"/>
      <c r="BM574" s="2914"/>
      <c r="BN574" s="2914"/>
      <c r="BO574" s="2915"/>
    </row>
    <row r="575" spans="1:91" s="46" customFormat="1" ht="12.75" customHeight="1">
      <c r="A575" s="28"/>
      <c r="B575" s="57"/>
      <c r="C575" s="28"/>
      <c r="I575" s="2963" t="s">
        <v>1714</v>
      </c>
      <c r="J575" s="2964"/>
      <c r="K575" s="2964"/>
      <c r="L575" s="2964"/>
      <c r="M575" s="2964"/>
      <c r="N575" s="2965"/>
      <c r="O575" s="2901">
        <v>0.5</v>
      </c>
      <c r="P575" s="2902"/>
      <c r="Q575" s="3156"/>
      <c r="R575" s="2948"/>
      <c r="S575" s="2924"/>
      <c r="T575" s="2924"/>
      <c r="U575" s="3150" t="s">
        <v>1718</v>
      </c>
      <c r="V575" s="3150"/>
      <c r="W575" s="3157">
        <v>37.5</v>
      </c>
      <c r="X575" s="3157"/>
      <c r="Y575" s="2948"/>
      <c r="Z575" s="2948"/>
      <c r="AA575" s="3157"/>
      <c r="AB575" s="3157"/>
      <c r="AC575" s="2948"/>
      <c r="AD575" s="2948"/>
      <c r="AE575" s="3148"/>
      <c r="AF575" s="3149"/>
      <c r="AN575" s="457"/>
      <c r="CL575" s="16"/>
      <c r="CM575" s="16"/>
    </row>
    <row r="576" spans="1:91" s="46" customFormat="1" ht="12.75" customHeight="1">
      <c r="A576" s="28"/>
      <c r="B576" s="207"/>
      <c r="C576" s="101"/>
      <c r="D576" s="28"/>
      <c r="E576" s="28"/>
      <c r="I576" s="2963"/>
      <c r="J576" s="2964"/>
      <c r="K576" s="2964"/>
      <c r="L576" s="2964"/>
      <c r="M576" s="2964"/>
      <c r="N576" s="2965"/>
      <c r="O576" s="2901">
        <v>0.45</v>
      </c>
      <c r="P576" s="2902"/>
      <c r="Q576" s="2923"/>
      <c r="R576" s="2924"/>
      <c r="S576" s="2924"/>
      <c r="T576" s="2924"/>
      <c r="U576" s="2930" t="s">
        <v>144</v>
      </c>
      <c r="V576" s="2930"/>
      <c r="W576" s="2922">
        <v>33.799999999999997</v>
      </c>
      <c r="X576" s="2922"/>
      <c r="Y576" s="2922"/>
      <c r="Z576" s="2922"/>
      <c r="AA576" s="2924"/>
      <c r="AB576" s="2924"/>
      <c r="AC576" s="2922"/>
      <c r="AD576" s="2922"/>
      <c r="AE576" s="2925"/>
      <c r="AF576" s="2926"/>
      <c r="AN576" s="457"/>
      <c r="CL576" s="16"/>
      <c r="CM576" s="16"/>
    </row>
    <row r="577" spans="1:96" s="46" customFormat="1" ht="12.75" customHeight="1">
      <c r="A577" s="28"/>
      <c r="B577" s="8"/>
      <c r="C577" s="8"/>
      <c r="D577" s="8"/>
      <c r="E577" s="8"/>
      <c r="I577" s="2963"/>
      <c r="J577" s="2964"/>
      <c r="K577" s="2964"/>
      <c r="L577" s="2964"/>
      <c r="M577" s="2964"/>
      <c r="N577" s="2965"/>
      <c r="O577" s="2901">
        <v>0.4</v>
      </c>
      <c r="P577" s="2902"/>
      <c r="Q577" s="2923"/>
      <c r="R577" s="2924"/>
      <c r="S577" s="2930" t="s">
        <v>1717</v>
      </c>
      <c r="T577" s="2930"/>
      <c r="U577" s="2922">
        <v>20</v>
      </c>
      <c r="V577" s="2922"/>
      <c r="W577" s="2922">
        <v>30</v>
      </c>
      <c r="X577" s="2922"/>
      <c r="Y577" s="2922"/>
      <c r="Z577" s="2922"/>
      <c r="AA577" s="2922"/>
      <c r="AB577" s="2922"/>
      <c r="AC577" s="2922"/>
      <c r="AD577" s="2922"/>
      <c r="AE577" s="2925"/>
      <c r="AF577" s="2926"/>
      <c r="AN577" s="457"/>
      <c r="AP577" s="3069" t="s">
        <v>228</v>
      </c>
      <c r="AQ577" s="3070"/>
      <c r="AR577" s="3070"/>
      <c r="AS577" s="3070"/>
      <c r="AT577" s="3070"/>
      <c r="AU577" s="3070"/>
      <c r="AV577" s="3070"/>
      <c r="AW577" s="3070"/>
      <c r="AX577" s="3070"/>
      <c r="AY577" s="3070"/>
      <c r="AZ577" s="3070"/>
      <c r="BA577" s="3070"/>
      <c r="BB577" s="3070"/>
      <c r="BC577" s="3070"/>
      <c r="BD577" s="3070"/>
      <c r="BE577" s="3070"/>
      <c r="BF577" s="3070"/>
      <c r="BG577" s="3070"/>
      <c r="BH577" s="3070"/>
      <c r="BI577" s="3070"/>
      <c r="BJ577" s="3071"/>
      <c r="BK577" s="3050">
        <f>BF574</f>
        <v>100</v>
      </c>
      <c r="BL577" s="3051"/>
      <c r="BM577" s="3051"/>
      <c r="BN577" s="3051"/>
      <c r="BO577" s="305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963"/>
      <c r="J578" s="2964"/>
      <c r="K578" s="2964"/>
      <c r="L578" s="2964"/>
      <c r="M578" s="2964"/>
      <c r="N578" s="2965"/>
      <c r="O578" s="2901">
        <v>0.35</v>
      </c>
      <c r="P578" s="2902"/>
      <c r="Q578" s="2923"/>
      <c r="R578" s="2924"/>
      <c r="S578" s="2930" t="s">
        <v>2049</v>
      </c>
      <c r="T578" s="2930"/>
      <c r="U578" s="2922">
        <v>17.5</v>
      </c>
      <c r="V578" s="2922"/>
      <c r="W578" s="2922">
        <v>26.3</v>
      </c>
      <c r="X578" s="2922"/>
      <c r="Y578" s="2922">
        <v>35</v>
      </c>
      <c r="Z578" s="2922"/>
      <c r="AA578" s="2922"/>
      <c r="AB578" s="2922"/>
      <c r="AC578" s="2922">
        <v>50</v>
      </c>
      <c r="AD578" s="2922"/>
      <c r="AE578" s="2925"/>
      <c r="AF578" s="2926"/>
      <c r="AN578" s="457"/>
      <c r="AP578" s="3072"/>
      <c r="AQ578" s="3073"/>
      <c r="AR578" s="3073"/>
      <c r="AS578" s="3073"/>
      <c r="AT578" s="3073"/>
      <c r="AU578" s="3073"/>
      <c r="AV578" s="3073"/>
      <c r="AW578" s="3073"/>
      <c r="AX578" s="3073"/>
      <c r="AY578" s="3073"/>
      <c r="AZ578" s="3073"/>
      <c r="BA578" s="3073"/>
      <c r="BB578" s="3073"/>
      <c r="BC578" s="3073"/>
      <c r="BD578" s="3073"/>
      <c r="BE578" s="3073"/>
      <c r="BF578" s="3073"/>
      <c r="BG578" s="3073"/>
      <c r="BH578" s="3073"/>
      <c r="BI578" s="3073"/>
      <c r="BJ578" s="3074"/>
      <c r="BK578" s="3053"/>
      <c r="BL578" s="3054"/>
      <c r="BM578" s="3054"/>
      <c r="BN578" s="3054"/>
      <c r="BO578" s="305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963"/>
      <c r="J579" s="2964"/>
      <c r="K579" s="2964"/>
      <c r="L579" s="2964"/>
      <c r="M579" s="2964"/>
      <c r="N579" s="2965"/>
      <c r="O579" s="2901">
        <v>0.3</v>
      </c>
      <c r="P579" s="2902"/>
      <c r="Q579" s="2923"/>
      <c r="R579" s="2924"/>
      <c r="S579" s="2930" t="s">
        <v>2050</v>
      </c>
      <c r="T579" s="2930"/>
      <c r="U579" s="2922">
        <v>15</v>
      </c>
      <c r="V579" s="2922"/>
      <c r="W579" s="2922">
        <v>22.5</v>
      </c>
      <c r="X579" s="2922"/>
      <c r="Y579" s="2922">
        <v>30</v>
      </c>
      <c r="Z579" s="2922"/>
      <c r="AA579" s="2922">
        <v>37.5</v>
      </c>
      <c r="AB579" s="2922"/>
      <c r="AC579" s="2922">
        <v>45</v>
      </c>
      <c r="AD579" s="2922"/>
      <c r="AE579" s="2925"/>
      <c r="AF579" s="292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2503">
        <v>5</v>
      </c>
      <c r="BK579" s="3031"/>
      <c r="BL579" s="3031"/>
      <c r="BM579" s="3031"/>
      <c r="BN579" s="2504"/>
      <c r="BO579" s="2503">
        <v>4</v>
      </c>
      <c r="BP579" s="3031"/>
      <c r="BQ579" s="3031"/>
      <c r="BR579" s="3031"/>
      <c r="BS579" s="2504"/>
      <c r="BT579" s="2503">
        <v>3</v>
      </c>
      <c r="BU579" s="3031"/>
      <c r="BV579" s="3031"/>
      <c r="BW579" s="3031"/>
      <c r="BX579" s="2504"/>
      <c r="BY579" s="2503">
        <v>2</v>
      </c>
      <c r="BZ579" s="3031"/>
      <c r="CA579" s="3031"/>
      <c r="CB579" s="3031"/>
      <c r="CC579" s="2504"/>
      <c r="CD579" s="2503">
        <v>1</v>
      </c>
      <c r="CE579" s="3031"/>
      <c r="CF579" s="3031"/>
      <c r="CG579" s="3031"/>
      <c r="CH579" s="2504"/>
      <c r="CI579" s="2503">
        <v>0</v>
      </c>
      <c r="CJ579" s="3031"/>
      <c r="CK579" s="3031"/>
      <c r="CL579" s="3031"/>
      <c r="CM579" s="2504"/>
      <c r="CN579" s="65"/>
      <c r="CO579" s="65"/>
      <c r="CP579" s="65"/>
      <c r="CQ579" s="65"/>
      <c r="CR579" s="65"/>
    </row>
    <row r="580" spans="1:96" s="46" customFormat="1" ht="12.75" customHeight="1">
      <c r="A580" s="28"/>
      <c r="B580" s="8"/>
      <c r="C580" s="8"/>
      <c r="D580" s="8"/>
      <c r="E580" s="8"/>
      <c r="I580" s="2963"/>
      <c r="J580" s="2964"/>
      <c r="K580" s="2964"/>
      <c r="L580" s="2964"/>
      <c r="M580" s="2964"/>
      <c r="N580" s="2965"/>
      <c r="O580" s="2901">
        <v>0.25</v>
      </c>
      <c r="P580" s="2902"/>
      <c r="Q580" s="2923"/>
      <c r="R580" s="2924"/>
      <c r="S580" s="2930" t="s">
        <v>2051</v>
      </c>
      <c r="T580" s="2930"/>
      <c r="U580" s="2922">
        <v>12.5</v>
      </c>
      <c r="V580" s="2922"/>
      <c r="W580" s="2922">
        <v>18.8</v>
      </c>
      <c r="X580" s="2922"/>
      <c r="Y580" s="2922">
        <v>25</v>
      </c>
      <c r="Z580" s="2922"/>
      <c r="AA580" s="2922">
        <v>31.3</v>
      </c>
      <c r="AB580" s="2922"/>
      <c r="AC580" s="2922">
        <v>37.5</v>
      </c>
      <c r="AD580" s="2922"/>
      <c r="AE580" s="2925">
        <v>50</v>
      </c>
      <c r="AF580" s="2926"/>
      <c r="AN580" s="457"/>
      <c r="AP580" s="3035" t="str">
        <f t="shared" ref="AP580:AP586" si="0">J614</f>
        <v>5 BR</v>
      </c>
      <c r="AQ580" s="3036"/>
      <c r="AR580" s="3036"/>
      <c r="AS580" s="3036"/>
      <c r="AT580" s="3037"/>
      <c r="AU580" s="3018">
        <f t="shared" ref="AU580:AU585" si="1">O614</f>
        <v>0</v>
      </c>
      <c r="AV580" s="3019"/>
      <c r="AW580" s="3019"/>
      <c r="AX580" s="3019"/>
      <c r="AY580" s="3020"/>
      <c r="AZ580" s="3018">
        <f t="shared" ref="AZ580:AZ585" si="2">T614</f>
        <v>0</v>
      </c>
      <c r="BA580" s="3019"/>
      <c r="BB580" s="3019"/>
      <c r="BC580" s="3019"/>
      <c r="BD580" s="3020"/>
      <c r="BE580" s="2632">
        <f t="shared" ref="BE580:BE585" si="3">Y614</f>
        <v>0</v>
      </c>
      <c r="BF580" s="2633"/>
      <c r="BG580" s="2633"/>
      <c r="BH580" s="2633"/>
      <c r="BI580" s="2634"/>
      <c r="BJ580" s="2503">
        <f>IF(OR(AP590=0,BE580&gt;=0.1),0,1)</f>
        <v>0</v>
      </c>
      <c r="BK580" s="3031"/>
      <c r="BL580" s="3031"/>
      <c r="BM580" s="3031"/>
      <c r="BN580" s="2504"/>
      <c r="BO580" s="2503"/>
      <c r="BP580" s="3031"/>
      <c r="BQ580" s="3031"/>
      <c r="BR580" s="3031"/>
      <c r="BS580" s="2504"/>
      <c r="BT580" s="2503"/>
      <c r="BU580" s="3031"/>
      <c r="BV580" s="3031"/>
      <c r="BW580" s="3031"/>
      <c r="BX580" s="2504"/>
      <c r="BY580" s="2503"/>
      <c r="BZ580" s="3031"/>
      <c r="CA580" s="3031"/>
      <c r="CB580" s="3031"/>
      <c r="CC580" s="2504"/>
      <c r="CD580" s="2503"/>
      <c r="CE580" s="3031"/>
      <c r="CF580" s="3031"/>
      <c r="CG580" s="3031"/>
      <c r="CH580" s="2504"/>
      <c r="CI580" s="2503"/>
      <c r="CJ580" s="3031"/>
      <c r="CK580" s="3031"/>
      <c r="CL580" s="3031"/>
      <c r="CM580" s="2504"/>
      <c r="CN580" s="65"/>
      <c r="CO580" s="65"/>
      <c r="CP580" s="65"/>
      <c r="CQ580" s="65"/>
      <c r="CR580" s="65"/>
    </row>
    <row r="581" spans="1:96" s="46" customFormat="1" ht="12.75" customHeight="1">
      <c r="A581" s="207"/>
      <c r="B581" s="8"/>
      <c r="C581" s="8"/>
      <c r="D581" s="8"/>
      <c r="E581" s="8"/>
      <c r="I581" s="2963"/>
      <c r="J581" s="2964"/>
      <c r="K581" s="2964"/>
      <c r="L581" s="2964"/>
      <c r="M581" s="2964"/>
      <c r="N581" s="2965"/>
      <c r="O581" s="2901">
        <v>0.2</v>
      </c>
      <c r="P581" s="2902"/>
      <c r="Q581" s="2923"/>
      <c r="R581" s="2924"/>
      <c r="S581" s="3011" t="s">
        <v>2054</v>
      </c>
      <c r="T581" s="3011"/>
      <c r="U581" s="2922">
        <v>10</v>
      </c>
      <c r="V581" s="2922"/>
      <c r="W581" s="2922">
        <v>15</v>
      </c>
      <c r="X581" s="2922"/>
      <c r="Y581" s="2922">
        <v>20</v>
      </c>
      <c r="Z581" s="2922"/>
      <c r="AA581" s="2922">
        <v>25</v>
      </c>
      <c r="AB581" s="2922"/>
      <c r="AC581" s="2922">
        <v>30</v>
      </c>
      <c r="AD581" s="2922"/>
      <c r="AE581" s="2925">
        <v>40</v>
      </c>
      <c r="AF581" s="2926"/>
      <c r="AN581" s="457"/>
      <c r="AP581" s="3035" t="str">
        <f t="shared" si="0"/>
        <v>4 BR</v>
      </c>
      <c r="AQ581" s="3036"/>
      <c r="AR581" s="3036"/>
      <c r="AS581" s="3036"/>
      <c r="AT581" s="3037"/>
      <c r="AU581" s="3018">
        <f t="shared" si="1"/>
        <v>0</v>
      </c>
      <c r="AV581" s="3019"/>
      <c r="AW581" s="3019"/>
      <c r="AX581" s="3019"/>
      <c r="AY581" s="3020"/>
      <c r="AZ581" s="3018">
        <f t="shared" si="2"/>
        <v>0</v>
      </c>
      <c r="BA581" s="3019"/>
      <c r="BB581" s="3019"/>
      <c r="BC581" s="3019"/>
      <c r="BD581" s="3020"/>
      <c r="BE581" s="2632">
        <f t="shared" si="3"/>
        <v>0</v>
      </c>
      <c r="BF581" s="2633"/>
      <c r="BG581" s="2633"/>
      <c r="BH581" s="2633"/>
      <c r="BI581" s="2634"/>
      <c r="BJ581" s="2503"/>
      <c r="BK581" s="3031"/>
      <c r="BL581" s="3031"/>
      <c r="BM581" s="3031"/>
      <c r="BN581" s="2504"/>
      <c r="BO581" s="2503">
        <f>IF(AND(AND(AZ580=0,BJ580=0,AP591=1)),1,0)</f>
        <v>0</v>
      </c>
      <c r="BP581" s="3031"/>
      <c r="BQ581" s="3031"/>
      <c r="BR581" s="3031"/>
      <c r="BS581" s="2504"/>
      <c r="BT581" s="2503"/>
      <c r="BU581" s="3031"/>
      <c r="BV581" s="3031"/>
      <c r="BW581" s="3031"/>
      <c r="BX581" s="2504"/>
      <c r="BY581" s="2503"/>
      <c r="BZ581" s="3031"/>
      <c r="CA581" s="3031"/>
      <c r="CB581" s="3031"/>
      <c r="CC581" s="2504"/>
      <c r="CD581" s="2503"/>
      <c r="CE581" s="3031"/>
      <c r="CF581" s="3031"/>
      <c r="CG581" s="3031"/>
      <c r="CH581" s="2504"/>
      <c r="CI581" s="2503"/>
      <c r="CJ581" s="3031"/>
      <c r="CK581" s="3031"/>
      <c r="CL581" s="3031"/>
      <c r="CM581" s="2504"/>
      <c r="CN581" s="65"/>
      <c r="CO581" s="65"/>
      <c r="CP581" s="65"/>
      <c r="CQ581" s="65"/>
      <c r="CR581" s="65"/>
    </row>
    <row r="582" spans="1:96" s="46" customFormat="1" ht="12.75" customHeight="1">
      <c r="A582" s="207"/>
      <c r="B582" s="8"/>
      <c r="C582" s="8"/>
      <c r="D582" s="8"/>
      <c r="E582" s="8"/>
      <c r="I582" s="2963"/>
      <c r="J582" s="2964"/>
      <c r="K582" s="2964"/>
      <c r="L582" s="2964"/>
      <c r="M582" s="2964"/>
      <c r="N582" s="2965"/>
      <c r="O582" s="2901">
        <v>0.15</v>
      </c>
      <c r="P582" s="2902"/>
      <c r="Q582" s="2923"/>
      <c r="R582" s="2924"/>
      <c r="S582" s="2930" t="s">
        <v>2052</v>
      </c>
      <c r="T582" s="2930"/>
      <c r="U582" s="2922">
        <v>7.5</v>
      </c>
      <c r="V582" s="2922"/>
      <c r="W582" s="2922">
        <v>11.3</v>
      </c>
      <c r="X582" s="2922"/>
      <c r="Y582" s="2922">
        <v>15</v>
      </c>
      <c r="Z582" s="2922"/>
      <c r="AA582" s="2922">
        <v>18.8</v>
      </c>
      <c r="AB582" s="2922"/>
      <c r="AC582" s="2922">
        <v>22.5</v>
      </c>
      <c r="AD582" s="2922"/>
      <c r="AE582" s="2925">
        <v>30</v>
      </c>
      <c r="AF582" s="2926"/>
      <c r="AK582" s="165"/>
      <c r="AL582" s="165"/>
      <c r="AM582" s="165"/>
      <c r="AN582" s="457"/>
      <c r="AP582" s="3035" t="str">
        <f t="shared" si="0"/>
        <v>3 BR</v>
      </c>
      <c r="AQ582" s="3036"/>
      <c r="AR582" s="3036"/>
      <c r="AS582" s="3036"/>
      <c r="AT582" s="3037"/>
      <c r="AU582" s="3018">
        <f t="shared" si="1"/>
        <v>0</v>
      </c>
      <c r="AV582" s="3019"/>
      <c r="AW582" s="3019"/>
      <c r="AX582" s="3019"/>
      <c r="AY582" s="3020"/>
      <c r="AZ582" s="3018">
        <f t="shared" si="2"/>
        <v>0</v>
      </c>
      <c r="BA582" s="3019"/>
      <c r="BB582" s="3019"/>
      <c r="BC582" s="3019"/>
      <c r="BD582" s="3020"/>
      <c r="BE582" s="2632">
        <f t="shared" si="3"/>
        <v>0</v>
      </c>
      <c r="BF582" s="2633"/>
      <c r="BG582" s="2633"/>
      <c r="BH582" s="2633"/>
      <c r="BI582" s="2634"/>
      <c r="BJ582" s="2503"/>
      <c r="BK582" s="3031"/>
      <c r="BL582" s="3031"/>
      <c r="BM582" s="3031"/>
      <c r="BN582" s="2504"/>
      <c r="BO582" s="2503"/>
      <c r="BP582" s="3031"/>
      <c r="BQ582" s="3031"/>
      <c r="BR582" s="3031"/>
      <c r="BS582" s="2504"/>
      <c r="BT582" s="2503">
        <f>IF(AND(AND(AZ580+AZ581=0,BJ580+BO581=0,AP592=1)),1,0)</f>
        <v>0</v>
      </c>
      <c r="BU582" s="3031"/>
      <c r="BV582" s="3031"/>
      <c r="BW582" s="3031"/>
      <c r="BX582" s="2504"/>
      <c r="BY582" s="2503"/>
      <c r="BZ582" s="3031"/>
      <c r="CA582" s="3031"/>
      <c r="CB582" s="3031"/>
      <c r="CC582" s="2504"/>
      <c r="CD582" s="2503"/>
      <c r="CE582" s="3031"/>
      <c r="CF582" s="3031"/>
      <c r="CG582" s="3031"/>
      <c r="CH582" s="2504"/>
      <c r="CI582" s="2503"/>
      <c r="CJ582" s="3031"/>
      <c r="CK582" s="3031"/>
      <c r="CL582" s="3031"/>
      <c r="CM582" s="2504"/>
      <c r="CN582" s="65"/>
      <c r="CO582" s="65"/>
      <c r="CP582" s="65"/>
      <c r="CQ582" s="65"/>
      <c r="CR582" s="65"/>
    </row>
    <row r="583" spans="1:96" s="46" customFormat="1" ht="12.75" customHeight="1" thickBot="1">
      <c r="B583" s="8"/>
      <c r="C583" s="8"/>
      <c r="D583" s="8"/>
      <c r="E583" s="8"/>
      <c r="I583" s="2966"/>
      <c r="J583" s="2967"/>
      <c r="K583" s="2967"/>
      <c r="L583" s="2967"/>
      <c r="M583" s="2967"/>
      <c r="N583" s="2968"/>
      <c r="O583" s="2901">
        <v>0.1</v>
      </c>
      <c r="P583" s="2902"/>
      <c r="Q583" s="3009"/>
      <c r="R583" s="3010"/>
      <c r="S583" s="2930" t="s">
        <v>2053</v>
      </c>
      <c r="T583" s="2930"/>
      <c r="U583" s="3017">
        <v>5</v>
      </c>
      <c r="V583" s="3017"/>
      <c r="W583" s="3017">
        <v>7.5</v>
      </c>
      <c r="X583" s="3017"/>
      <c r="Y583" s="3017">
        <v>10</v>
      </c>
      <c r="Z583" s="3017"/>
      <c r="AA583" s="3017">
        <v>12.5</v>
      </c>
      <c r="AB583" s="3017"/>
      <c r="AC583" s="3017">
        <v>15</v>
      </c>
      <c r="AD583" s="3017"/>
      <c r="AE583" s="3175">
        <v>20</v>
      </c>
      <c r="AF583" s="3176"/>
      <c r="AK583" s="264"/>
      <c r="AL583" s="264"/>
      <c r="AM583" s="8"/>
      <c r="AN583" s="457"/>
      <c r="AP583" s="3035" t="str">
        <f t="shared" si="0"/>
        <v>2 BR</v>
      </c>
      <c r="AQ583" s="3036"/>
      <c r="AR583" s="3036"/>
      <c r="AS583" s="3036"/>
      <c r="AT583" s="3037"/>
      <c r="AU583" s="3018">
        <f t="shared" si="1"/>
        <v>0</v>
      </c>
      <c r="AV583" s="3019"/>
      <c r="AW583" s="3019"/>
      <c r="AX583" s="3019"/>
      <c r="AY583" s="3020"/>
      <c r="AZ583" s="3018">
        <f t="shared" si="2"/>
        <v>0</v>
      </c>
      <c r="BA583" s="3019"/>
      <c r="BB583" s="3019"/>
      <c r="BC583" s="3019"/>
      <c r="BD583" s="3020"/>
      <c r="BE583" s="2632">
        <f t="shared" si="3"/>
        <v>0</v>
      </c>
      <c r="BF583" s="2633"/>
      <c r="BG583" s="2633"/>
      <c r="BH583" s="2633"/>
      <c r="BI583" s="2634"/>
      <c r="BJ583" s="2503"/>
      <c r="BK583" s="3031"/>
      <c r="BL583" s="3031"/>
      <c r="BM583" s="3031"/>
      <c r="BN583" s="2504"/>
      <c r="BO583" s="2503"/>
      <c r="BP583" s="3031"/>
      <c r="BQ583" s="3031"/>
      <c r="BR583" s="3031"/>
      <c r="BS583" s="2504"/>
      <c r="BT583" s="2503"/>
      <c r="BU583" s="3031"/>
      <c r="BV583" s="3031"/>
      <c r="BW583" s="3031"/>
      <c r="BX583" s="2504"/>
      <c r="BY583" s="2503">
        <f>IF(AND(AND(AZ580+AZ581+AZ582=0,BO581+BT582+BJ580=0,AP593=1)),1,0)</f>
        <v>0</v>
      </c>
      <c r="BZ583" s="3031"/>
      <c r="CA583" s="3031"/>
      <c r="CB583" s="3031"/>
      <c r="CC583" s="2504"/>
      <c r="CD583" s="2503"/>
      <c r="CE583" s="3031"/>
      <c r="CF583" s="3031"/>
      <c r="CG583" s="3031"/>
      <c r="CH583" s="2504"/>
      <c r="CI583" s="2503"/>
      <c r="CJ583" s="3031"/>
      <c r="CK583" s="3031"/>
      <c r="CL583" s="3031"/>
      <c r="CM583" s="2504"/>
      <c r="CN583" s="65"/>
      <c r="CO583" s="65"/>
      <c r="CP583" s="65"/>
      <c r="CQ583" s="65"/>
      <c r="CR583" s="65"/>
    </row>
    <row r="584" spans="1:96" s="46" customFormat="1" ht="12.75" customHeight="1">
      <c r="B584" s="8"/>
      <c r="C584" s="8"/>
      <c r="D584" s="8"/>
      <c r="E584" s="2636" t="s">
        <v>1055</v>
      </c>
      <c r="F584" s="2648"/>
      <c r="G584" s="2648"/>
      <c r="H584" s="2648"/>
      <c r="I584" s="2648"/>
      <c r="J584" s="2648"/>
      <c r="K584" s="2648"/>
      <c r="L584" s="2648"/>
      <c r="M584" s="2648"/>
      <c r="N584" s="2648"/>
      <c r="O584" s="2648"/>
      <c r="P584" s="2648"/>
      <c r="Q584" s="2648"/>
      <c r="R584" s="2648"/>
      <c r="S584" s="2648"/>
      <c r="T584" s="2648"/>
      <c r="U584" s="2648"/>
      <c r="V584" s="2648"/>
      <c r="W584" s="2648"/>
      <c r="X584" s="2648"/>
      <c r="Y584" s="2648"/>
      <c r="Z584" s="2648"/>
      <c r="AA584" s="2648"/>
      <c r="AB584" s="2648"/>
      <c r="AC584" s="2648"/>
      <c r="AD584" s="2648"/>
      <c r="AE584" s="2648"/>
      <c r="AF584" s="2648"/>
      <c r="AG584" s="2648"/>
      <c r="AH584" s="2649"/>
      <c r="AK584" s="264"/>
      <c r="AL584" s="264"/>
      <c r="AM584" s="8"/>
      <c r="AN584" s="457"/>
      <c r="AP584" s="3035" t="str">
        <f t="shared" si="0"/>
        <v>1 BR</v>
      </c>
      <c r="AQ584" s="3036"/>
      <c r="AR584" s="3036"/>
      <c r="AS584" s="3036"/>
      <c r="AT584" s="3037"/>
      <c r="AU584" s="3018">
        <f t="shared" si="1"/>
        <v>0</v>
      </c>
      <c r="AV584" s="3019"/>
      <c r="AW584" s="3019"/>
      <c r="AX584" s="3019"/>
      <c r="AY584" s="3020"/>
      <c r="AZ584" s="3018">
        <f t="shared" si="2"/>
        <v>0</v>
      </c>
      <c r="BA584" s="3019"/>
      <c r="BB584" s="3019"/>
      <c r="BC584" s="3019"/>
      <c r="BD584" s="3020"/>
      <c r="BE584" s="2632">
        <f t="shared" si="3"/>
        <v>0</v>
      </c>
      <c r="BF584" s="2633"/>
      <c r="BG584" s="2633"/>
      <c r="BH584" s="2633"/>
      <c r="BI584" s="2634"/>
      <c r="BJ584" s="2503"/>
      <c r="BK584" s="3031"/>
      <c r="BL584" s="3031"/>
      <c r="BM584" s="3031"/>
      <c r="BN584" s="2504"/>
      <c r="BO584" s="2503"/>
      <c r="BP584" s="3031"/>
      <c r="BQ584" s="3031"/>
      <c r="BR584" s="3031"/>
      <c r="BS584" s="2504"/>
      <c r="BT584" s="2503"/>
      <c r="BU584" s="3031"/>
      <c r="BV584" s="3031"/>
      <c r="BW584" s="3031"/>
      <c r="BX584" s="2504"/>
      <c r="BY584" s="2503"/>
      <c r="BZ584" s="3031"/>
      <c r="CA584" s="3031"/>
      <c r="CB584" s="3031"/>
      <c r="CC584" s="2504"/>
      <c r="CD584" s="2503">
        <f>IF(AND(AND(BE581+BE582+BE583+BE580=0,BT582+BY583+BO581+BJ580=0,AP594=1)),1,0)</f>
        <v>0</v>
      </c>
      <c r="CE584" s="3031"/>
      <c r="CF584" s="3031"/>
      <c r="CG584" s="3031"/>
      <c r="CH584" s="2504"/>
      <c r="CI584" s="2503"/>
      <c r="CJ584" s="3031"/>
      <c r="CK584" s="3031"/>
      <c r="CL584" s="3031"/>
      <c r="CM584" s="2504"/>
      <c r="CN584" s="65"/>
      <c r="CO584" s="65"/>
      <c r="CP584" s="65"/>
      <c r="CQ584" s="65"/>
      <c r="CR584" s="65"/>
    </row>
    <row r="585" spans="1:96" s="46" customFormat="1" ht="12.75" customHeight="1">
      <c r="E585" s="3136"/>
      <c r="F585" s="2663"/>
      <c r="G585" s="2663"/>
      <c r="H585" s="2663"/>
      <c r="I585" s="2663"/>
      <c r="J585" s="2663"/>
      <c r="K585" s="2663"/>
      <c r="L585" s="2663"/>
      <c r="M585" s="2663"/>
      <c r="N585" s="2663"/>
      <c r="O585" s="2663"/>
      <c r="P585" s="2663"/>
      <c r="Q585" s="2663"/>
      <c r="R585" s="2663"/>
      <c r="S585" s="2663"/>
      <c r="T585" s="2663"/>
      <c r="U585" s="2663"/>
      <c r="V585" s="2663"/>
      <c r="W585" s="2663"/>
      <c r="X585" s="2663"/>
      <c r="Y585" s="2663"/>
      <c r="Z585" s="2663"/>
      <c r="AA585" s="2663"/>
      <c r="AB585" s="2663"/>
      <c r="AC585" s="2663"/>
      <c r="AD585" s="2663"/>
      <c r="AE585" s="2663"/>
      <c r="AF585" s="2663"/>
      <c r="AG585" s="2663"/>
      <c r="AH585" s="3137"/>
      <c r="AN585" s="457"/>
      <c r="AP585" s="3035" t="str">
        <f t="shared" si="0"/>
        <v>SRO</v>
      </c>
      <c r="AQ585" s="3036"/>
      <c r="AR585" s="3036"/>
      <c r="AS585" s="3036"/>
      <c r="AT585" s="3037"/>
      <c r="AU585" s="3018">
        <f t="shared" si="1"/>
        <v>100</v>
      </c>
      <c r="AV585" s="3019"/>
      <c r="AW585" s="3019"/>
      <c r="AX585" s="3019"/>
      <c r="AY585" s="3020"/>
      <c r="AZ585" s="3018">
        <f t="shared" si="2"/>
        <v>10</v>
      </c>
      <c r="BA585" s="3019"/>
      <c r="BB585" s="3019"/>
      <c r="BC585" s="3019"/>
      <c r="BD585" s="3020"/>
      <c r="BE585" s="2632">
        <f t="shared" si="3"/>
        <v>0.1</v>
      </c>
      <c r="BF585" s="2633"/>
      <c r="BG585" s="2633"/>
      <c r="BH585" s="2633"/>
      <c r="BI585" s="2634"/>
      <c r="BJ585" s="2503"/>
      <c r="BK585" s="3031"/>
      <c r="BL585" s="3031"/>
      <c r="BM585" s="3031"/>
      <c r="BN585" s="2504"/>
      <c r="BO585" s="2503"/>
      <c r="BP585" s="3031"/>
      <c r="BQ585" s="3031"/>
      <c r="BR585" s="3031"/>
      <c r="BS585" s="2504"/>
      <c r="BT585" s="2503"/>
      <c r="BU585" s="3031"/>
      <c r="BV585" s="3031"/>
      <c r="BW585" s="3031"/>
      <c r="BX585" s="2504"/>
      <c r="BY585" s="2503"/>
      <c r="BZ585" s="3031"/>
      <c r="CA585" s="3031"/>
      <c r="CB585" s="3031"/>
      <c r="CC585" s="2504"/>
      <c r="CD585" s="2503"/>
      <c r="CE585" s="3031"/>
      <c r="CF585" s="3031"/>
      <c r="CG585" s="3031"/>
      <c r="CH585" s="2504"/>
      <c r="CI585" s="2503">
        <f>IF(AND(AND(AZ582+AZ583+AZ584+AZ581+AZ580=0,BY583+CD584+BT582+BO581+BJ580=0,AP595=1)),1,0)</f>
        <v>0</v>
      </c>
      <c r="CJ585" s="3031"/>
      <c r="CK585" s="3031"/>
      <c r="CL585" s="3031"/>
      <c r="CM585" s="2504"/>
      <c r="CN585" s="65"/>
      <c r="CO585" s="65"/>
      <c r="CP585" s="65"/>
      <c r="CQ585" s="65"/>
      <c r="CR585" s="65"/>
    </row>
    <row r="586" spans="1:96" s="46" customFormat="1" ht="12.75" customHeight="1">
      <c r="E586" s="3177" t="s">
        <v>1724</v>
      </c>
      <c r="F586" s="3178"/>
      <c r="G586" s="3178"/>
      <c r="H586" s="3178"/>
      <c r="I586" s="3178"/>
      <c r="J586" s="3179"/>
      <c r="K586" s="3177" t="s">
        <v>2045</v>
      </c>
      <c r="L586" s="3178"/>
      <c r="M586" s="3178"/>
      <c r="N586" s="3178"/>
      <c r="O586" s="3178"/>
      <c r="P586" s="3179"/>
      <c r="Q586" s="3144" t="s">
        <v>1720</v>
      </c>
      <c r="R586" s="3145"/>
      <c r="S586" s="3145"/>
      <c r="T586" s="3145"/>
      <c r="U586" s="3145"/>
      <c r="V586" s="3146"/>
      <c r="W586" s="3144" t="str">
        <f>I575</f>
        <v>Percent of Low-Income Units (exclusive of manager’s units)</v>
      </c>
      <c r="X586" s="3145"/>
      <c r="Y586" s="3145"/>
      <c r="Z586" s="3145"/>
      <c r="AA586" s="3145"/>
      <c r="AB586" s="3146"/>
      <c r="AC586" s="3144" t="s">
        <v>1723</v>
      </c>
      <c r="AD586" s="3145"/>
      <c r="AE586" s="3145"/>
      <c r="AF586" s="3145"/>
      <c r="AG586" s="3145"/>
      <c r="AH586" s="3146"/>
      <c r="AN586" s="457"/>
      <c r="AP586" s="3035" t="str">
        <f t="shared" si="0"/>
        <v>Total:</v>
      </c>
      <c r="AQ586" s="3036"/>
      <c r="AR586" s="3036"/>
      <c r="AS586" s="3036"/>
      <c r="AT586" s="3037"/>
      <c r="AU586" s="3035"/>
      <c r="AV586" s="3036"/>
      <c r="AW586" s="3036"/>
      <c r="AX586" s="3036"/>
      <c r="AY586" s="3037"/>
      <c r="AZ586" s="3035"/>
      <c r="BA586" s="3036"/>
      <c r="BB586" s="3036"/>
      <c r="BC586" s="3036"/>
      <c r="BD586" s="3037"/>
      <c r="BE586" s="3035"/>
      <c r="BF586" s="3036"/>
      <c r="BG586" s="3036"/>
      <c r="BH586" s="3036"/>
      <c r="BI586" s="3037"/>
      <c r="BJ586" s="2503">
        <f>SUM(BJ580:BN585)</f>
        <v>0</v>
      </c>
      <c r="BK586" s="3031"/>
      <c r="BL586" s="3031"/>
      <c r="BM586" s="3031"/>
      <c r="BN586" s="2504"/>
      <c r="BO586" s="2503">
        <f>SUM(BO580:BS585)</f>
        <v>0</v>
      </c>
      <c r="BP586" s="3031"/>
      <c r="BQ586" s="3031"/>
      <c r="BR586" s="3031"/>
      <c r="BS586" s="2504"/>
      <c r="BT586" s="2503">
        <f>SUM(BT580:BX585)</f>
        <v>0</v>
      </c>
      <c r="BU586" s="3031"/>
      <c r="BV586" s="3031"/>
      <c r="BW586" s="3031"/>
      <c r="BX586" s="2504"/>
      <c r="BY586" s="2503">
        <f>SUM(BY580:CC585)</f>
        <v>0</v>
      </c>
      <c r="BZ586" s="3031"/>
      <c r="CA586" s="3031"/>
      <c r="CB586" s="3031"/>
      <c r="CC586" s="2504"/>
      <c r="CD586" s="2503">
        <f>SUM(CD580:CH585)</f>
        <v>0</v>
      </c>
      <c r="CE586" s="3031"/>
      <c r="CF586" s="3031"/>
      <c r="CG586" s="3031"/>
      <c r="CH586" s="2504"/>
      <c r="CI586" s="2503">
        <f>SUM(CI580:CM585)</f>
        <v>0</v>
      </c>
      <c r="CJ586" s="3031"/>
      <c r="CK586" s="3031"/>
      <c r="CL586" s="3031"/>
      <c r="CM586" s="2504"/>
      <c r="CN586" s="2503">
        <f>SUM(BJ586:CM586)</f>
        <v>0</v>
      </c>
      <c r="CO586" s="3031"/>
      <c r="CP586" s="3031"/>
      <c r="CQ586" s="3031"/>
      <c r="CR586" s="2504"/>
    </row>
    <row r="587" spans="1:96" s="46" customFormat="1" ht="12.75" customHeight="1">
      <c r="E587" s="3180"/>
      <c r="F587" s="3181"/>
      <c r="G587" s="3181"/>
      <c r="H587" s="3181"/>
      <c r="I587" s="3181"/>
      <c r="J587" s="3182"/>
      <c r="K587" s="3180"/>
      <c r="L587" s="3181"/>
      <c r="M587" s="3181"/>
      <c r="N587" s="3181"/>
      <c r="O587" s="3181"/>
      <c r="P587" s="3182"/>
      <c r="Q587" s="2963"/>
      <c r="R587" s="2964"/>
      <c r="S587" s="2964"/>
      <c r="T587" s="2964"/>
      <c r="U587" s="2964"/>
      <c r="V587" s="2965"/>
      <c r="W587" s="2963"/>
      <c r="X587" s="2964"/>
      <c r="Y587" s="2964"/>
      <c r="Z587" s="2964"/>
      <c r="AA587" s="2964"/>
      <c r="AB587" s="2965"/>
      <c r="AC587" s="2963"/>
      <c r="AD587" s="2964"/>
      <c r="AE587" s="2964"/>
      <c r="AF587" s="2964"/>
      <c r="AG587" s="2964"/>
      <c r="AH587" s="2965"/>
      <c r="AN587" s="457"/>
    </row>
    <row r="588" spans="1:96" s="46" customFormat="1" ht="12.75" customHeight="1">
      <c r="E588" s="3180"/>
      <c r="F588" s="3181"/>
      <c r="G588" s="3181"/>
      <c r="H588" s="3181"/>
      <c r="I588" s="3181"/>
      <c r="J588" s="3182"/>
      <c r="K588" s="3180"/>
      <c r="L588" s="3181"/>
      <c r="M588" s="3181"/>
      <c r="N588" s="3181"/>
      <c r="O588" s="3181"/>
      <c r="P588" s="3182"/>
      <c r="Q588" s="2963"/>
      <c r="R588" s="2964"/>
      <c r="S588" s="2964"/>
      <c r="T588" s="2964"/>
      <c r="U588" s="2964"/>
      <c r="V588" s="2965"/>
      <c r="W588" s="2963"/>
      <c r="X588" s="2964"/>
      <c r="Y588" s="2964"/>
      <c r="Z588" s="2964"/>
      <c r="AA588" s="2964"/>
      <c r="AB588" s="2965"/>
      <c r="AC588" s="2963"/>
      <c r="AD588" s="2964"/>
      <c r="AE588" s="2964"/>
      <c r="AF588" s="2964"/>
      <c r="AG588" s="2964"/>
      <c r="AH588" s="2965"/>
      <c r="AN588" s="457"/>
    </row>
    <row r="589" spans="1:96" s="46" customFormat="1" ht="12.75" customHeight="1">
      <c r="E589" s="3180"/>
      <c r="F589" s="3181"/>
      <c r="G589" s="3181"/>
      <c r="H589" s="3181"/>
      <c r="I589" s="3181"/>
      <c r="J589" s="3182"/>
      <c r="K589" s="3180"/>
      <c r="L589" s="3181"/>
      <c r="M589" s="3181"/>
      <c r="N589" s="3181"/>
      <c r="O589" s="3181"/>
      <c r="P589" s="3182"/>
      <c r="Q589" s="2963"/>
      <c r="R589" s="2964"/>
      <c r="S589" s="2964"/>
      <c r="T589" s="2964"/>
      <c r="U589" s="2964"/>
      <c r="V589" s="2965"/>
      <c r="W589" s="2963"/>
      <c r="X589" s="2964"/>
      <c r="Y589" s="2964"/>
      <c r="Z589" s="2964"/>
      <c r="AA589" s="2964"/>
      <c r="AB589" s="2965"/>
      <c r="AC589" s="2963"/>
      <c r="AD589" s="2964"/>
      <c r="AE589" s="2964"/>
      <c r="AF589" s="2964"/>
      <c r="AG589" s="2964"/>
      <c r="AH589" s="2965"/>
      <c r="AN589" s="457"/>
      <c r="AP589" s="63" t="s">
        <v>1275</v>
      </c>
      <c r="BH589" s="63" t="s">
        <v>1276</v>
      </c>
    </row>
    <row r="590" spans="1:96" s="46" customFormat="1" ht="12.75" customHeight="1">
      <c r="E590" s="2916"/>
      <c r="F590" s="2917"/>
      <c r="G590" s="2917"/>
      <c r="H590" s="2917"/>
      <c r="I590" s="2917"/>
      <c r="J590" s="2918"/>
      <c r="K590" s="2913">
        <v>20</v>
      </c>
      <c r="L590" s="2914"/>
      <c r="M590" s="2914"/>
      <c r="N590" s="2914"/>
      <c r="O590" s="2914"/>
      <c r="P590" s="2915"/>
      <c r="Q590" s="2927">
        <f t="shared" ref="Q590" si="4">IF(ISERROR(IF((((E590/$BJ$537)*100)&gt;100),"EXCESSIVE VALUE",(E590/$BJ$537)*100)),0,IF((((E590/$BJ$537)*100)&gt;100),"EXCESSIVE VALUE",(E590/$BJ$537)*100))</f>
        <v>0</v>
      </c>
      <c r="R590" s="2928"/>
      <c r="S590" s="2928"/>
      <c r="T590" s="2928"/>
      <c r="U590" s="2928"/>
      <c r="V590" s="2929"/>
      <c r="W590" s="2919">
        <f>IF(FLOOR(Q590,5)&gt;80,80,FLOOR(Q590,5))</f>
        <v>0</v>
      </c>
      <c r="X590" s="2920"/>
      <c r="Y590" s="2920"/>
      <c r="Z590" s="2920"/>
      <c r="AA590" s="2920"/>
      <c r="AB590" s="2921"/>
      <c r="AC590" s="2919">
        <f t="shared" ref="AC590:AC595" si="5">IF(W590&gt;0,INDEX($BI$516:$BP$530,MATCH(W590,$BH$516:$BH$530,0),MATCH(K590,$BI$515:$BP$515,0)),0)</f>
        <v>0</v>
      </c>
      <c r="AD590" s="2920"/>
      <c r="AE590" s="2920"/>
      <c r="AF590" s="2920"/>
      <c r="AG590" s="2920"/>
      <c r="AH590" s="2921"/>
      <c r="AN590" s="457"/>
      <c r="AO590" s="46">
        <v>5</v>
      </c>
      <c r="AP590" s="3032">
        <f t="shared" ref="AP590:AP595" si="6">IF(OR(BE580&gt;=0.1,BE580=0),0,1)</f>
        <v>0</v>
      </c>
      <c r="AQ590" s="3033"/>
      <c r="AR590" s="3033"/>
      <c r="AS590" s="3033"/>
      <c r="AT590" s="3034"/>
      <c r="AX590" s="3015" t="s">
        <v>877</v>
      </c>
      <c r="AY590" s="3021"/>
      <c r="AZ590" s="3021"/>
      <c r="BA590" s="3021"/>
      <c r="BB590" s="3021"/>
      <c r="BC590" s="3021"/>
      <c r="BD590" s="3021"/>
      <c r="BE590" s="3021"/>
      <c r="BF590" s="3021"/>
      <c r="BG590" s="3021"/>
      <c r="BH590" s="3021"/>
      <c r="BI590" s="3021"/>
      <c r="BJ590" s="3021"/>
      <c r="BK590" s="3021"/>
      <c r="BL590" s="3021"/>
      <c r="BM590" s="3021"/>
      <c r="BN590" s="3021"/>
      <c r="BO590" s="3021"/>
      <c r="BP590" s="3021"/>
      <c r="BQ590" s="3016"/>
    </row>
    <row r="591" spans="1:96" s="46" customFormat="1" ht="12.75" customHeight="1">
      <c r="E591" s="2916">
        <f>'Applicant Notes'!D20</f>
        <v>10</v>
      </c>
      <c r="F591" s="2917"/>
      <c r="G591" s="2917"/>
      <c r="H591" s="2917"/>
      <c r="I591" s="2917"/>
      <c r="J591" s="2918"/>
      <c r="K591" s="2913">
        <v>30</v>
      </c>
      <c r="L591" s="2914"/>
      <c r="M591" s="2914"/>
      <c r="N591" s="2914"/>
      <c r="O591" s="2914"/>
      <c r="P591" s="2915"/>
      <c r="Q591" s="2927">
        <f t="shared" ref="Q591:Q598" si="7">IF(ISERROR(IF((((E591/$BJ$537)*100)&gt;100),"EXCESSIVE VALUE",(E591/$BJ$537)*100)),0,IF((((E591/$BJ$537)*100)&gt;100),"EXCESSIVE VALUE",(E591/$BJ$537)*100))</f>
        <v>10</v>
      </c>
      <c r="R591" s="2928"/>
      <c r="S591" s="2928"/>
      <c r="T591" s="2928"/>
      <c r="U591" s="2928"/>
      <c r="V591" s="2929"/>
      <c r="W591" s="2919">
        <f>IF(FLOOR(Q591,5)&gt;80,80,FLOOR(Q591,5))</f>
        <v>10</v>
      </c>
      <c r="X591" s="2920"/>
      <c r="Y591" s="2920"/>
      <c r="Z591" s="2920"/>
      <c r="AA591" s="2920"/>
      <c r="AB591" s="2921"/>
      <c r="AC591" s="2919">
        <f t="shared" si="5"/>
        <v>15</v>
      </c>
      <c r="AD591" s="2920"/>
      <c r="AE591" s="2920"/>
      <c r="AF591" s="2920"/>
      <c r="AG591" s="2920"/>
      <c r="AH591" s="2921"/>
      <c r="AN591" s="457"/>
      <c r="AO591" s="46">
        <v>4</v>
      </c>
      <c r="AP591" s="3032">
        <f t="shared" si="6"/>
        <v>0</v>
      </c>
      <c r="AQ591" s="3033"/>
      <c r="AR591" s="3033"/>
      <c r="AS591" s="3033"/>
      <c r="AT591" s="3034"/>
      <c r="AX591" s="3040" t="s">
        <v>689</v>
      </c>
      <c r="AY591" s="3041"/>
      <c r="AZ591" s="2466" t="s">
        <v>689</v>
      </c>
      <c r="BA591" s="2467"/>
      <c r="BB591" s="3040" t="s">
        <v>293</v>
      </c>
      <c r="BC591" s="3041"/>
      <c r="BD591" s="3038" t="s">
        <v>293</v>
      </c>
      <c r="BE591" s="3039"/>
      <c r="BF591" s="3040" t="s">
        <v>292</v>
      </c>
      <c r="BG591" s="3041"/>
      <c r="BH591" s="3038" t="s">
        <v>292</v>
      </c>
      <c r="BI591" s="3039"/>
      <c r="BJ591" s="3040" t="s">
        <v>291</v>
      </c>
      <c r="BK591" s="3041"/>
      <c r="BL591" s="3038" t="s">
        <v>291</v>
      </c>
      <c r="BM591" s="3039"/>
      <c r="BN591" s="3040" t="s">
        <v>688</v>
      </c>
      <c r="BO591" s="3041"/>
      <c r="BP591" s="3038" t="s">
        <v>688</v>
      </c>
      <c r="BQ591" s="3039"/>
    </row>
    <row r="592" spans="1:96" s="46" customFormat="1" ht="12.75" customHeight="1">
      <c r="E592" s="2916"/>
      <c r="F592" s="2917"/>
      <c r="G592" s="2917"/>
      <c r="H592" s="2917"/>
      <c r="I592" s="2917"/>
      <c r="J592" s="2918"/>
      <c r="K592" s="2913">
        <v>35</v>
      </c>
      <c r="L592" s="2914"/>
      <c r="M592" s="2914"/>
      <c r="N592" s="2914"/>
      <c r="O592" s="2914"/>
      <c r="P592" s="2915"/>
      <c r="Q592" s="2927">
        <f t="shared" si="7"/>
        <v>0</v>
      </c>
      <c r="R592" s="2928"/>
      <c r="S592" s="2928"/>
      <c r="T592" s="2928"/>
      <c r="U592" s="2928"/>
      <c r="V592" s="2929"/>
      <c r="W592" s="2919">
        <f t="shared" ref="W592:W598" si="8">IF(FLOOR(Q592,5)&gt;80,80,FLOOR(Q592,5))</f>
        <v>0</v>
      </c>
      <c r="X592" s="2920"/>
      <c r="Y592" s="2920"/>
      <c r="Z592" s="2920"/>
      <c r="AA592" s="2920"/>
      <c r="AB592" s="2921"/>
      <c r="AC592" s="2919">
        <f t="shared" si="5"/>
        <v>0</v>
      </c>
      <c r="AD592" s="2920"/>
      <c r="AE592" s="2920"/>
      <c r="AF592" s="2920"/>
      <c r="AG592" s="2920"/>
      <c r="AH592" s="2921"/>
      <c r="AN592" s="457"/>
      <c r="AO592" s="149">
        <v>3</v>
      </c>
      <c r="AP592" s="2913">
        <f t="shared" si="6"/>
        <v>0</v>
      </c>
      <c r="AQ592" s="2914"/>
      <c r="AR592" s="2914"/>
      <c r="AS592" s="2914"/>
      <c r="AT592" s="2915"/>
      <c r="AX592" s="3040">
        <f>IF(AP542=1,1,0)</f>
        <v>0</v>
      </c>
      <c r="AY592" s="3041"/>
      <c r="AZ592" s="3015"/>
      <c r="BA592" s="3016"/>
      <c r="BB592" s="3042"/>
      <c r="BC592" s="3043"/>
      <c r="BD592" s="3038">
        <f>IF(AND(T615&gt;0,AP542&gt;0),1,0)</f>
        <v>0</v>
      </c>
      <c r="BE592" s="3039"/>
      <c r="BF592" s="3042"/>
      <c r="BG592" s="3043"/>
      <c r="BH592" s="3038">
        <f>IF(AND(T615&gt;0,AP542&gt;0),1,0)</f>
        <v>0</v>
      </c>
      <c r="BI592" s="3039"/>
      <c r="BJ592" s="3042"/>
      <c r="BK592" s="3043"/>
      <c r="BL592" s="3038">
        <f>IF(AND(T615&gt;0,AP542&gt;0),1,0)</f>
        <v>0</v>
      </c>
      <c r="BM592" s="3039"/>
      <c r="BN592" s="3042"/>
      <c r="BO592" s="3043"/>
      <c r="BP592" s="3038">
        <f>IF(AND(T615&gt;0,AP542&gt;0),1,0)</f>
        <v>0</v>
      </c>
      <c r="BQ592" s="3039"/>
    </row>
    <row r="593" spans="1:69" s="46" customFormat="1" ht="12.75" customHeight="1">
      <c r="E593" s="2916">
        <f>'Applicant Notes'!D21</f>
        <v>32</v>
      </c>
      <c r="F593" s="2917"/>
      <c r="G593" s="2917"/>
      <c r="H593" s="2917"/>
      <c r="I593" s="2917"/>
      <c r="J593" s="2918"/>
      <c r="K593" s="2913">
        <v>40</v>
      </c>
      <c r="L593" s="2914"/>
      <c r="M593" s="2914"/>
      <c r="N593" s="2914"/>
      <c r="O593" s="2914"/>
      <c r="P593" s="2915"/>
      <c r="Q593" s="2927">
        <f t="shared" si="7"/>
        <v>32</v>
      </c>
      <c r="R593" s="2928"/>
      <c r="S593" s="2928"/>
      <c r="T593" s="2928"/>
      <c r="U593" s="2928"/>
      <c r="V593" s="2929"/>
      <c r="W593" s="2919">
        <f t="shared" si="8"/>
        <v>30</v>
      </c>
      <c r="X593" s="2920"/>
      <c r="Y593" s="2920"/>
      <c r="Z593" s="2920"/>
      <c r="AA593" s="2920"/>
      <c r="AB593" s="2921"/>
      <c r="AC593" s="2919">
        <f t="shared" si="5"/>
        <v>30</v>
      </c>
      <c r="AD593" s="2920"/>
      <c r="AE593" s="2920"/>
      <c r="AF593" s="2920"/>
      <c r="AG593" s="2920"/>
      <c r="AH593" s="2921"/>
      <c r="AN593" s="457"/>
      <c r="AO593" s="46">
        <v>2</v>
      </c>
      <c r="AP593" s="3032">
        <f t="shared" si="6"/>
        <v>0</v>
      </c>
      <c r="AQ593" s="3033"/>
      <c r="AR593" s="3033"/>
      <c r="AS593" s="3033"/>
      <c r="AT593" s="3034"/>
      <c r="AX593" s="3042"/>
      <c r="AY593" s="3043"/>
      <c r="AZ593" s="3015"/>
      <c r="BA593" s="3016"/>
      <c r="BB593" s="3040">
        <f>IF(AP543=1,1,0)</f>
        <v>0</v>
      </c>
      <c r="BC593" s="3041"/>
      <c r="BD593" s="3015"/>
      <c r="BE593" s="3016"/>
      <c r="BF593" s="3042"/>
      <c r="BG593" s="3043"/>
      <c r="BH593" s="3038">
        <f>IF(AND(T616&gt;0,AP543&gt;0),1,0)</f>
        <v>0</v>
      </c>
      <c r="BI593" s="3039"/>
      <c r="BJ593" s="3042"/>
      <c r="BK593" s="3043"/>
      <c r="BL593" s="3038">
        <f>IF(AND(T616&gt;0,AP543&gt;0),1,0)</f>
        <v>0</v>
      </c>
      <c r="BM593" s="3039"/>
      <c r="BN593" s="3042"/>
      <c r="BO593" s="3043"/>
      <c r="BP593" s="3038">
        <f>IF(AND(T616&gt;0,AP543&gt;0),1,0)</f>
        <v>0</v>
      </c>
      <c r="BQ593" s="3039"/>
    </row>
    <row r="594" spans="1:69" s="46" customFormat="1" ht="12.75" customHeight="1">
      <c r="E594" s="2916"/>
      <c r="F594" s="2917"/>
      <c r="G594" s="2917"/>
      <c r="H594" s="2917"/>
      <c r="I594" s="2917"/>
      <c r="J594" s="2918"/>
      <c r="K594" s="2913">
        <v>45</v>
      </c>
      <c r="L594" s="2914"/>
      <c r="M594" s="2914"/>
      <c r="N594" s="2914"/>
      <c r="O594" s="2914"/>
      <c r="P594" s="2915"/>
      <c r="Q594" s="2927">
        <f t="shared" si="7"/>
        <v>0</v>
      </c>
      <c r="R594" s="2928"/>
      <c r="S594" s="2928"/>
      <c r="T594" s="2928"/>
      <c r="U594" s="2928"/>
      <c r="V594" s="2929"/>
      <c r="W594" s="2919">
        <f>IF(FLOOR(Q594,5)&gt;65,65,FLOOR(Q594,5))</f>
        <v>0</v>
      </c>
      <c r="X594" s="2920"/>
      <c r="Y594" s="2920"/>
      <c r="Z594" s="2920"/>
      <c r="AA594" s="2920"/>
      <c r="AB594" s="2921"/>
      <c r="AC594" s="2919">
        <f t="shared" si="5"/>
        <v>0</v>
      </c>
      <c r="AD594" s="2920"/>
      <c r="AE594" s="2920"/>
      <c r="AF594" s="2920"/>
      <c r="AG594" s="2920"/>
      <c r="AH594" s="2921"/>
      <c r="AN594" s="457"/>
      <c r="AO594" s="46">
        <v>1</v>
      </c>
      <c r="AP594" s="3032">
        <f t="shared" si="6"/>
        <v>0</v>
      </c>
      <c r="AQ594" s="3033"/>
      <c r="AR594" s="3033"/>
      <c r="AS594" s="3033"/>
      <c r="AT594" s="3034"/>
      <c r="AX594" s="3042"/>
      <c r="AY594" s="3043"/>
      <c r="AZ594" s="3015"/>
      <c r="BA594" s="3016"/>
      <c r="BB594" s="3042"/>
      <c r="BC594" s="3043"/>
      <c r="BD594" s="3015"/>
      <c r="BE594" s="3016"/>
      <c r="BF594" s="3040">
        <f>IF(AP544=1,1,0)</f>
        <v>0</v>
      </c>
      <c r="BG594" s="3041"/>
      <c r="BH594" s="3015"/>
      <c r="BI594" s="3016"/>
      <c r="BJ594" s="3042"/>
      <c r="BK594" s="3043"/>
      <c r="BL594" s="3038">
        <f>IF(AND(T617&gt;0,AP544&gt;0),1,0)</f>
        <v>0</v>
      </c>
      <c r="BM594" s="3039"/>
      <c r="BN594" s="3042"/>
      <c r="BO594" s="3043"/>
      <c r="BP594" s="3038">
        <f>IF(AND(T617&gt;0,AP544&gt;0),1,0)</f>
        <v>0</v>
      </c>
      <c r="BQ594" s="3039"/>
    </row>
    <row r="595" spans="1:69" s="46" customFormat="1" ht="12.75" customHeight="1">
      <c r="E595" s="2916">
        <f>'Applicant Notes'!D22</f>
        <v>31</v>
      </c>
      <c r="F595" s="2917"/>
      <c r="G595" s="2917"/>
      <c r="H595" s="2917"/>
      <c r="I595" s="2917"/>
      <c r="J595" s="2918"/>
      <c r="K595" s="2913">
        <v>50</v>
      </c>
      <c r="L595" s="2914"/>
      <c r="M595" s="2914"/>
      <c r="N595" s="2914"/>
      <c r="O595" s="2914"/>
      <c r="P595" s="2915"/>
      <c r="Q595" s="2927">
        <f t="shared" si="7"/>
        <v>31</v>
      </c>
      <c r="R595" s="2928"/>
      <c r="S595" s="2928"/>
      <c r="T595" s="2928"/>
      <c r="U595" s="2928"/>
      <c r="V595" s="2929"/>
      <c r="W595" s="2919">
        <f>IF(FLOOR(Q595,5)&gt;40,40,FLOOR(Q595,5))</f>
        <v>30</v>
      </c>
      <c r="X595" s="2920"/>
      <c r="Y595" s="2920"/>
      <c r="Z595" s="2920"/>
      <c r="AA595" s="2920"/>
      <c r="AB595" s="2921"/>
      <c r="AC595" s="2919">
        <f t="shared" si="5"/>
        <v>15</v>
      </c>
      <c r="AD595" s="2920"/>
      <c r="AE595" s="2920"/>
      <c r="AF595" s="2920"/>
      <c r="AG595" s="2920"/>
      <c r="AH595" s="2921"/>
      <c r="AN595" s="457"/>
      <c r="AO595" s="46">
        <v>0</v>
      </c>
      <c r="AP595" s="3032">
        <f t="shared" si="6"/>
        <v>0</v>
      </c>
      <c r="AQ595" s="3033"/>
      <c r="AR595" s="3033"/>
      <c r="AS595" s="3033"/>
      <c r="AT595" s="3034"/>
      <c r="AX595" s="3042"/>
      <c r="AY595" s="3043"/>
      <c r="AZ595" s="3015"/>
      <c r="BA595" s="3016"/>
      <c r="BB595" s="3042"/>
      <c r="BC595" s="3043"/>
      <c r="BD595" s="3015"/>
      <c r="BE595" s="3016"/>
      <c r="BF595" s="3042"/>
      <c r="BG595" s="3043"/>
      <c r="BH595" s="3015"/>
      <c r="BI595" s="3016"/>
      <c r="BJ595" s="3040">
        <f>IF(AP545=1,1,0)</f>
        <v>0</v>
      </c>
      <c r="BK595" s="3041"/>
      <c r="BL595" s="3042"/>
      <c r="BM595" s="3043"/>
      <c r="BN595" s="3042"/>
      <c r="BO595" s="3043"/>
      <c r="BP595" s="3038">
        <f>IF(AND(T618&gt;0,AP545&gt;0),1,0)</f>
        <v>0</v>
      </c>
      <c r="BQ595" s="3039"/>
    </row>
    <row r="596" spans="1:69" s="46" customFormat="1" ht="12.75" customHeight="1">
      <c r="E596" s="2931"/>
      <c r="F596" s="2932"/>
      <c r="G596" s="2932"/>
      <c r="H596" s="2932"/>
      <c r="I596" s="2932"/>
      <c r="J596" s="2933"/>
      <c r="K596" s="3004">
        <f>IF(OR(Application!D218="Rural",Application!D218="Rural apportionment (Section 514)",Application!D218="Rural apportionment (Section 515)",Application!D218="Rural apportionment (HOME)",Application!D218="Rural (Native American apportionment)"),50,0)</f>
        <v>0</v>
      </c>
      <c r="L596" s="3005"/>
      <c r="M596" s="3006" t="s">
        <v>2158</v>
      </c>
      <c r="N596" s="3006"/>
      <c r="O596" s="3006"/>
      <c r="P596" s="3007"/>
      <c r="Q596" s="2927">
        <f t="shared" si="7"/>
        <v>0</v>
      </c>
      <c r="R596" s="2928"/>
      <c r="S596" s="2928"/>
      <c r="T596" s="2928"/>
      <c r="U596" s="2928"/>
      <c r="V596" s="2929"/>
      <c r="W596" s="2919">
        <f>IF(FLOOR(Q596,5)&gt;50,50,FLOOR(Q596,5))</f>
        <v>0</v>
      </c>
      <c r="X596" s="2920"/>
      <c r="Y596" s="2920"/>
      <c r="Z596" s="2920"/>
      <c r="AA596" s="2920"/>
      <c r="AB596" s="2921"/>
      <c r="AC596" s="2919">
        <f>IF(W596&gt;0,INDEX($AT$516:$BA$530,MATCH(W596,$AS$516:$AS$530,0),MATCH(K596,$AT$515:$BA$515,0)),0)</f>
        <v>0</v>
      </c>
      <c r="AD596" s="2920"/>
      <c r="AE596" s="2920"/>
      <c r="AF596" s="2920"/>
      <c r="AG596" s="2920"/>
      <c r="AH596" s="2921"/>
      <c r="AN596" s="457"/>
      <c r="AP596" s="3032"/>
      <c r="AQ596" s="3033"/>
      <c r="AR596" s="3033"/>
      <c r="AS596" s="3033"/>
      <c r="AT596" s="3034"/>
      <c r="AX596" s="3042"/>
      <c r="AY596" s="3043"/>
      <c r="AZ596" s="3015"/>
      <c r="BA596" s="3016"/>
      <c r="BB596" s="3042"/>
      <c r="BC596" s="3043"/>
      <c r="BD596" s="3015"/>
      <c r="BE596" s="3016"/>
      <c r="BF596" s="3042"/>
      <c r="BG596" s="3043"/>
      <c r="BH596" s="3015"/>
      <c r="BI596" s="3016"/>
      <c r="BJ596" s="3042"/>
      <c r="BK596" s="3043"/>
      <c r="BL596" s="3042"/>
      <c r="BM596" s="3043"/>
      <c r="BN596" s="3040">
        <f>IF(AP546=1,1,0)</f>
        <v>1</v>
      </c>
      <c r="BO596" s="3041"/>
      <c r="BP596" s="3015"/>
      <c r="BQ596" s="3016"/>
    </row>
    <row r="597" spans="1:69" s="46" customFormat="1" ht="12.75" customHeight="1">
      <c r="E597" s="2931"/>
      <c r="F597" s="2932"/>
      <c r="G597" s="2932"/>
      <c r="H597" s="2932"/>
      <c r="I597" s="2932"/>
      <c r="J597" s="2933"/>
      <c r="K597" s="3004">
        <f>IF(OR(Application!D218="Rural",Application!D218="Rural apportionment (Section 514)",Application!D218="Rural apportionment (Section 515)",Application!D218="Rural apportionment (HOME)",Application!D218="Rural (Native American apportionment)"),55,0)</f>
        <v>0</v>
      </c>
      <c r="L597" s="3005"/>
      <c r="M597" s="3006" t="s">
        <v>2158</v>
      </c>
      <c r="N597" s="3006"/>
      <c r="O597" s="3006"/>
      <c r="P597" s="3007"/>
      <c r="Q597" s="2927">
        <f t="shared" si="7"/>
        <v>0</v>
      </c>
      <c r="R597" s="2928"/>
      <c r="S597" s="2928"/>
      <c r="T597" s="2928"/>
      <c r="U597" s="2928"/>
      <c r="V597" s="2929"/>
      <c r="W597" s="2919">
        <f>IF(FLOOR(Q597,5)&gt;40,40,FLOOR(Q597,5))</f>
        <v>0</v>
      </c>
      <c r="X597" s="2920"/>
      <c r="Y597" s="2920"/>
      <c r="Z597" s="2920"/>
      <c r="AA597" s="2920"/>
      <c r="AB597" s="2921"/>
      <c r="AC597" s="2919">
        <f>IF(W597&gt;0,INDEX($AT$516:$BA$530,MATCH(W597,$AS$516:$AS$530,0),MATCH(K597,$AT$515:$BA$515,0)),0)</f>
        <v>0</v>
      </c>
      <c r="AD597" s="2920"/>
      <c r="AE597" s="2920"/>
      <c r="AF597" s="2920"/>
      <c r="AG597" s="2920"/>
      <c r="AH597" s="2921"/>
      <c r="AN597" s="457"/>
      <c r="AX597" s="3040">
        <f>SUM(AX592:AY596)</f>
        <v>0</v>
      </c>
      <c r="AY597" s="3041"/>
      <c r="AZ597" s="3038">
        <f>SUM(AZ593:BA596)</f>
        <v>0</v>
      </c>
      <c r="BA597" s="3039"/>
      <c r="BB597" s="3040">
        <f>SUM(BB593:BC596)</f>
        <v>0</v>
      </c>
      <c r="BC597" s="3041"/>
      <c r="BD597" s="3038">
        <f>SUM(BD592:BE596)</f>
        <v>0</v>
      </c>
      <c r="BE597" s="3039"/>
      <c r="BF597" s="3040">
        <f>SUM(BF594:BG596)</f>
        <v>0</v>
      </c>
      <c r="BG597" s="3041"/>
      <c r="BH597" s="3038">
        <f>SUM(BH592:BI596)</f>
        <v>0</v>
      </c>
      <c r="BI597" s="3039"/>
      <c r="BJ597" s="3040">
        <f>SUM(BJ592:BK596)</f>
        <v>0</v>
      </c>
      <c r="BK597" s="3041"/>
      <c r="BL597" s="3038">
        <f>SUM(BL592:BM596)</f>
        <v>0</v>
      </c>
      <c r="BM597" s="3039"/>
      <c r="BN597" s="3040">
        <f>SUM(BN592:BO596)</f>
        <v>1</v>
      </c>
      <c r="BO597" s="3041"/>
      <c r="BP597" s="3038">
        <f>SUM(BP592:BQ596)</f>
        <v>0</v>
      </c>
      <c r="BQ597" s="3039"/>
    </row>
    <row r="598" spans="1:69" s="46" customFormat="1" ht="12.75" customHeight="1">
      <c r="E598" s="2916">
        <f>+'Applicant Notes'!D23+'Applicant Notes'!D24+'Applicant Notes'!D25</f>
        <v>27</v>
      </c>
      <c r="F598" s="2917"/>
      <c r="G598" s="2917"/>
      <c r="H598" s="2917"/>
      <c r="I598" s="2917"/>
      <c r="J598" s="2918"/>
      <c r="K598" s="2913" t="s">
        <v>2159</v>
      </c>
      <c r="L598" s="2914"/>
      <c r="M598" s="2914"/>
      <c r="N598" s="2914"/>
      <c r="O598" s="2914"/>
      <c r="P598" s="2915"/>
      <c r="Q598" s="2927">
        <f t="shared" si="7"/>
        <v>27</v>
      </c>
      <c r="R598" s="2928"/>
      <c r="S598" s="2928"/>
      <c r="T598" s="2928"/>
      <c r="U598" s="2928"/>
      <c r="V598" s="2929"/>
      <c r="W598" s="2919">
        <f t="shared" si="8"/>
        <v>25</v>
      </c>
      <c r="X598" s="2920"/>
      <c r="Y598" s="2920"/>
      <c r="Z598" s="2920"/>
      <c r="AA598" s="2920"/>
      <c r="AB598" s="2921"/>
      <c r="AC598" s="2919">
        <v>0</v>
      </c>
      <c r="AD598" s="2920"/>
      <c r="AE598" s="2920"/>
      <c r="AF598" s="2920"/>
      <c r="AG598" s="2920"/>
      <c r="AH598" s="2921"/>
      <c r="AN598" s="457"/>
      <c r="AX598" s="3044">
        <f>IF(AND(AX597=1,AZ597&gt;1),1,0)</f>
        <v>0</v>
      </c>
      <c r="AY598" s="3045"/>
      <c r="AZ598" s="3045"/>
      <c r="BA598" s="3046"/>
      <c r="BB598" s="3044">
        <f>IF(AND(BB597=1,BD597&gt;=1),1,0)</f>
        <v>0</v>
      </c>
      <c r="BC598" s="3045"/>
      <c r="BD598" s="3045"/>
      <c r="BE598" s="3046"/>
      <c r="BF598" s="3044">
        <f>IF(AND(BF597=1,BH597&gt;=1),1,0)</f>
        <v>0</v>
      </c>
      <c r="BG598" s="3045"/>
      <c r="BH598" s="3045"/>
      <c r="BI598" s="3046"/>
      <c r="BJ598" s="3044">
        <f>IF(AND(BJ597=1,BL597&gt;=1),1,0)</f>
        <v>0</v>
      </c>
      <c r="BK598" s="3045"/>
      <c r="BL598" s="3045"/>
      <c r="BM598" s="3046"/>
      <c r="BN598" s="3044">
        <f>IF(AND(BN597=1,BP597&gt;=1),1,0)</f>
        <v>0</v>
      </c>
      <c r="BO598" s="3045"/>
      <c r="BP598" s="3045"/>
      <c r="BQ598" s="3046"/>
    </row>
    <row r="599" spans="1:69" s="46" customFormat="1" ht="12.75" customHeight="1">
      <c r="E599" s="3106">
        <f>SUM(E590:J598)</f>
        <v>100</v>
      </c>
      <c r="F599" s="3107"/>
      <c r="G599" s="3107"/>
      <c r="H599" s="3107"/>
      <c r="I599" s="3107"/>
      <c r="J599" s="3108"/>
      <c r="K599" s="272"/>
      <c r="L599" s="272"/>
      <c r="M599" s="272"/>
      <c r="N599" s="272"/>
      <c r="O599" s="272"/>
      <c r="P599" s="272"/>
      <c r="Q599" s="272"/>
      <c r="R599" s="272"/>
      <c r="S599" s="272"/>
      <c r="T599" s="272"/>
      <c r="U599" s="266"/>
      <c r="V599" s="266"/>
      <c r="W599" s="266"/>
      <c r="X599" s="266"/>
      <c r="Y599" s="266"/>
      <c r="Z599" s="272"/>
      <c r="AA599" s="266"/>
      <c r="AB599" s="100" t="s">
        <v>678</v>
      </c>
      <c r="AC599" s="3109">
        <f>IF(SUM(AC590:AH598)&gt;0,SUM(AC590:AH598),0)</f>
        <v>60</v>
      </c>
      <c r="AD599" s="3110"/>
      <c r="AE599" s="3110"/>
      <c r="AF599" s="3110"/>
      <c r="AG599" s="3110"/>
      <c r="AH599" s="3111"/>
      <c r="AK599" s="8"/>
      <c r="AL599" s="8"/>
      <c r="AM599" s="273"/>
      <c r="AN599" s="457"/>
      <c r="AX599" s="16"/>
      <c r="AY599" s="16"/>
      <c r="AZ599" s="16"/>
      <c r="BA599" s="16"/>
      <c r="BB599" s="16"/>
      <c r="BC599" s="16"/>
      <c r="BD599" s="16"/>
      <c r="BE599" s="16"/>
      <c r="BF599" s="16"/>
      <c r="BG599" s="16"/>
      <c r="BH599" s="16"/>
      <c r="BI599" s="252" t="s">
        <v>683</v>
      </c>
      <c r="BJ599" s="3044">
        <f>AX598+BB598+BF598+BJ598+BN598</f>
        <v>0</v>
      </c>
      <c r="BK599" s="3045"/>
      <c r="BL599" s="3045"/>
      <c r="BM599" s="304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939" t="s">
        <v>113</v>
      </c>
      <c r="AH602" s="2939"/>
      <c r="AI602" s="2939"/>
      <c r="AJ602" s="2939"/>
      <c r="AK602" s="8"/>
      <c r="AL602" s="8"/>
      <c r="AM602" s="8"/>
      <c r="AN602" s="457"/>
    </row>
    <row r="603" spans="1:69" s="46" customFormat="1" ht="12.75" customHeight="1">
      <c r="B603" s="2908" t="s">
        <v>2135</v>
      </c>
      <c r="C603" s="2908"/>
      <c r="D603" s="2908"/>
      <c r="E603" s="2908"/>
      <c r="F603" s="2908"/>
      <c r="G603" s="2908"/>
      <c r="H603" s="2908"/>
      <c r="I603" s="2908"/>
      <c r="J603" s="2908"/>
      <c r="K603" s="2908"/>
      <c r="L603" s="2908"/>
      <c r="M603" s="2908"/>
      <c r="N603" s="2908"/>
      <c r="O603" s="2908"/>
      <c r="P603" s="2908"/>
      <c r="Q603" s="2908"/>
      <c r="R603" s="2908"/>
      <c r="S603" s="2908"/>
      <c r="T603" s="2908"/>
      <c r="U603" s="2908"/>
      <c r="V603" s="2908"/>
      <c r="W603" s="2908"/>
      <c r="X603" s="2908"/>
      <c r="Y603" s="2908"/>
      <c r="Z603" s="2908"/>
      <c r="AA603" s="2908"/>
      <c r="AB603" s="2908"/>
      <c r="AC603" s="2908"/>
      <c r="AD603" s="2908"/>
      <c r="AE603" s="2908"/>
      <c r="AF603" s="2908"/>
      <c r="AG603" s="2908"/>
      <c r="AH603" s="2908"/>
      <c r="AI603" s="65"/>
      <c r="AJ603" s="65"/>
      <c r="AK603" s="16"/>
      <c r="AL603" s="16"/>
      <c r="AM603" s="16"/>
      <c r="AN603" s="457"/>
    </row>
    <row r="604" spans="1:69" s="46" customFormat="1" ht="12.75" customHeight="1">
      <c r="A604" s="65"/>
      <c r="B604" s="2908"/>
      <c r="C604" s="2908"/>
      <c r="D604" s="2908"/>
      <c r="E604" s="2908"/>
      <c r="F604" s="2908"/>
      <c r="G604" s="2908"/>
      <c r="H604" s="2908"/>
      <c r="I604" s="2908"/>
      <c r="J604" s="2908"/>
      <c r="K604" s="2908"/>
      <c r="L604" s="2908"/>
      <c r="M604" s="2908"/>
      <c r="N604" s="2908"/>
      <c r="O604" s="2908"/>
      <c r="P604" s="2908"/>
      <c r="Q604" s="2908"/>
      <c r="R604" s="2908"/>
      <c r="S604" s="2908"/>
      <c r="T604" s="2908"/>
      <c r="U604" s="2908"/>
      <c r="V604" s="2908"/>
      <c r="W604" s="2908"/>
      <c r="X604" s="2908"/>
      <c r="Y604" s="2908"/>
      <c r="Z604" s="2908"/>
      <c r="AA604" s="2908"/>
      <c r="AB604" s="2908"/>
      <c r="AC604" s="2908"/>
      <c r="AD604" s="2908"/>
      <c r="AE604" s="2908"/>
      <c r="AF604" s="2908"/>
      <c r="AG604" s="2908"/>
      <c r="AH604" s="2908"/>
      <c r="AI604" s="65"/>
      <c r="AJ604" s="65"/>
      <c r="AK604" s="16"/>
      <c r="AL604" s="16"/>
      <c r="AM604" s="16"/>
      <c r="AN604" s="457"/>
    </row>
    <row r="605" spans="1:69" s="46" customFormat="1" ht="12.75" customHeight="1">
      <c r="A605" s="65"/>
      <c r="B605" s="2908"/>
      <c r="C605" s="2908"/>
      <c r="D605" s="2908"/>
      <c r="E605" s="2908"/>
      <c r="F605" s="2908"/>
      <c r="G605" s="2908"/>
      <c r="H605" s="2908"/>
      <c r="I605" s="2908"/>
      <c r="J605" s="2908"/>
      <c r="K605" s="2908"/>
      <c r="L605" s="2908"/>
      <c r="M605" s="2908"/>
      <c r="N605" s="2908"/>
      <c r="O605" s="2908"/>
      <c r="P605" s="2908"/>
      <c r="Q605" s="2908"/>
      <c r="R605" s="2908"/>
      <c r="S605" s="2908"/>
      <c r="T605" s="2908"/>
      <c r="U605" s="2908"/>
      <c r="V605" s="2908"/>
      <c r="W605" s="2908"/>
      <c r="X605" s="2908"/>
      <c r="Y605" s="2908"/>
      <c r="Z605" s="2908"/>
      <c r="AA605" s="2908"/>
      <c r="AB605" s="2908"/>
      <c r="AC605" s="2908"/>
      <c r="AD605" s="2908"/>
      <c r="AE605" s="2908"/>
      <c r="AF605" s="2908"/>
      <c r="AG605" s="2908"/>
      <c r="AH605" s="2908"/>
      <c r="AI605" s="65"/>
      <c r="AJ605" s="65"/>
      <c r="AK605" s="16"/>
      <c r="AL605" s="16"/>
      <c r="AM605" s="16"/>
      <c r="AN605" s="457"/>
    </row>
    <row r="606" spans="1:69" s="46" customFormat="1" ht="12.75" customHeight="1">
      <c r="A606" s="65"/>
      <c r="B606" s="2908"/>
      <c r="C606" s="2908"/>
      <c r="D606" s="2908"/>
      <c r="E606" s="2908"/>
      <c r="F606" s="2908"/>
      <c r="G606" s="2908"/>
      <c r="H606" s="2908"/>
      <c r="I606" s="2908"/>
      <c r="J606" s="2908"/>
      <c r="K606" s="2908"/>
      <c r="L606" s="2908"/>
      <c r="M606" s="2908"/>
      <c r="N606" s="2908"/>
      <c r="O606" s="2908"/>
      <c r="P606" s="2908"/>
      <c r="Q606" s="2908"/>
      <c r="R606" s="2908"/>
      <c r="S606" s="2908"/>
      <c r="T606" s="2908"/>
      <c r="U606" s="2908"/>
      <c r="V606" s="2908"/>
      <c r="W606" s="2908"/>
      <c r="X606" s="2908"/>
      <c r="Y606" s="2908"/>
      <c r="Z606" s="2908"/>
      <c r="AA606" s="2908"/>
      <c r="AB606" s="2908"/>
      <c r="AC606" s="2908"/>
      <c r="AD606" s="2908"/>
      <c r="AE606" s="2908"/>
      <c r="AF606" s="2908"/>
      <c r="AG606" s="2908"/>
      <c r="AH606" s="2908"/>
      <c r="AI606" s="65"/>
      <c r="AJ606" s="65"/>
      <c r="AK606" s="16"/>
      <c r="AL606" s="16"/>
      <c r="AM606" s="16"/>
      <c r="AN606" s="457"/>
    </row>
    <row r="607" spans="1:69" s="46" customFormat="1" ht="12.75" customHeight="1">
      <c r="A607" s="65"/>
      <c r="B607" s="2908"/>
      <c r="C607" s="2908"/>
      <c r="D607" s="2908"/>
      <c r="E607" s="2908"/>
      <c r="F607" s="2908"/>
      <c r="G607" s="2908"/>
      <c r="H607" s="2908"/>
      <c r="I607" s="2908"/>
      <c r="J607" s="2908"/>
      <c r="K607" s="2908"/>
      <c r="L607" s="2908"/>
      <c r="M607" s="2908"/>
      <c r="N607" s="2908"/>
      <c r="O607" s="2908"/>
      <c r="P607" s="2908"/>
      <c r="Q607" s="2908"/>
      <c r="R607" s="2908"/>
      <c r="S607" s="2908"/>
      <c r="T607" s="2908"/>
      <c r="U607" s="2908"/>
      <c r="V607" s="2908"/>
      <c r="W607" s="2908"/>
      <c r="X607" s="2908"/>
      <c r="Y607" s="2908"/>
      <c r="Z607" s="2908"/>
      <c r="AA607" s="2908"/>
      <c r="AB607" s="2908"/>
      <c r="AC607" s="2908"/>
      <c r="AD607" s="2908"/>
      <c r="AE607" s="2908"/>
      <c r="AF607" s="2908"/>
      <c r="AG607" s="2908"/>
      <c r="AH607" s="2908"/>
      <c r="AI607" s="65"/>
      <c r="AJ607" s="65"/>
      <c r="AK607" s="16"/>
      <c r="AL607" s="16"/>
      <c r="AM607" s="16"/>
      <c r="AN607" s="457"/>
    </row>
    <row r="608" spans="1:69" s="46" customFormat="1" ht="12.75" customHeight="1">
      <c r="A608" s="65"/>
      <c r="B608" s="2908"/>
      <c r="C608" s="2908"/>
      <c r="D608" s="2908"/>
      <c r="E608" s="2908"/>
      <c r="F608" s="2908"/>
      <c r="G608" s="2908"/>
      <c r="H608" s="2908"/>
      <c r="I608" s="2908"/>
      <c r="J608" s="2908"/>
      <c r="K608" s="2908"/>
      <c r="L608" s="2908"/>
      <c r="M608" s="2908"/>
      <c r="N608" s="2908"/>
      <c r="O608" s="2908"/>
      <c r="P608" s="2908"/>
      <c r="Q608" s="2908"/>
      <c r="R608" s="2908"/>
      <c r="S608" s="2908"/>
      <c r="T608" s="2908"/>
      <c r="U608" s="2908"/>
      <c r="V608" s="2908"/>
      <c r="W608" s="2908"/>
      <c r="X608" s="2908"/>
      <c r="Y608" s="2908"/>
      <c r="Z608" s="2908"/>
      <c r="AA608" s="2908"/>
      <c r="AB608" s="2908"/>
      <c r="AC608" s="2908"/>
      <c r="AD608" s="2908"/>
      <c r="AE608" s="2908"/>
      <c r="AF608" s="2908"/>
      <c r="AG608" s="2908"/>
      <c r="AH608" s="2908"/>
      <c r="AI608" s="65"/>
      <c r="AJ608" s="65"/>
      <c r="AK608" s="65"/>
      <c r="AL608" s="65"/>
      <c r="AM608" s="65"/>
      <c r="AN608" s="1188"/>
    </row>
    <row r="609" spans="1:60">
      <c r="E609" s="257"/>
      <c r="BD609" s="65"/>
      <c r="BE609" s="65"/>
      <c r="BF609" s="65"/>
      <c r="BG609" s="65"/>
      <c r="BH609" s="65"/>
    </row>
    <row r="610" spans="1:60" ht="12.75" customHeight="1">
      <c r="J610" s="3100" t="s">
        <v>878</v>
      </c>
      <c r="K610" s="3101"/>
      <c r="L610" s="3101"/>
      <c r="M610" s="3101"/>
      <c r="N610" s="3102"/>
      <c r="O610" s="3144" t="s">
        <v>1721</v>
      </c>
      <c r="P610" s="3145"/>
      <c r="Q610" s="3145"/>
      <c r="R610" s="3145"/>
      <c r="S610" s="3146"/>
      <c r="T610" s="3144" t="s">
        <v>2056</v>
      </c>
      <c r="U610" s="3145"/>
      <c r="V610" s="3145"/>
      <c r="W610" s="3145"/>
      <c r="X610" s="3146"/>
      <c r="Y610" s="3144" t="s">
        <v>1722</v>
      </c>
      <c r="Z610" s="3145"/>
      <c r="AA610" s="3145"/>
      <c r="AB610" s="3145"/>
      <c r="AC610" s="3146"/>
      <c r="AF610" s="16"/>
      <c r="AG610" s="16"/>
      <c r="AH610" s="16"/>
      <c r="AI610" s="16"/>
      <c r="AJ610" s="16"/>
    </row>
    <row r="611" spans="1:60" ht="12.75" customHeight="1">
      <c r="D611" s="16"/>
      <c r="E611" s="16"/>
      <c r="F611" s="16"/>
      <c r="G611" s="16"/>
      <c r="H611" s="16"/>
      <c r="I611" s="16"/>
      <c r="J611" s="3103"/>
      <c r="K611" s="3104"/>
      <c r="L611" s="3104"/>
      <c r="M611" s="3104"/>
      <c r="N611" s="3105"/>
      <c r="O611" s="2963"/>
      <c r="P611" s="2964"/>
      <c r="Q611" s="2964"/>
      <c r="R611" s="2964"/>
      <c r="S611" s="2965"/>
      <c r="T611" s="2963"/>
      <c r="U611" s="2964"/>
      <c r="V611" s="2964"/>
      <c r="W611" s="2964"/>
      <c r="X611" s="2965"/>
      <c r="Y611" s="2963"/>
      <c r="Z611" s="2964"/>
      <c r="AA611" s="2964"/>
      <c r="AB611" s="2964"/>
      <c r="AC611" s="2965"/>
      <c r="AF611" s="16"/>
      <c r="AG611" s="16"/>
      <c r="AH611" s="16"/>
      <c r="AI611" s="16"/>
      <c r="AJ611" s="16"/>
    </row>
    <row r="612" spans="1:60">
      <c r="I612" s="16"/>
      <c r="J612" s="3103"/>
      <c r="K612" s="3104"/>
      <c r="L612" s="3104"/>
      <c r="M612" s="3104"/>
      <c r="N612" s="3105"/>
      <c r="O612" s="2963"/>
      <c r="P612" s="2964"/>
      <c r="Q612" s="2964"/>
      <c r="R612" s="2964"/>
      <c r="S612" s="2965"/>
      <c r="T612" s="2963"/>
      <c r="U612" s="2964"/>
      <c r="V612" s="2964"/>
      <c r="W612" s="2964"/>
      <c r="X612" s="2965"/>
      <c r="Y612" s="2963"/>
      <c r="Z612" s="2964"/>
      <c r="AA612" s="2964"/>
      <c r="AB612" s="2964"/>
      <c r="AC612" s="2965"/>
      <c r="AD612" s="42"/>
      <c r="AF612" s="16"/>
      <c r="AG612" s="16"/>
      <c r="AH612" s="16"/>
      <c r="AI612" s="16"/>
      <c r="AJ612" s="16"/>
    </row>
    <row r="613" spans="1:60">
      <c r="D613" s="16"/>
      <c r="E613" s="16"/>
      <c r="F613" s="16"/>
      <c r="G613" s="16"/>
      <c r="H613" s="16"/>
      <c r="I613" s="16"/>
      <c r="J613" s="3103"/>
      <c r="K613" s="3104"/>
      <c r="L613" s="3104"/>
      <c r="M613" s="3104"/>
      <c r="N613" s="3105"/>
      <c r="O613" s="2963"/>
      <c r="P613" s="2964"/>
      <c r="Q613" s="2964"/>
      <c r="R613" s="2964"/>
      <c r="S613" s="2965"/>
      <c r="T613" s="2963"/>
      <c r="U613" s="2964"/>
      <c r="V613" s="2964"/>
      <c r="W613" s="2964"/>
      <c r="X613" s="2965"/>
      <c r="Y613" s="2963"/>
      <c r="Z613" s="2964"/>
      <c r="AA613" s="2964"/>
      <c r="AB613" s="2964"/>
      <c r="AC613" s="2965"/>
      <c r="AD613" s="42"/>
      <c r="AF613" s="16"/>
      <c r="AG613" s="16"/>
      <c r="AH613" s="16"/>
      <c r="AI613" s="16"/>
      <c r="AJ613" s="16"/>
    </row>
    <row r="614" spans="1:60">
      <c r="D614" s="16"/>
      <c r="E614" s="16"/>
      <c r="F614" s="16"/>
      <c r="G614" s="16"/>
      <c r="H614" s="16"/>
      <c r="I614" s="16"/>
      <c r="J614" s="2994" t="s">
        <v>251</v>
      </c>
      <c r="K614" s="2995"/>
      <c r="L614" s="2995"/>
      <c r="M614" s="2995"/>
      <c r="N614" s="2996"/>
      <c r="O614" s="2913">
        <f>Application!BZ612</f>
        <v>0</v>
      </c>
      <c r="P614" s="2914"/>
      <c r="Q614" s="2914"/>
      <c r="R614" s="2914"/>
      <c r="S614" s="2915"/>
      <c r="T614" s="2913">
        <f>Application!DD612</f>
        <v>0</v>
      </c>
      <c r="U614" s="2914"/>
      <c r="V614" s="2914"/>
      <c r="W614" s="2914"/>
      <c r="X614" s="2915"/>
      <c r="Y614" s="2949">
        <f t="shared" ref="Y614:Y619" si="9">IF(T614&gt;0,T614/O614,0)</f>
        <v>0</v>
      </c>
      <c r="Z614" s="2950"/>
      <c r="AA614" s="2950"/>
      <c r="AB614" s="2950"/>
      <c r="AC614" s="2951"/>
      <c r="AD614" s="42"/>
      <c r="AF614" s="16"/>
      <c r="AG614" s="16"/>
      <c r="AH614" s="16"/>
      <c r="AI614" s="16"/>
      <c r="AJ614" s="16"/>
    </row>
    <row r="615" spans="1:60">
      <c r="D615" s="16"/>
      <c r="E615" s="16"/>
      <c r="F615" s="16"/>
      <c r="G615" s="16"/>
      <c r="H615" s="16"/>
      <c r="I615" s="16"/>
      <c r="J615" s="2994" t="s">
        <v>36</v>
      </c>
      <c r="K615" s="2995"/>
      <c r="L615" s="2995"/>
      <c r="M615" s="2995"/>
      <c r="N615" s="2996"/>
      <c r="O615" s="2913">
        <f>Application!BU612</f>
        <v>0</v>
      </c>
      <c r="P615" s="2914"/>
      <c r="Q615" s="2914"/>
      <c r="R615" s="2914"/>
      <c r="S615" s="2915"/>
      <c r="T615" s="2913">
        <f>Application!CY612</f>
        <v>0</v>
      </c>
      <c r="U615" s="2914"/>
      <c r="V615" s="2914"/>
      <c r="W615" s="2914"/>
      <c r="X615" s="2915"/>
      <c r="Y615" s="2949">
        <f t="shared" si="9"/>
        <v>0</v>
      </c>
      <c r="Z615" s="2950"/>
      <c r="AA615" s="2950"/>
      <c r="AB615" s="2950"/>
      <c r="AC615" s="2951"/>
      <c r="AD615" s="42"/>
      <c r="AF615" s="16"/>
      <c r="AG615" s="16"/>
      <c r="AH615" s="16"/>
      <c r="AI615" s="16"/>
      <c r="AJ615" s="16"/>
    </row>
    <row r="616" spans="1:60">
      <c r="D616" s="16"/>
      <c r="E616" s="16"/>
      <c r="F616" s="16"/>
      <c r="G616" s="16"/>
      <c r="H616" s="16"/>
      <c r="I616" s="16"/>
      <c r="J616" s="2994" t="s">
        <v>293</v>
      </c>
      <c r="K616" s="2995"/>
      <c r="L616" s="2995"/>
      <c r="M616" s="2995"/>
      <c r="N616" s="2996"/>
      <c r="O616" s="2913">
        <f>Application!BP612</f>
        <v>0</v>
      </c>
      <c r="P616" s="2914"/>
      <c r="Q616" s="2914"/>
      <c r="R616" s="2914"/>
      <c r="S616" s="2915"/>
      <c r="T616" s="2913">
        <f>Application!CT612</f>
        <v>0</v>
      </c>
      <c r="U616" s="2914"/>
      <c r="V616" s="2914"/>
      <c r="W616" s="2914"/>
      <c r="X616" s="2915"/>
      <c r="Y616" s="2949">
        <f t="shared" si="9"/>
        <v>0</v>
      </c>
      <c r="Z616" s="2950"/>
      <c r="AA616" s="2950"/>
      <c r="AB616" s="2950"/>
      <c r="AC616" s="2951"/>
      <c r="AD616" s="16"/>
      <c r="AF616" s="16"/>
      <c r="AG616" s="16"/>
      <c r="AH616" s="16"/>
      <c r="AI616" s="16"/>
      <c r="AJ616" s="16"/>
      <c r="AN616" s="1204"/>
    </row>
    <row r="617" spans="1:60">
      <c r="D617" s="16"/>
      <c r="E617" s="16"/>
      <c r="F617" s="16"/>
      <c r="G617" s="16"/>
      <c r="H617" s="16"/>
      <c r="I617" s="16"/>
      <c r="J617" s="2994" t="s">
        <v>292</v>
      </c>
      <c r="K617" s="2995"/>
      <c r="L617" s="2995"/>
      <c r="M617" s="2995"/>
      <c r="N617" s="2996"/>
      <c r="O617" s="2913">
        <f>Application!BK612</f>
        <v>0</v>
      </c>
      <c r="P617" s="2914"/>
      <c r="Q617" s="2914"/>
      <c r="R617" s="2914"/>
      <c r="S617" s="2915"/>
      <c r="T617" s="2913">
        <f>Application!CO612</f>
        <v>0</v>
      </c>
      <c r="U617" s="2914"/>
      <c r="V617" s="2914"/>
      <c r="W617" s="2914"/>
      <c r="X617" s="2915"/>
      <c r="Y617" s="2949">
        <f t="shared" si="9"/>
        <v>0</v>
      </c>
      <c r="Z617" s="2950"/>
      <c r="AA617" s="2950"/>
      <c r="AB617" s="2950"/>
      <c r="AC617" s="2951"/>
      <c r="AD617" s="16"/>
      <c r="AF617" s="16"/>
      <c r="AG617" s="16"/>
      <c r="AH617" s="16"/>
      <c r="AI617" s="16"/>
      <c r="AJ617" s="16"/>
      <c r="AN617" s="1204"/>
      <c r="AO617" s="46"/>
      <c r="AP617" s="30"/>
      <c r="AQ617" s="30"/>
      <c r="AR617" s="30"/>
      <c r="AS617" s="30"/>
      <c r="AT617" s="30"/>
    </row>
    <row r="618" spans="1:60">
      <c r="D618" s="16"/>
      <c r="E618" s="16"/>
      <c r="F618" s="16"/>
      <c r="G618" s="16"/>
      <c r="H618" s="16"/>
      <c r="I618" s="16"/>
      <c r="J618" s="2994" t="s">
        <v>291</v>
      </c>
      <c r="K618" s="2995"/>
      <c r="L618" s="2995"/>
      <c r="M618" s="2995"/>
      <c r="N618" s="2996"/>
      <c r="O618" s="2913">
        <f>Application!BF612</f>
        <v>0</v>
      </c>
      <c r="P618" s="2914"/>
      <c r="Q618" s="2914"/>
      <c r="R618" s="2914"/>
      <c r="S618" s="2915"/>
      <c r="T618" s="2913">
        <f>Application!CJ612</f>
        <v>0</v>
      </c>
      <c r="U618" s="2914"/>
      <c r="V618" s="2914"/>
      <c r="W618" s="2914"/>
      <c r="X618" s="2915"/>
      <c r="Y618" s="2949">
        <f t="shared" si="9"/>
        <v>0</v>
      </c>
      <c r="Z618" s="2950"/>
      <c r="AA618" s="2950"/>
      <c r="AB618" s="2950"/>
      <c r="AC618" s="2951"/>
      <c r="AD618" s="16"/>
      <c r="AF618" s="16"/>
      <c r="AG618" s="16"/>
      <c r="AH618" s="16"/>
      <c r="AI618" s="16"/>
      <c r="AJ618" s="16"/>
      <c r="AN618" s="1204"/>
      <c r="AQ618" s="30"/>
      <c r="AR618" s="30"/>
      <c r="AS618" s="30"/>
      <c r="AT618" s="30"/>
    </row>
    <row r="619" spans="1:60">
      <c r="D619" s="16"/>
      <c r="E619" s="16"/>
      <c r="F619" s="16"/>
      <c r="G619" s="16"/>
      <c r="H619" s="16"/>
      <c r="I619" s="16"/>
      <c r="J619" s="2994" t="s">
        <v>688</v>
      </c>
      <c r="K619" s="2995"/>
      <c r="L619" s="2995"/>
      <c r="M619" s="2995"/>
      <c r="N619" s="2996"/>
      <c r="O619" s="2913">
        <f>Application!BA612</f>
        <v>100</v>
      </c>
      <c r="P619" s="2914"/>
      <c r="Q619" s="2914"/>
      <c r="R619" s="2914"/>
      <c r="S619" s="2915"/>
      <c r="T619" s="2913">
        <f>Application!CE612</f>
        <v>10</v>
      </c>
      <c r="U619" s="2914"/>
      <c r="V619" s="2914"/>
      <c r="W619" s="2914"/>
      <c r="X619" s="2915"/>
      <c r="Y619" s="2949">
        <f t="shared" si="9"/>
        <v>0.1</v>
      </c>
      <c r="Z619" s="2950"/>
      <c r="AA619" s="2950"/>
      <c r="AB619" s="2950"/>
      <c r="AC619" s="2951"/>
      <c r="AD619" s="16"/>
      <c r="AF619" s="16"/>
      <c r="AG619" s="16"/>
      <c r="AH619" s="16"/>
      <c r="AI619" s="16"/>
      <c r="AJ619" s="16"/>
      <c r="AN619" s="1204"/>
      <c r="AQ619" s="30"/>
      <c r="AR619" s="30"/>
      <c r="AS619" s="30"/>
      <c r="AT619" s="30"/>
    </row>
    <row r="620" spans="1:60">
      <c r="D620" s="16"/>
      <c r="E620" s="16"/>
      <c r="F620" s="16"/>
      <c r="G620" s="16"/>
      <c r="H620" s="16"/>
      <c r="I620" s="16"/>
      <c r="J620" s="3141" t="s">
        <v>984</v>
      </c>
      <c r="K620" s="3142"/>
      <c r="L620" s="3142"/>
      <c r="M620" s="3142"/>
      <c r="N620" s="3143"/>
      <c r="O620" s="3138">
        <f>SUM(O614:S619)</f>
        <v>100</v>
      </c>
      <c r="P620" s="3139"/>
      <c r="Q620" s="3139"/>
      <c r="R620" s="3139"/>
      <c r="S620" s="3140"/>
      <c r="T620" s="3138">
        <f>SUM(T614:X619)</f>
        <v>10</v>
      </c>
      <c r="U620" s="3139"/>
      <c r="V620" s="3139"/>
      <c r="W620" s="3139"/>
      <c r="X620" s="3140"/>
      <c r="Y620" s="2945" t="s">
        <v>259</v>
      </c>
      <c r="Z620" s="2946"/>
      <c r="AA620" s="2946"/>
      <c r="AB620" s="2946"/>
      <c r="AC620" s="294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2344" t="s">
        <v>1725</v>
      </c>
      <c r="B623" s="2345"/>
      <c r="C623" s="2345"/>
      <c r="D623" s="2345"/>
      <c r="E623" s="2345"/>
      <c r="F623" s="2345"/>
      <c r="G623" s="2345"/>
      <c r="H623" s="2345"/>
      <c r="I623" s="2345"/>
      <c r="J623" s="2345"/>
      <c r="K623" s="2345"/>
      <c r="L623" s="2345"/>
      <c r="M623" s="2345"/>
      <c r="N623" s="2345"/>
      <c r="O623" s="2345"/>
      <c r="P623" s="2345"/>
      <c r="Q623" s="2345"/>
      <c r="R623" s="2345"/>
      <c r="S623" s="2345"/>
      <c r="T623" s="2345"/>
      <c r="U623" s="2345"/>
      <c r="V623" s="2345"/>
      <c r="W623" s="2345"/>
      <c r="X623" s="2345"/>
      <c r="Y623" s="2345"/>
      <c r="Z623" s="2345"/>
      <c r="AA623" s="2345"/>
      <c r="AB623" s="2345"/>
      <c r="AC623" s="2345"/>
      <c r="AD623" s="2345"/>
      <c r="AE623" s="2345"/>
      <c r="AF623" s="2345"/>
      <c r="AG623" s="2345"/>
      <c r="AH623" s="2345"/>
      <c r="AI623" s="2346"/>
      <c r="AJ623" s="3129">
        <v>2</v>
      </c>
      <c r="AK623" s="313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961" t="s">
        <v>197</v>
      </c>
      <c r="B625" s="2961"/>
      <c r="C625" s="2961"/>
      <c r="D625" s="2961"/>
      <c r="E625" s="2961"/>
      <c r="F625" s="2961"/>
      <c r="G625" s="2961"/>
      <c r="H625" s="2961"/>
      <c r="I625" s="2961"/>
      <c r="J625" s="2961"/>
      <c r="K625" s="2961"/>
      <c r="L625" s="2961"/>
      <c r="M625" s="2961"/>
      <c r="N625" s="2961"/>
      <c r="O625" s="2961"/>
      <c r="P625" s="2961"/>
      <c r="Q625" s="2961"/>
      <c r="R625" s="2961"/>
      <c r="S625" s="2961"/>
      <c r="T625" s="2961"/>
      <c r="U625" s="2961"/>
      <c r="V625" s="2961"/>
      <c r="W625" s="2961"/>
      <c r="X625" s="2961"/>
      <c r="Y625" s="2961"/>
      <c r="Z625" s="2961"/>
      <c r="AA625" s="2961"/>
      <c r="AB625" s="2961"/>
      <c r="AC625" s="2961"/>
      <c r="AD625" s="2961"/>
      <c r="AE625" s="2961"/>
      <c r="AF625" s="2961"/>
      <c r="AG625" s="2961"/>
      <c r="AH625" s="2961"/>
      <c r="AI625" s="2961"/>
      <c r="AJ625" s="2961"/>
      <c r="AK625" s="2754">
        <f>IF($AC$599=0,0,$AC$599+$AJ$623)</f>
        <v>62</v>
      </c>
      <c r="AL625" s="2755"/>
      <c r="AM625" s="2756"/>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993" t="s">
        <v>1726</v>
      </c>
      <c r="C629" s="2993"/>
      <c r="D629" s="2993"/>
      <c r="E629" s="2993"/>
      <c r="F629" s="2993"/>
      <c r="G629" s="2993"/>
      <c r="H629" s="2993"/>
      <c r="I629" s="2993"/>
      <c r="J629" s="2993"/>
      <c r="K629" s="2993"/>
      <c r="L629" s="2993"/>
      <c r="M629" s="2993"/>
      <c r="N629" s="2993"/>
      <c r="O629" s="2993"/>
      <c r="P629" s="2993"/>
      <c r="Q629" s="2993"/>
      <c r="R629" s="2993"/>
      <c r="S629" s="2993"/>
      <c r="T629" s="2993"/>
      <c r="U629" s="2993"/>
      <c r="V629" s="2993"/>
      <c r="W629" s="2993"/>
      <c r="X629" s="2993"/>
      <c r="Y629" s="2993"/>
      <c r="Z629" s="2993"/>
      <c r="AA629" s="2993"/>
      <c r="AB629" s="2993"/>
      <c r="AC629" s="2993"/>
      <c r="AD629" s="2993"/>
      <c r="AE629" s="2993"/>
      <c r="AF629" s="2993"/>
      <c r="AG629" s="2993"/>
      <c r="AH629" s="2993"/>
      <c r="AI629" s="27"/>
      <c r="AJ629" s="46"/>
      <c r="AK629" s="165"/>
      <c r="AL629" s="165"/>
      <c r="AM629" s="165"/>
      <c r="AN629" s="1204"/>
      <c r="AO629" s="66"/>
      <c r="AP629" s="30"/>
      <c r="AQ629" s="30"/>
      <c r="AR629" s="30"/>
      <c r="AS629" s="30"/>
      <c r="AT629" s="30"/>
    </row>
    <row r="630" spans="1:60" ht="22.7" customHeight="1">
      <c r="A630" s="28"/>
      <c r="B630" s="2993"/>
      <c r="C630" s="2993"/>
      <c r="D630" s="2993"/>
      <c r="E630" s="2993"/>
      <c r="F630" s="2993"/>
      <c r="G630" s="2993"/>
      <c r="H630" s="2993"/>
      <c r="I630" s="2993"/>
      <c r="J630" s="2993"/>
      <c r="K630" s="2993"/>
      <c r="L630" s="2993"/>
      <c r="M630" s="2993"/>
      <c r="N630" s="2993"/>
      <c r="O630" s="2993"/>
      <c r="P630" s="2993"/>
      <c r="Q630" s="2993"/>
      <c r="R630" s="2993"/>
      <c r="S630" s="2993"/>
      <c r="T630" s="2993"/>
      <c r="U630" s="2993"/>
      <c r="V630" s="2993"/>
      <c r="W630" s="2993"/>
      <c r="X630" s="2993"/>
      <c r="Y630" s="2993"/>
      <c r="Z630" s="2993"/>
      <c r="AA630" s="2993"/>
      <c r="AB630" s="2993"/>
      <c r="AC630" s="2993"/>
      <c r="AD630" s="2993"/>
      <c r="AE630" s="2993"/>
      <c r="AF630" s="2993"/>
      <c r="AG630" s="2993"/>
      <c r="AH630" s="2993"/>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2343" t="s">
        <v>118</v>
      </c>
      <c r="D633" s="2343"/>
      <c r="E633" s="305" t="s">
        <v>648</v>
      </c>
      <c r="F633" s="2904" t="s">
        <v>2260</v>
      </c>
      <c r="G633" s="2905"/>
      <c r="H633" s="2905"/>
      <c r="I633" s="2905"/>
      <c r="J633" s="2905"/>
      <c r="K633" s="2905"/>
      <c r="L633" s="2905"/>
      <c r="M633" s="2905"/>
      <c r="N633" s="2905"/>
      <c r="O633" s="2905"/>
      <c r="P633" s="2905"/>
      <c r="Q633" s="2905"/>
      <c r="R633" s="2905"/>
      <c r="S633" s="2905"/>
      <c r="T633" s="2905"/>
      <c r="U633" s="2905"/>
      <c r="V633" s="2905"/>
      <c r="W633" s="2905"/>
      <c r="X633" s="2905"/>
      <c r="Y633" s="2905"/>
      <c r="Z633" s="2905"/>
      <c r="AA633" s="2905"/>
      <c r="AB633" s="2905"/>
      <c r="AC633" s="2905"/>
      <c r="AD633" s="2906"/>
      <c r="AE633" s="46"/>
      <c r="AF633" s="277"/>
      <c r="AG633" s="3147" t="s">
        <v>63</v>
      </c>
      <c r="AH633" s="3147"/>
      <c r="AI633" s="3147"/>
      <c r="AJ633" s="3147"/>
      <c r="AK633" s="165"/>
      <c r="AL633" s="165"/>
      <c r="AM633" s="165"/>
      <c r="AN633" s="1204"/>
      <c r="AO633" s="46">
        <f>IF($C$633="yes",5,0)</f>
        <v>5</v>
      </c>
      <c r="AS633" s="30"/>
      <c r="AT633" s="30"/>
    </row>
    <row r="634" spans="1:60" ht="13.7" customHeight="1">
      <c r="A634" s="28"/>
      <c r="B634" s="215"/>
      <c r="C634" s="77"/>
      <c r="D634" s="46"/>
      <c r="E634" s="305"/>
      <c r="F634" s="2910"/>
      <c r="G634" s="2911"/>
      <c r="H634" s="2911"/>
      <c r="I634" s="2911"/>
      <c r="J634" s="2911"/>
      <c r="K634" s="2911"/>
      <c r="L634" s="2911"/>
      <c r="M634" s="2911"/>
      <c r="N634" s="2911"/>
      <c r="O634" s="2911"/>
      <c r="P634" s="2911"/>
      <c r="Q634" s="2911"/>
      <c r="R634" s="2911"/>
      <c r="S634" s="2911"/>
      <c r="T634" s="2911"/>
      <c r="U634" s="2911"/>
      <c r="V634" s="2911"/>
      <c r="W634" s="2911"/>
      <c r="X634" s="2911"/>
      <c r="Y634" s="2911"/>
      <c r="Z634" s="2911"/>
      <c r="AA634" s="2911"/>
      <c r="AB634" s="2911"/>
      <c r="AC634" s="2911"/>
      <c r="AD634" s="2912"/>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5</v>
      </c>
      <c r="AP635" s="64" t="s">
        <v>360</v>
      </c>
      <c r="AS635" s="30"/>
      <c r="AT635" s="30"/>
    </row>
    <row r="636" spans="1:60" ht="13.7" customHeight="1">
      <c r="A636" s="28"/>
      <c r="B636" s="215"/>
      <c r="C636" s="2343" t="s">
        <v>135</v>
      </c>
      <c r="D636" s="2343"/>
      <c r="E636" s="305" t="s">
        <v>214</v>
      </c>
      <c r="F636" s="2904" t="s">
        <v>2272</v>
      </c>
      <c r="G636" s="2905"/>
      <c r="H636" s="2905"/>
      <c r="I636" s="2905"/>
      <c r="J636" s="2905"/>
      <c r="K636" s="2905"/>
      <c r="L636" s="2905"/>
      <c r="M636" s="2905"/>
      <c r="N636" s="2905"/>
      <c r="O636" s="2905"/>
      <c r="P636" s="2905"/>
      <c r="Q636" s="2905"/>
      <c r="R636" s="2905"/>
      <c r="S636" s="2905"/>
      <c r="T636" s="2905"/>
      <c r="U636" s="2905"/>
      <c r="V636" s="2905"/>
      <c r="W636" s="2905"/>
      <c r="X636" s="2905"/>
      <c r="Y636" s="2905"/>
      <c r="Z636" s="2905"/>
      <c r="AA636" s="2905"/>
      <c r="AB636" s="2905"/>
      <c r="AC636" s="2905"/>
      <c r="AD636" s="2906"/>
      <c r="AE636" s="46"/>
      <c r="AF636" s="277"/>
      <c r="AG636" s="3147" t="s">
        <v>63</v>
      </c>
      <c r="AH636" s="3147"/>
      <c r="AI636" s="3147"/>
      <c r="AJ636" s="3147"/>
      <c r="AK636" s="165"/>
      <c r="AL636" s="165"/>
      <c r="AM636" s="165"/>
      <c r="AN636" s="1204"/>
      <c r="AS636" s="30"/>
      <c r="AT636" s="30"/>
    </row>
    <row r="637" spans="1:60">
      <c r="A637" s="28"/>
      <c r="B637" s="215"/>
      <c r="C637" s="77"/>
      <c r="D637" s="46"/>
      <c r="E637" s="305"/>
      <c r="F637" s="2907"/>
      <c r="G637" s="2908"/>
      <c r="H637" s="2908"/>
      <c r="I637" s="2908"/>
      <c r="J637" s="2908"/>
      <c r="K637" s="2908"/>
      <c r="L637" s="2908"/>
      <c r="M637" s="2908"/>
      <c r="N637" s="2908"/>
      <c r="O637" s="2908"/>
      <c r="P637" s="2908"/>
      <c r="Q637" s="2908"/>
      <c r="R637" s="2908"/>
      <c r="S637" s="2908"/>
      <c r="T637" s="2908"/>
      <c r="U637" s="2908"/>
      <c r="V637" s="2908"/>
      <c r="W637" s="2908"/>
      <c r="X637" s="2908"/>
      <c r="Y637" s="2908"/>
      <c r="Z637" s="2908"/>
      <c r="AA637" s="2908"/>
      <c r="AB637" s="2908"/>
      <c r="AC637" s="2908"/>
      <c r="AD637" s="2909"/>
      <c r="AE637" s="46"/>
      <c r="AF637" s="277"/>
      <c r="AG637" s="277"/>
      <c r="AH637" s="277"/>
      <c r="AI637" s="277"/>
      <c r="AJ637" s="46"/>
      <c r="AK637" s="165"/>
      <c r="AL637" s="165"/>
      <c r="AM637" s="165"/>
      <c r="AN637" s="1204"/>
      <c r="AS637" s="30"/>
      <c r="AT637" s="30"/>
    </row>
    <row r="638" spans="1:60">
      <c r="A638" s="28"/>
      <c r="B638" s="215"/>
      <c r="C638" s="77"/>
      <c r="D638" s="46"/>
      <c r="E638" s="305"/>
      <c r="F638" s="2907"/>
      <c r="G638" s="2908"/>
      <c r="H638" s="2908"/>
      <c r="I638" s="2908"/>
      <c r="J638" s="2908"/>
      <c r="K638" s="2908"/>
      <c r="L638" s="2908"/>
      <c r="M638" s="2908"/>
      <c r="N638" s="2908"/>
      <c r="O638" s="2908"/>
      <c r="P638" s="2908"/>
      <c r="Q638" s="2908"/>
      <c r="R638" s="2908"/>
      <c r="S638" s="2908"/>
      <c r="T638" s="2908"/>
      <c r="U638" s="2908"/>
      <c r="V638" s="2908"/>
      <c r="W638" s="2908"/>
      <c r="X638" s="2908"/>
      <c r="Y638" s="2908"/>
      <c r="Z638" s="2908"/>
      <c r="AA638" s="2908"/>
      <c r="AB638" s="2908"/>
      <c r="AC638" s="2908"/>
      <c r="AD638" s="2909"/>
      <c r="AE638" s="46"/>
      <c r="AF638" s="277"/>
      <c r="AG638" s="277"/>
      <c r="AH638" s="277"/>
      <c r="AI638" s="277"/>
      <c r="AJ638" s="46"/>
      <c r="AK638" s="165"/>
      <c r="AL638" s="165"/>
      <c r="AM638" s="165"/>
      <c r="AN638" s="1204"/>
      <c r="AS638" s="30"/>
      <c r="AT638" s="30"/>
    </row>
    <row r="639" spans="1:60" ht="13.7" customHeight="1">
      <c r="A639" s="28"/>
      <c r="C639" s="1029"/>
      <c r="D639" s="1029"/>
      <c r="E639" s="1029"/>
      <c r="F639" s="2910"/>
      <c r="G639" s="2911"/>
      <c r="H639" s="2911"/>
      <c r="I639" s="2911"/>
      <c r="J639" s="2911"/>
      <c r="K639" s="2911"/>
      <c r="L639" s="2911"/>
      <c r="M639" s="2911"/>
      <c r="N639" s="2911"/>
      <c r="O639" s="2911"/>
      <c r="P639" s="2911"/>
      <c r="Q639" s="2911"/>
      <c r="R639" s="2911"/>
      <c r="S639" s="2911"/>
      <c r="T639" s="2911"/>
      <c r="U639" s="2911"/>
      <c r="V639" s="2911"/>
      <c r="W639" s="2911"/>
      <c r="X639" s="2911"/>
      <c r="Y639" s="2911"/>
      <c r="Z639" s="2911"/>
      <c r="AA639" s="2911"/>
      <c r="AB639" s="2911"/>
      <c r="AC639" s="2911"/>
      <c r="AD639" s="291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993" t="s">
        <v>2138</v>
      </c>
      <c r="C642" s="2993"/>
      <c r="D642" s="2993"/>
      <c r="E642" s="2993"/>
      <c r="F642" s="2993"/>
      <c r="G642" s="2993"/>
      <c r="H642" s="2993"/>
      <c r="I642" s="2993"/>
      <c r="J642" s="2993"/>
      <c r="K642" s="2993"/>
      <c r="L642" s="2993"/>
      <c r="M642" s="2993"/>
      <c r="N642" s="2993"/>
      <c r="O642" s="2993"/>
      <c r="P642" s="2993"/>
      <c r="Q642" s="2993"/>
      <c r="R642" s="2993"/>
      <c r="S642" s="2993"/>
      <c r="T642" s="2993"/>
      <c r="U642" s="2993"/>
      <c r="V642" s="2993"/>
      <c r="W642" s="2993"/>
      <c r="X642" s="2993"/>
      <c r="Y642" s="2993"/>
      <c r="Z642" s="2993"/>
      <c r="AA642" s="2993"/>
      <c r="AB642" s="2993"/>
      <c r="AC642" s="2993"/>
      <c r="AD642" s="2993"/>
      <c r="AE642" s="2993"/>
      <c r="AF642" s="2993"/>
      <c r="AG642" s="2993"/>
      <c r="AH642" s="2993"/>
      <c r="AI642" s="277"/>
      <c r="AJ642" s="46"/>
      <c r="AK642" s="165"/>
      <c r="AL642" s="165"/>
      <c r="AM642" s="165"/>
    </row>
    <row r="643" spans="1:46" ht="13.7" customHeight="1">
      <c r="B643" s="2993"/>
      <c r="C643" s="2993"/>
      <c r="D643" s="2993"/>
      <c r="E643" s="2993"/>
      <c r="F643" s="2993"/>
      <c r="G643" s="2993"/>
      <c r="H643" s="2993"/>
      <c r="I643" s="2993"/>
      <c r="J643" s="2993"/>
      <c r="K643" s="2993"/>
      <c r="L643" s="2993"/>
      <c r="M643" s="2993"/>
      <c r="N643" s="2993"/>
      <c r="O643" s="2993"/>
      <c r="P643" s="2993"/>
      <c r="Q643" s="2993"/>
      <c r="R643" s="2993"/>
      <c r="S643" s="2993"/>
      <c r="T643" s="2993"/>
      <c r="U643" s="2993"/>
      <c r="V643" s="2993"/>
      <c r="W643" s="2993"/>
      <c r="X643" s="2993"/>
      <c r="Y643" s="2993"/>
      <c r="Z643" s="2993"/>
      <c r="AA643" s="2993"/>
      <c r="AB643" s="2993"/>
      <c r="AC643" s="2993"/>
      <c r="AD643" s="2993"/>
      <c r="AE643" s="2993"/>
      <c r="AF643" s="2993"/>
      <c r="AG643" s="2993"/>
      <c r="AH643" s="2993"/>
      <c r="AI643" s="257"/>
      <c r="AJ643" s="46"/>
      <c r="AK643" s="165"/>
      <c r="AL643" s="165"/>
      <c r="AM643" s="165"/>
    </row>
    <row r="644" spans="1:46" ht="13.7" customHeight="1">
      <c r="A644" s="275"/>
      <c r="B644" s="2993"/>
      <c r="C644" s="2993"/>
      <c r="D644" s="2993"/>
      <c r="E644" s="2993"/>
      <c r="F644" s="2993"/>
      <c r="G644" s="2993"/>
      <c r="H644" s="2993"/>
      <c r="I644" s="2993"/>
      <c r="J644" s="2993"/>
      <c r="K644" s="2993"/>
      <c r="L644" s="2993"/>
      <c r="M644" s="2993"/>
      <c r="N644" s="2993"/>
      <c r="O644" s="2993"/>
      <c r="P644" s="2993"/>
      <c r="Q644" s="2993"/>
      <c r="R644" s="2993"/>
      <c r="S644" s="2993"/>
      <c r="T644" s="2993"/>
      <c r="U644" s="2993"/>
      <c r="V644" s="2993"/>
      <c r="W644" s="2993"/>
      <c r="X644" s="2993"/>
      <c r="Y644" s="2993"/>
      <c r="Z644" s="2993"/>
      <c r="AA644" s="2993"/>
      <c r="AB644" s="2993"/>
      <c r="AC644" s="2993"/>
      <c r="AD644" s="2993"/>
      <c r="AE644" s="2993"/>
      <c r="AF644" s="2993"/>
      <c r="AG644" s="2993"/>
      <c r="AH644" s="2993"/>
      <c r="AI644" s="257"/>
      <c r="AJ644" s="46"/>
      <c r="AK644" s="165"/>
      <c r="AL644" s="165"/>
      <c r="AM644" s="165"/>
      <c r="AN644" s="127"/>
    </row>
    <row r="645" spans="1:46" ht="13.7" customHeight="1">
      <c r="A645" s="46"/>
      <c r="B645" s="2993"/>
      <c r="C645" s="2993"/>
      <c r="D645" s="2993"/>
      <c r="E645" s="2993"/>
      <c r="F645" s="2993"/>
      <c r="G645" s="2993"/>
      <c r="H645" s="2993"/>
      <c r="I645" s="2993"/>
      <c r="J645" s="2993"/>
      <c r="K645" s="2993"/>
      <c r="L645" s="2993"/>
      <c r="M645" s="2993"/>
      <c r="N645" s="2993"/>
      <c r="O645" s="2993"/>
      <c r="P645" s="2993"/>
      <c r="Q645" s="2993"/>
      <c r="R645" s="2993"/>
      <c r="S645" s="2993"/>
      <c r="T645" s="2993"/>
      <c r="U645" s="2993"/>
      <c r="V645" s="2993"/>
      <c r="W645" s="2993"/>
      <c r="X645" s="2993"/>
      <c r="Y645" s="2993"/>
      <c r="Z645" s="2993"/>
      <c r="AA645" s="2993"/>
      <c r="AB645" s="2993"/>
      <c r="AC645" s="2993"/>
      <c r="AD645" s="2993"/>
      <c r="AE645" s="2993"/>
      <c r="AF645" s="2993"/>
      <c r="AG645" s="2993"/>
      <c r="AH645" s="2993"/>
      <c r="AI645" s="257"/>
      <c r="AJ645" s="46"/>
      <c r="AK645" s="165"/>
      <c r="AL645" s="165"/>
      <c r="AM645" s="165"/>
      <c r="AN645" s="127"/>
    </row>
    <row r="646" spans="1:46" ht="13.7" customHeight="1">
      <c r="A646" s="46"/>
      <c r="B646" s="2993"/>
      <c r="C646" s="2993"/>
      <c r="D646" s="2993"/>
      <c r="E646" s="2993"/>
      <c r="F646" s="2993"/>
      <c r="G646" s="2993"/>
      <c r="H646" s="2993"/>
      <c r="I646" s="2993"/>
      <c r="J646" s="2993"/>
      <c r="K646" s="2993"/>
      <c r="L646" s="2993"/>
      <c r="M646" s="2993"/>
      <c r="N646" s="2993"/>
      <c r="O646" s="2993"/>
      <c r="P646" s="2993"/>
      <c r="Q646" s="2993"/>
      <c r="R646" s="2993"/>
      <c r="S646" s="2993"/>
      <c r="T646" s="2993"/>
      <c r="U646" s="2993"/>
      <c r="V646" s="2993"/>
      <c r="W646" s="2993"/>
      <c r="X646" s="2993"/>
      <c r="Y646" s="2993"/>
      <c r="Z646" s="2993"/>
      <c r="AA646" s="2993"/>
      <c r="AB646" s="2993"/>
      <c r="AC646" s="2993"/>
      <c r="AD646" s="2993"/>
      <c r="AE646" s="2993"/>
      <c r="AF646" s="2993"/>
      <c r="AG646" s="2993"/>
      <c r="AH646" s="2993"/>
      <c r="AI646" s="257"/>
      <c r="AJ646" s="46"/>
      <c r="AK646" s="165"/>
      <c r="AL646" s="165"/>
      <c r="AM646" s="165"/>
      <c r="AN646" s="127"/>
    </row>
    <row r="647" spans="1:46" ht="13.7" customHeight="1">
      <c r="A647" s="275"/>
      <c r="B647" s="2993"/>
      <c r="C647" s="2993"/>
      <c r="D647" s="2993"/>
      <c r="E647" s="2993"/>
      <c r="F647" s="2993"/>
      <c r="G647" s="2993"/>
      <c r="H647" s="2993"/>
      <c r="I647" s="2993"/>
      <c r="J647" s="2993"/>
      <c r="K647" s="2993"/>
      <c r="L647" s="2993"/>
      <c r="M647" s="2993"/>
      <c r="N647" s="2993"/>
      <c r="O647" s="2993"/>
      <c r="P647" s="2993"/>
      <c r="Q647" s="2993"/>
      <c r="R647" s="2993"/>
      <c r="S647" s="2993"/>
      <c r="T647" s="2993"/>
      <c r="U647" s="2993"/>
      <c r="V647" s="2993"/>
      <c r="W647" s="2993"/>
      <c r="X647" s="2993"/>
      <c r="Y647" s="2993"/>
      <c r="Z647" s="2993"/>
      <c r="AA647" s="2993"/>
      <c r="AB647" s="2993"/>
      <c r="AC647" s="2993"/>
      <c r="AD647" s="2993"/>
      <c r="AE647" s="2993"/>
      <c r="AF647" s="2993"/>
      <c r="AG647" s="2993"/>
      <c r="AH647" s="2993"/>
      <c r="AI647" s="257"/>
      <c r="AJ647" s="46"/>
      <c r="AK647" s="165"/>
      <c r="AL647" s="165"/>
      <c r="AM647" s="165"/>
      <c r="AN647" s="127"/>
    </row>
    <row r="648" spans="1:46" ht="13.7" customHeight="1">
      <c r="A648" s="275"/>
      <c r="B648" s="2993"/>
      <c r="C648" s="2993"/>
      <c r="D648" s="2993"/>
      <c r="E648" s="2993"/>
      <c r="F648" s="2993"/>
      <c r="G648" s="2993"/>
      <c r="H648" s="2993"/>
      <c r="I648" s="2993"/>
      <c r="J648" s="2993"/>
      <c r="K648" s="2993"/>
      <c r="L648" s="2993"/>
      <c r="M648" s="2993"/>
      <c r="N648" s="2993"/>
      <c r="O648" s="2993"/>
      <c r="P648" s="2993"/>
      <c r="Q648" s="2993"/>
      <c r="R648" s="2993"/>
      <c r="S648" s="2993"/>
      <c r="T648" s="2993"/>
      <c r="U648" s="2993"/>
      <c r="V648" s="2993"/>
      <c r="W648" s="2993"/>
      <c r="X648" s="2993"/>
      <c r="Y648" s="2993"/>
      <c r="Z648" s="2993"/>
      <c r="AA648" s="2993"/>
      <c r="AB648" s="2993"/>
      <c r="AC648" s="2993"/>
      <c r="AD648" s="2993"/>
      <c r="AE648" s="2993"/>
      <c r="AF648" s="2993"/>
      <c r="AG648" s="2993"/>
      <c r="AH648" s="2993"/>
      <c r="AI648" s="257"/>
      <c r="AJ648" s="46"/>
      <c r="AK648" s="165"/>
      <c r="AL648" s="165"/>
      <c r="AM648" s="165"/>
      <c r="AN648" s="127"/>
    </row>
    <row r="649" spans="1:46" ht="13.7" customHeight="1">
      <c r="A649" s="275"/>
      <c r="B649" s="2993"/>
      <c r="C649" s="2993"/>
      <c r="D649" s="2993"/>
      <c r="E649" s="2993"/>
      <c r="F649" s="2993"/>
      <c r="G649" s="2993"/>
      <c r="H649" s="2993"/>
      <c r="I649" s="2993"/>
      <c r="J649" s="2993"/>
      <c r="K649" s="2993"/>
      <c r="L649" s="2993"/>
      <c r="M649" s="2993"/>
      <c r="N649" s="2993"/>
      <c r="O649" s="2993"/>
      <c r="P649" s="2993"/>
      <c r="Q649" s="2993"/>
      <c r="R649" s="2993"/>
      <c r="S649" s="2993"/>
      <c r="T649" s="2993"/>
      <c r="U649" s="2993"/>
      <c r="V649" s="2993"/>
      <c r="W649" s="2993"/>
      <c r="X649" s="2993"/>
      <c r="Y649" s="2993"/>
      <c r="Z649" s="2993"/>
      <c r="AA649" s="2993"/>
      <c r="AB649" s="2993"/>
      <c r="AC649" s="2993"/>
      <c r="AD649" s="2993"/>
      <c r="AE649" s="2993"/>
      <c r="AF649" s="2993"/>
      <c r="AG649" s="2993"/>
      <c r="AH649" s="2993"/>
      <c r="AI649" s="257"/>
      <c r="AJ649" s="46"/>
      <c r="AK649" s="165"/>
      <c r="AL649" s="165"/>
      <c r="AM649" s="165"/>
      <c r="AN649" s="127"/>
    </row>
    <row r="650" spans="1:46" ht="13.7" customHeight="1">
      <c r="A650" s="275"/>
      <c r="B650" s="2993"/>
      <c r="C650" s="2993"/>
      <c r="D650" s="2993"/>
      <c r="E650" s="2993"/>
      <c r="F650" s="2993"/>
      <c r="G650" s="2993"/>
      <c r="H650" s="2993"/>
      <c r="I650" s="2993"/>
      <c r="J650" s="2993"/>
      <c r="K650" s="2993"/>
      <c r="L650" s="2993"/>
      <c r="M650" s="2993"/>
      <c r="N650" s="2993"/>
      <c r="O650" s="2993"/>
      <c r="P650" s="2993"/>
      <c r="Q650" s="2993"/>
      <c r="R650" s="2993"/>
      <c r="S650" s="2993"/>
      <c r="T650" s="2993"/>
      <c r="U650" s="2993"/>
      <c r="V650" s="2993"/>
      <c r="W650" s="2993"/>
      <c r="X650" s="2993"/>
      <c r="Y650" s="2993"/>
      <c r="Z650" s="2993"/>
      <c r="AA650" s="2993"/>
      <c r="AB650" s="2993"/>
      <c r="AC650" s="2993"/>
      <c r="AD650" s="2993"/>
      <c r="AE650" s="2993"/>
      <c r="AF650" s="2993"/>
      <c r="AG650" s="2993"/>
      <c r="AH650" s="2993"/>
      <c r="AI650" s="257"/>
      <c r="AJ650" s="46"/>
      <c r="AK650" s="165"/>
      <c r="AL650" s="165"/>
      <c r="AM650" s="165"/>
      <c r="AN650" s="127"/>
    </row>
    <row r="651" spans="1:46">
      <c r="A651" s="275"/>
      <c r="B651" s="2993"/>
      <c r="C651" s="2993"/>
      <c r="D651" s="2993"/>
      <c r="E651" s="2993"/>
      <c r="F651" s="2993"/>
      <c r="G651" s="2993"/>
      <c r="H651" s="2993"/>
      <c r="I651" s="2993"/>
      <c r="J651" s="2993"/>
      <c r="K651" s="2993"/>
      <c r="L651" s="2993"/>
      <c r="M651" s="2993"/>
      <c r="N651" s="2993"/>
      <c r="O651" s="2993"/>
      <c r="P651" s="2993"/>
      <c r="Q651" s="2993"/>
      <c r="R651" s="2993"/>
      <c r="S651" s="2993"/>
      <c r="T651" s="2993"/>
      <c r="U651" s="2993"/>
      <c r="V651" s="2993"/>
      <c r="W651" s="2993"/>
      <c r="X651" s="2993"/>
      <c r="Y651" s="2993"/>
      <c r="Z651" s="2993"/>
      <c r="AA651" s="2993"/>
      <c r="AB651" s="2993"/>
      <c r="AC651" s="2993"/>
      <c r="AD651" s="2993"/>
      <c r="AE651" s="2993"/>
      <c r="AF651" s="2993"/>
      <c r="AG651" s="2993"/>
      <c r="AH651" s="2993"/>
      <c r="AI651" s="257"/>
      <c r="AJ651" s="46"/>
      <c r="AK651" s="165"/>
      <c r="AL651" s="165"/>
      <c r="AM651" s="165"/>
      <c r="AN651" s="127"/>
    </row>
    <row r="652" spans="1:46">
      <c r="A652" s="275"/>
      <c r="B652" s="2993"/>
      <c r="C652" s="2993"/>
      <c r="D652" s="2993"/>
      <c r="E652" s="2993"/>
      <c r="F652" s="2993"/>
      <c r="G652" s="2993"/>
      <c r="H652" s="2993"/>
      <c r="I652" s="2993"/>
      <c r="J652" s="2993"/>
      <c r="K652" s="2993"/>
      <c r="L652" s="2993"/>
      <c r="M652" s="2993"/>
      <c r="N652" s="2993"/>
      <c r="O652" s="2993"/>
      <c r="P652" s="2993"/>
      <c r="Q652" s="2993"/>
      <c r="R652" s="2993"/>
      <c r="S652" s="2993"/>
      <c r="T652" s="2993"/>
      <c r="U652" s="2993"/>
      <c r="V652" s="2993"/>
      <c r="W652" s="2993"/>
      <c r="X652" s="2993"/>
      <c r="Y652" s="2993"/>
      <c r="Z652" s="2993"/>
      <c r="AA652" s="2993"/>
      <c r="AB652" s="2993"/>
      <c r="AC652" s="2993"/>
      <c r="AD652" s="2993"/>
      <c r="AE652" s="2993"/>
      <c r="AF652" s="2993"/>
      <c r="AG652" s="2993"/>
      <c r="AH652" s="2993"/>
      <c r="AI652" s="257"/>
      <c r="AJ652" s="46"/>
      <c r="AK652" s="165"/>
      <c r="AL652" s="165"/>
      <c r="AM652" s="165"/>
      <c r="AN652" s="127"/>
    </row>
    <row r="653" spans="1:46">
      <c r="A653" s="275"/>
      <c r="B653" s="2993"/>
      <c r="C653" s="2993"/>
      <c r="D653" s="2993"/>
      <c r="E653" s="2993"/>
      <c r="F653" s="2993"/>
      <c r="G653" s="2993"/>
      <c r="H653" s="2993"/>
      <c r="I653" s="2993"/>
      <c r="J653" s="2993"/>
      <c r="K653" s="2993"/>
      <c r="L653" s="2993"/>
      <c r="M653" s="2993"/>
      <c r="N653" s="2993"/>
      <c r="O653" s="2993"/>
      <c r="P653" s="2993"/>
      <c r="Q653" s="2993"/>
      <c r="R653" s="2993"/>
      <c r="S653" s="2993"/>
      <c r="T653" s="2993"/>
      <c r="U653" s="2993"/>
      <c r="V653" s="2993"/>
      <c r="W653" s="2993"/>
      <c r="X653" s="2993"/>
      <c r="Y653" s="2993"/>
      <c r="Z653" s="2993"/>
      <c r="AA653" s="2993"/>
      <c r="AB653" s="2993"/>
      <c r="AC653" s="2993"/>
      <c r="AD653" s="2993"/>
      <c r="AE653" s="2993"/>
      <c r="AF653" s="2993"/>
      <c r="AG653" s="2993"/>
      <c r="AH653" s="2993"/>
      <c r="AI653" s="278"/>
      <c r="AJ653" s="46"/>
      <c r="AK653" s="165"/>
      <c r="AL653" s="165"/>
      <c r="AM653" s="165"/>
      <c r="AN653" s="127"/>
    </row>
    <row r="654" spans="1:46">
      <c r="A654" s="275"/>
      <c r="B654" s="2993"/>
      <c r="C654" s="2993"/>
      <c r="D654" s="2993"/>
      <c r="E654" s="2993"/>
      <c r="F654" s="2993"/>
      <c r="G654" s="2993"/>
      <c r="H654" s="2993"/>
      <c r="I654" s="2993"/>
      <c r="J654" s="2993"/>
      <c r="K654" s="2993"/>
      <c r="L654" s="2993"/>
      <c r="M654" s="2993"/>
      <c r="N654" s="2993"/>
      <c r="O654" s="2993"/>
      <c r="P654" s="2993"/>
      <c r="Q654" s="2993"/>
      <c r="R654" s="2993"/>
      <c r="S654" s="2993"/>
      <c r="T654" s="2993"/>
      <c r="U654" s="2993"/>
      <c r="V654" s="2993"/>
      <c r="W654" s="2993"/>
      <c r="X654" s="2993"/>
      <c r="Y654" s="2993"/>
      <c r="Z654" s="2993"/>
      <c r="AA654" s="2993"/>
      <c r="AB654" s="2993"/>
      <c r="AC654" s="2993"/>
      <c r="AD654" s="2993"/>
      <c r="AE654" s="2993"/>
      <c r="AF654" s="2993"/>
      <c r="AG654" s="2993"/>
      <c r="AH654" s="2993"/>
      <c r="AI654" s="278"/>
      <c r="AJ654" s="46"/>
      <c r="AK654" s="165"/>
      <c r="AL654" s="165"/>
      <c r="AM654" s="165"/>
      <c r="AN654" s="127"/>
      <c r="AO654" s="46">
        <f>IF($C$666="yes",2,0)</f>
        <v>0</v>
      </c>
      <c r="AQ654" s="30"/>
      <c r="AR654" s="30"/>
    </row>
    <row r="655" spans="1:46">
      <c r="A655" s="28"/>
      <c r="B655" s="2993"/>
      <c r="C655" s="2993"/>
      <c r="D655" s="2993"/>
      <c r="E655" s="2993"/>
      <c r="F655" s="2993"/>
      <c r="G655" s="2993"/>
      <c r="H655" s="2993"/>
      <c r="I655" s="2993"/>
      <c r="J655" s="2993"/>
      <c r="K655" s="2993"/>
      <c r="L655" s="2993"/>
      <c r="M655" s="2993"/>
      <c r="N655" s="2993"/>
      <c r="O655" s="2993"/>
      <c r="P655" s="2993"/>
      <c r="Q655" s="2993"/>
      <c r="R655" s="2993"/>
      <c r="S655" s="2993"/>
      <c r="T655" s="2993"/>
      <c r="U655" s="2993"/>
      <c r="V655" s="2993"/>
      <c r="W655" s="2993"/>
      <c r="X655" s="2993"/>
      <c r="Y655" s="2993"/>
      <c r="Z655" s="2993"/>
      <c r="AA655" s="2993"/>
      <c r="AB655" s="2993"/>
      <c r="AC655" s="2993"/>
      <c r="AD655" s="2993"/>
      <c r="AE655" s="2993"/>
      <c r="AF655" s="2993"/>
      <c r="AG655" s="2993"/>
      <c r="AH655" s="2993"/>
      <c r="AI655" s="278"/>
      <c r="AJ655" s="46"/>
      <c r="AK655" s="165"/>
      <c r="AL655" s="165"/>
      <c r="AM655" s="165"/>
      <c r="AN655" s="127"/>
      <c r="AO655" s="46">
        <f>IF($C$671="yes",2,0)</f>
        <v>0</v>
      </c>
      <c r="AQ655" s="30"/>
      <c r="AR655" s="30"/>
    </row>
    <row r="656" spans="1:46">
      <c r="A656" s="28"/>
      <c r="B656" s="2993"/>
      <c r="C656" s="2993"/>
      <c r="D656" s="2993"/>
      <c r="E656" s="2993"/>
      <c r="F656" s="2993"/>
      <c r="G656" s="2993"/>
      <c r="H656" s="2993"/>
      <c r="I656" s="2993"/>
      <c r="J656" s="2993"/>
      <c r="K656" s="2993"/>
      <c r="L656" s="2993"/>
      <c r="M656" s="2993"/>
      <c r="N656" s="2993"/>
      <c r="O656" s="2993"/>
      <c r="P656" s="2993"/>
      <c r="Q656" s="2993"/>
      <c r="R656" s="2993"/>
      <c r="S656" s="2993"/>
      <c r="T656" s="2993"/>
      <c r="U656" s="2993"/>
      <c r="V656" s="2993"/>
      <c r="W656" s="2993"/>
      <c r="X656" s="2993"/>
      <c r="Y656" s="2993"/>
      <c r="Z656" s="2993"/>
      <c r="AA656" s="2993"/>
      <c r="AB656" s="2993"/>
      <c r="AC656" s="2993"/>
      <c r="AD656" s="2993"/>
      <c r="AE656" s="2993"/>
      <c r="AF656" s="2993"/>
      <c r="AG656" s="2993"/>
      <c r="AH656" s="2993"/>
      <c r="AI656" s="278"/>
      <c r="AJ656" s="46"/>
      <c r="AK656" s="165"/>
      <c r="AL656" s="165"/>
      <c r="AM656" s="165"/>
      <c r="AN656" s="127"/>
      <c r="AO656" s="46">
        <f>IF($C$675="yes",2,0)</f>
        <v>2</v>
      </c>
      <c r="AQ656" s="30"/>
      <c r="AR656" s="30"/>
    </row>
    <row r="657" spans="1:60">
      <c r="A657" s="28"/>
      <c r="B657" s="2993"/>
      <c r="C657" s="2993"/>
      <c r="D657" s="2993"/>
      <c r="E657" s="2993"/>
      <c r="F657" s="2993"/>
      <c r="G657" s="2993"/>
      <c r="H657" s="2993"/>
      <c r="I657" s="2993"/>
      <c r="J657" s="2993"/>
      <c r="K657" s="2993"/>
      <c r="L657" s="2993"/>
      <c r="M657" s="2993"/>
      <c r="N657" s="2993"/>
      <c r="O657" s="2993"/>
      <c r="P657" s="2993"/>
      <c r="Q657" s="2993"/>
      <c r="R657" s="2993"/>
      <c r="S657" s="2993"/>
      <c r="T657" s="2993"/>
      <c r="U657" s="2993"/>
      <c r="V657" s="2993"/>
      <c r="W657" s="2993"/>
      <c r="X657" s="2993"/>
      <c r="Y657" s="2993"/>
      <c r="Z657" s="2993"/>
      <c r="AA657" s="2993"/>
      <c r="AB657" s="2993"/>
      <c r="AC657" s="2993"/>
      <c r="AD657" s="2993"/>
      <c r="AE657" s="2993"/>
      <c r="AF657" s="2993"/>
      <c r="AG657" s="2993"/>
      <c r="AH657" s="299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754">
        <f>$AO$635</f>
        <v>5</v>
      </c>
      <c r="AL661" s="2755"/>
      <c r="AM661" s="2756"/>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2343" t="s">
        <v>135</v>
      </c>
      <c r="D666" s="2343"/>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2343" t="s">
        <v>135</v>
      </c>
      <c r="D671" s="2343"/>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2343" t="s">
        <v>118</v>
      </c>
      <c r="D675" s="2343"/>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2343" t="s">
        <v>135</v>
      </c>
      <c r="D679" s="2343"/>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2343" t="s">
        <v>135</v>
      </c>
      <c r="D681" s="2343"/>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2343" t="s">
        <v>135</v>
      </c>
      <c r="D686" s="2343"/>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754">
        <f>$AO$660</f>
        <v>2</v>
      </c>
      <c r="AL689" s="2755"/>
      <c r="AM689" s="2756"/>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3120" t="s">
        <v>796</v>
      </c>
      <c r="B692" s="3120"/>
      <c r="C692" s="3120"/>
      <c r="D692" s="3120"/>
      <c r="E692" s="3120"/>
      <c r="F692" s="3120"/>
      <c r="G692" s="3120"/>
      <c r="H692" s="3120"/>
      <c r="I692" s="3120"/>
      <c r="J692" s="3120"/>
      <c r="K692" s="3120"/>
      <c r="L692" s="3120"/>
      <c r="M692" s="3120"/>
      <c r="N692" s="3120"/>
      <c r="O692" s="3120"/>
      <c r="P692" s="3120"/>
      <c r="Q692" s="3120"/>
      <c r="R692" s="3120"/>
      <c r="S692" s="3120"/>
      <c r="T692" s="3120"/>
      <c r="U692" s="3120"/>
      <c r="V692" s="3120"/>
      <c r="W692" s="3120"/>
      <c r="X692" s="3120"/>
      <c r="Y692" s="3120"/>
      <c r="Z692" s="3120"/>
      <c r="AA692" s="3120"/>
      <c r="AB692" s="3120"/>
      <c r="AC692" s="3120"/>
      <c r="AD692" s="3120"/>
      <c r="AE692" s="3120"/>
      <c r="AF692" s="3120"/>
      <c r="AG692" s="3120"/>
      <c r="AH692" s="3120"/>
      <c r="AI692" s="3120"/>
      <c r="AJ692" s="3120"/>
      <c r="AK692" s="3120"/>
      <c r="AL692" s="3120"/>
      <c r="AM692" s="3120"/>
    </row>
    <row r="693" spans="1:43">
      <c r="A693" s="3121"/>
      <c r="B693" s="3121"/>
      <c r="C693" s="3121"/>
      <c r="D693" s="3121"/>
      <c r="E693" s="3121"/>
      <c r="F693" s="3121"/>
      <c r="G693" s="3121"/>
      <c r="H693" s="3121"/>
      <c r="I693" s="3121"/>
      <c r="J693" s="3121"/>
      <c r="K693" s="3121"/>
      <c r="L693" s="3121"/>
      <c r="M693" s="3121"/>
      <c r="N693" s="3121"/>
      <c r="O693" s="3121"/>
      <c r="P693" s="3121"/>
      <c r="Q693" s="3121"/>
      <c r="R693" s="3121"/>
      <c r="S693" s="3121"/>
      <c r="T693" s="3121"/>
      <c r="U693" s="3121"/>
      <c r="V693" s="3121"/>
      <c r="W693" s="3121"/>
      <c r="X693" s="3121"/>
      <c r="Y693" s="3121"/>
      <c r="Z693" s="3121"/>
      <c r="AA693" s="3121"/>
      <c r="AB693" s="3121"/>
      <c r="AC693" s="3121"/>
      <c r="AD693" s="3121"/>
      <c r="AE693" s="3121"/>
      <c r="AF693" s="3121"/>
      <c r="AG693" s="3121"/>
      <c r="AH693" s="3121"/>
      <c r="AI693" s="3121"/>
      <c r="AJ693" s="3121"/>
      <c r="AK693" s="3121"/>
      <c r="AL693" s="3121"/>
      <c r="AM693" s="312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3003" t="s">
        <v>1936</v>
      </c>
      <c r="B695" s="3003"/>
      <c r="C695" s="3003"/>
      <c r="D695" s="3003"/>
      <c r="E695" s="3003"/>
      <c r="F695" s="3003"/>
      <c r="G695" s="3003"/>
      <c r="H695" s="3003"/>
      <c r="I695" s="3003"/>
      <c r="J695" s="3003"/>
      <c r="K695" s="3003"/>
      <c r="L695" s="3003"/>
      <c r="M695" s="3003"/>
      <c r="N695" s="3003"/>
      <c r="O695" s="3003"/>
      <c r="P695" s="3003"/>
      <c r="Q695" s="3003"/>
      <c r="R695" s="3003"/>
      <c r="S695" s="3003"/>
      <c r="T695" s="3003"/>
      <c r="U695" s="3003"/>
      <c r="V695" s="3003"/>
      <c r="W695" s="3003"/>
      <c r="X695" s="3003"/>
      <c r="Y695" s="3003"/>
      <c r="Z695" s="3003"/>
      <c r="AA695" s="3003"/>
      <c r="AB695" s="3003"/>
      <c r="AC695" s="3003"/>
      <c r="AD695" s="3003"/>
      <c r="AE695" s="3003"/>
      <c r="AF695" s="3003"/>
      <c r="AG695" s="3003"/>
      <c r="AH695" s="3003"/>
      <c r="AI695" s="3003"/>
      <c r="AJ695" s="3003"/>
      <c r="AK695" s="3003"/>
      <c r="AL695" s="3003"/>
      <c r="AM695" s="3003"/>
      <c r="AP695" s="789"/>
      <c r="AQ695" s="785"/>
    </row>
    <row r="696" spans="1:43">
      <c r="A696" s="3003" t="s">
        <v>1979</v>
      </c>
      <c r="B696" s="3003"/>
      <c r="C696" s="3003"/>
      <c r="D696" s="3003"/>
      <c r="E696" s="3003"/>
      <c r="F696" s="3003"/>
      <c r="G696" s="3003"/>
      <c r="H696" s="3003"/>
      <c r="I696" s="3003"/>
      <c r="J696" s="3003"/>
      <c r="K696" s="3003"/>
      <c r="L696" s="3003"/>
      <c r="M696" s="3003"/>
      <c r="N696" s="3003"/>
      <c r="O696" s="3003"/>
      <c r="P696" s="3003"/>
      <c r="Q696" s="3003"/>
      <c r="R696" s="3003"/>
      <c r="S696" s="3003"/>
      <c r="T696" s="3003"/>
      <c r="U696" s="3003"/>
      <c r="V696" s="3003"/>
      <c r="W696" s="3003"/>
      <c r="X696" s="3003"/>
      <c r="Y696" s="3003"/>
      <c r="Z696" s="3003"/>
      <c r="AA696" s="3003"/>
      <c r="AB696" s="3003"/>
      <c r="AC696" s="3003"/>
      <c r="AD696" s="3003"/>
      <c r="AE696" s="3003"/>
      <c r="AF696" s="3003"/>
      <c r="AG696" s="3003"/>
      <c r="AH696" s="3003"/>
      <c r="AI696" s="3003"/>
      <c r="AJ696" s="3003"/>
      <c r="AK696" s="3003"/>
      <c r="AL696" s="3003"/>
      <c r="AM696" s="3003"/>
      <c r="AO696" s="790">
        <f>SUM(AO697:AO698)</f>
        <v>15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990" t="s">
        <v>261</v>
      </c>
      <c r="U697" s="2758"/>
      <c r="V697" s="2758"/>
      <c r="W697" s="2758"/>
      <c r="X697" s="2758"/>
      <c r="Y697" s="2759"/>
      <c r="Z697" s="2990" t="s">
        <v>260</v>
      </c>
      <c r="AA697" s="2758"/>
      <c r="AB697" s="2758"/>
      <c r="AC697" s="2758"/>
      <c r="AD697" s="2758"/>
      <c r="AE697" s="2759"/>
      <c r="AF697" s="2990" t="s">
        <v>262</v>
      </c>
      <c r="AG697" s="2758"/>
      <c r="AH697" s="2758"/>
      <c r="AI697" s="2758"/>
      <c r="AJ697" s="2758"/>
      <c r="AK697" s="2759"/>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991"/>
      <c r="U698" s="2760"/>
      <c r="V698" s="2760"/>
      <c r="W698" s="2760"/>
      <c r="X698" s="2760"/>
      <c r="Y698" s="2761"/>
      <c r="Z698" s="2991"/>
      <c r="AA698" s="2760"/>
      <c r="AB698" s="2760"/>
      <c r="AC698" s="2760"/>
      <c r="AD698" s="2760"/>
      <c r="AE698" s="2761"/>
      <c r="AF698" s="2991"/>
      <c r="AG698" s="2760"/>
      <c r="AH698" s="2760"/>
      <c r="AI698" s="2760"/>
      <c r="AJ698" s="2760"/>
      <c r="AK698" s="2761"/>
      <c r="AL698" s="1367"/>
      <c r="AM698" s="492"/>
      <c r="AO698" s="785">
        <f>IF(T705&gt;10,10,T705)</f>
        <v>0</v>
      </c>
      <c r="AP698" s="785"/>
      <c r="AQ698" s="785"/>
    </row>
    <row r="699" spans="1:43">
      <c r="A699" s="1011" t="s">
        <v>726</v>
      </c>
      <c r="B699" s="2986" t="s">
        <v>298</v>
      </c>
      <c r="C699" s="2986"/>
      <c r="D699" s="2986"/>
      <c r="E699" s="2986"/>
      <c r="F699" s="2986"/>
      <c r="G699" s="2986"/>
      <c r="H699" s="2986"/>
      <c r="I699" s="2986"/>
      <c r="J699" s="2986"/>
      <c r="K699" s="2986"/>
      <c r="L699" s="2986"/>
      <c r="M699" s="2986"/>
      <c r="N699" s="2986"/>
      <c r="O699" s="2986"/>
      <c r="P699" s="2986"/>
      <c r="Q699" s="2986"/>
      <c r="R699" s="2986"/>
      <c r="S699" s="2987"/>
      <c r="T699" s="3008">
        <f>SUM(T700:Y701)</f>
        <v>9</v>
      </c>
      <c r="U699" s="3008"/>
      <c r="V699" s="3008"/>
      <c r="W699" s="3008"/>
      <c r="X699" s="3008"/>
      <c r="Y699" s="3008"/>
      <c r="Z699" s="2487">
        <v>9</v>
      </c>
      <c r="AA699" s="2487"/>
      <c r="AB699" s="2487"/>
      <c r="AC699" s="2487"/>
      <c r="AD699" s="2487"/>
      <c r="AE699" s="2487"/>
      <c r="AF699" s="2487">
        <f>IF(T699&gt;Z699,Z699,T699)</f>
        <v>9</v>
      </c>
      <c r="AG699" s="2487"/>
      <c r="AH699" s="2487"/>
      <c r="AI699" s="2487"/>
      <c r="AJ699" s="2487"/>
      <c r="AK699" s="2487"/>
      <c r="AL699" s="1367"/>
      <c r="AM699" s="492"/>
    </row>
    <row r="700" spans="1:43">
      <c r="A700" s="1013"/>
      <c r="B700" s="1014"/>
      <c r="C700" s="1022"/>
      <c r="D700" s="1012" t="s">
        <v>233</v>
      </c>
      <c r="E700" s="2988" t="s">
        <v>263</v>
      </c>
      <c r="F700" s="2988"/>
      <c r="G700" s="2988"/>
      <c r="H700" s="2988"/>
      <c r="I700" s="2988"/>
      <c r="J700" s="2988"/>
      <c r="K700" s="2988"/>
      <c r="L700" s="2988"/>
      <c r="M700" s="2988"/>
      <c r="N700" s="2988"/>
      <c r="O700" s="2988"/>
      <c r="P700" s="2988"/>
      <c r="Q700" s="2988"/>
      <c r="R700" s="2988"/>
      <c r="S700" s="2989"/>
      <c r="T700" s="2992">
        <f>AJ31</f>
        <v>6</v>
      </c>
      <c r="U700" s="2992"/>
      <c r="V700" s="2992"/>
      <c r="W700" s="2992"/>
      <c r="X700" s="2992"/>
      <c r="Y700" s="2992"/>
      <c r="Z700" s="2347">
        <v>6</v>
      </c>
      <c r="AA700" s="2347"/>
      <c r="AB700" s="2347"/>
      <c r="AC700" s="2347"/>
      <c r="AD700" s="2347"/>
      <c r="AE700" s="2347"/>
      <c r="AF700" s="3122"/>
      <c r="AG700" s="3122"/>
      <c r="AH700" s="3122"/>
      <c r="AI700" s="3122"/>
      <c r="AJ700" s="3122"/>
      <c r="AK700" s="3122"/>
      <c r="AL700" s="1367"/>
      <c r="AM700" s="492"/>
    </row>
    <row r="701" spans="1:43">
      <c r="A701" s="1016"/>
      <c r="B701" s="1014"/>
      <c r="C701" s="1015"/>
      <c r="D701" s="1012" t="s">
        <v>482</v>
      </c>
      <c r="E701" s="2988" t="s">
        <v>264</v>
      </c>
      <c r="F701" s="2988"/>
      <c r="G701" s="2988"/>
      <c r="H701" s="2988"/>
      <c r="I701" s="2988"/>
      <c r="J701" s="2988"/>
      <c r="K701" s="2988"/>
      <c r="L701" s="2988"/>
      <c r="M701" s="2988"/>
      <c r="N701" s="2988"/>
      <c r="O701" s="2988"/>
      <c r="P701" s="2988"/>
      <c r="Q701" s="2988"/>
      <c r="R701" s="2988"/>
      <c r="S701" s="2989"/>
      <c r="T701" s="2992">
        <f>AJ47</f>
        <v>3</v>
      </c>
      <c r="U701" s="2992"/>
      <c r="V701" s="2992"/>
      <c r="W701" s="2992"/>
      <c r="X701" s="2992"/>
      <c r="Y701" s="2992"/>
      <c r="Z701" s="2347">
        <v>3</v>
      </c>
      <c r="AA701" s="2347"/>
      <c r="AB701" s="2347"/>
      <c r="AC701" s="2347"/>
      <c r="AD701" s="2347"/>
      <c r="AE701" s="2347"/>
      <c r="AF701" s="3122"/>
      <c r="AG701" s="3122"/>
      <c r="AH701" s="3122"/>
      <c r="AI701" s="3122"/>
      <c r="AJ701" s="3122"/>
      <c r="AK701" s="3122"/>
      <c r="AL701" s="1367"/>
      <c r="AM701" s="492"/>
      <c r="AO701" s="46">
        <f>IF(T708&gt;50,50,T708)</f>
        <v>50</v>
      </c>
    </row>
    <row r="702" spans="1:43">
      <c r="A702" s="1011" t="s">
        <v>8</v>
      </c>
      <c r="B702" s="2986" t="s">
        <v>299</v>
      </c>
      <c r="C702" s="2986"/>
      <c r="D702" s="2986"/>
      <c r="E702" s="2986"/>
      <c r="F702" s="2986"/>
      <c r="G702" s="2986"/>
      <c r="H702" s="2986"/>
      <c r="I702" s="2986"/>
      <c r="J702" s="2986"/>
      <c r="K702" s="2986"/>
      <c r="L702" s="2986"/>
      <c r="M702" s="2986"/>
      <c r="N702" s="2986"/>
      <c r="O702" s="2986"/>
      <c r="P702" s="2986"/>
      <c r="Q702" s="2986"/>
      <c r="R702" s="2986"/>
      <c r="S702" s="2987"/>
      <c r="T702" s="3008">
        <f>AK73</f>
        <v>10</v>
      </c>
      <c r="U702" s="3008"/>
      <c r="V702" s="3008"/>
      <c r="W702" s="3008"/>
      <c r="X702" s="3008"/>
      <c r="Y702" s="3008"/>
      <c r="Z702" s="2487">
        <v>10</v>
      </c>
      <c r="AA702" s="2487"/>
      <c r="AB702" s="2487"/>
      <c r="AC702" s="2487"/>
      <c r="AD702" s="2487"/>
      <c r="AE702" s="2487"/>
      <c r="AF702" s="2487">
        <f>IF(T702&gt;Z702,Z702,T702)</f>
        <v>10</v>
      </c>
      <c r="AG702" s="2487"/>
      <c r="AH702" s="2487"/>
      <c r="AI702" s="2487"/>
      <c r="AJ702" s="2487"/>
      <c r="AK702" s="2487"/>
      <c r="AL702" s="1367"/>
      <c r="AM702" s="492"/>
    </row>
    <row r="703" spans="1:43">
      <c r="A703" s="1011" t="s">
        <v>130</v>
      </c>
      <c r="B703" s="2986" t="s">
        <v>300</v>
      </c>
      <c r="C703" s="2986"/>
      <c r="D703" s="2986"/>
      <c r="E703" s="2986"/>
      <c r="F703" s="2986"/>
      <c r="G703" s="2986"/>
      <c r="H703" s="2986"/>
      <c r="I703" s="2986"/>
      <c r="J703" s="2986"/>
      <c r="K703" s="2986"/>
      <c r="L703" s="2986"/>
      <c r="M703" s="2986"/>
      <c r="N703" s="2986"/>
      <c r="O703" s="2986"/>
      <c r="P703" s="2986"/>
      <c r="Q703" s="2986"/>
      <c r="R703" s="2986"/>
      <c r="S703" s="2987"/>
      <c r="T703" s="3008">
        <f>AO696</f>
        <v>15</v>
      </c>
      <c r="U703" s="3008">
        <f>IF(AND(AND(A704&gt;15,15+A705),A705&gt;10,A704+10),A703,0)</f>
        <v>0</v>
      </c>
      <c r="V703" s="3008">
        <f>IF(AND(AND(B704&gt;15,15+B705),B705&gt;10,B704+10),#REF!,0)</f>
        <v>0</v>
      </c>
      <c r="W703" s="3008">
        <f>IF(AND(AND(C704&gt;15,15+C705),C705&gt;10,C704+10),B703,0)</f>
        <v>0</v>
      </c>
      <c r="X703" s="3008" t="e">
        <f>IF(AND(AND(D704&gt;15,15+D705),D705&gt;10,D704+10),D703,0)</f>
        <v>#VALUE!</v>
      </c>
      <c r="Y703" s="3008" t="e">
        <f>IF(AND(AND(E704&gt;15,15+E705),E705&gt;10,E704+10),E703,0)</f>
        <v>#VALUE!</v>
      </c>
      <c r="Z703" s="2487">
        <v>25</v>
      </c>
      <c r="AA703" s="2487"/>
      <c r="AB703" s="2487"/>
      <c r="AC703" s="2487"/>
      <c r="AD703" s="2487"/>
      <c r="AE703" s="2487"/>
      <c r="AF703" s="2487">
        <f>IF(T703&gt;Z703,Z703,T703)</f>
        <v>15</v>
      </c>
      <c r="AG703" s="2487"/>
      <c r="AH703" s="2487"/>
      <c r="AI703" s="2487"/>
      <c r="AJ703" s="2487"/>
      <c r="AK703" s="2487"/>
      <c r="AL703" s="1367"/>
      <c r="AM703" s="492"/>
    </row>
    <row r="704" spans="1:43">
      <c r="A704" s="1011"/>
      <c r="B704" s="1014"/>
      <c r="C704" s="1015"/>
      <c r="D704" s="1012" t="s">
        <v>1676</v>
      </c>
      <c r="E704" s="2988" t="s">
        <v>326</v>
      </c>
      <c r="F704" s="2988"/>
      <c r="G704" s="2988"/>
      <c r="H704" s="2988"/>
      <c r="I704" s="2988"/>
      <c r="J704" s="2988"/>
      <c r="K704" s="2988"/>
      <c r="L704" s="2988"/>
      <c r="M704" s="2988"/>
      <c r="N704" s="2988"/>
      <c r="O704" s="2988"/>
      <c r="P704" s="2988"/>
      <c r="Q704" s="2988"/>
      <c r="R704" s="2988"/>
      <c r="S704" s="2989"/>
      <c r="T704" s="2992">
        <f>AK281</f>
        <v>23</v>
      </c>
      <c r="U704" s="2992"/>
      <c r="V704" s="2992"/>
      <c r="W704" s="2992"/>
      <c r="X704" s="2992"/>
      <c r="Y704" s="2992"/>
      <c r="Z704" s="2347">
        <v>15</v>
      </c>
      <c r="AA704" s="2347"/>
      <c r="AB704" s="2347"/>
      <c r="AC704" s="2347"/>
      <c r="AD704" s="2347"/>
      <c r="AE704" s="2347"/>
      <c r="AF704" s="3122"/>
      <c r="AG704" s="3122"/>
      <c r="AH704" s="3122"/>
      <c r="AI704" s="3122"/>
      <c r="AJ704" s="3122"/>
      <c r="AK704" s="3122"/>
      <c r="AL704" s="1367"/>
      <c r="AM704" s="492"/>
    </row>
    <row r="705" spans="1:39">
      <c r="A705" s="1017"/>
      <c r="B705" s="1018"/>
      <c r="C705" s="1019"/>
      <c r="D705" s="1020" t="s">
        <v>1677</v>
      </c>
      <c r="E705" s="2988" t="s">
        <v>327</v>
      </c>
      <c r="F705" s="2988"/>
      <c r="G705" s="2988"/>
      <c r="H705" s="2988"/>
      <c r="I705" s="2988"/>
      <c r="J705" s="2988"/>
      <c r="K705" s="2988"/>
      <c r="L705" s="2988"/>
      <c r="M705" s="2988"/>
      <c r="N705" s="2988"/>
      <c r="O705" s="2988"/>
      <c r="P705" s="2988"/>
      <c r="Q705" s="2988"/>
      <c r="R705" s="2988"/>
      <c r="S705" s="2989"/>
      <c r="T705" s="2992">
        <f>AK483</f>
        <v>0</v>
      </c>
      <c r="U705" s="2992"/>
      <c r="V705" s="2992"/>
      <c r="W705" s="2992"/>
      <c r="X705" s="2992"/>
      <c r="Y705" s="2992"/>
      <c r="Z705" s="2347">
        <v>10</v>
      </c>
      <c r="AA705" s="2347"/>
      <c r="AB705" s="2347"/>
      <c r="AC705" s="2347"/>
      <c r="AD705" s="2347"/>
      <c r="AE705" s="2347"/>
      <c r="AF705" s="3122"/>
      <c r="AG705" s="3122"/>
      <c r="AH705" s="3122"/>
      <c r="AI705" s="3122"/>
      <c r="AJ705" s="3122"/>
      <c r="AK705" s="3122"/>
      <c r="AL705" s="1367"/>
      <c r="AM705" s="492"/>
    </row>
    <row r="706" spans="1:39">
      <c r="A706" s="1011" t="s">
        <v>133</v>
      </c>
      <c r="B706" s="2986" t="s">
        <v>607</v>
      </c>
      <c r="C706" s="2986"/>
      <c r="D706" s="2986"/>
      <c r="E706" s="2986"/>
      <c r="F706" s="2986"/>
      <c r="G706" s="2986"/>
      <c r="H706" s="2986"/>
      <c r="I706" s="2986"/>
      <c r="J706" s="2986"/>
      <c r="K706" s="2986"/>
      <c r="L706" s="2986"/>
      <c r="M706" s="2986"/>
      <c r="N706" s="2986"/>
      <c r="O706" s="2986"/>
      <c r="P706" s="2986"/>
      <c r="Q706" s="2986"/>
      <c r="R706" s="2986"/>
      <c r="S706" s="2987"/>
      <c r="T706" s="3008">
        <f>IF(AK549&gt;5,5,AK549)</f>
        <v>5</v>
      </c>
      <c r="U706" s="3008"/>
      <c r="V706" s="3008"/>
      <c r="W706" s="3008"/>
      <c r="X706" s="3008"/>
      <c r="Y706" s="3008"/>
      <c r="Z706" s="2487">
        <v>5</v>
      </c>
      <c r="AA706" s="2487"/>
      <c r="AB706" s="2487"/>
      <c r="AC706" s="2487"/>
      <c r="AD706" s="2487"/>
      <c r="AE706" s="2487"/>
      <c r="AF706" s="2487">
        <f>IF(T706&gt;Z706,5,T706)</f>
        <v>5</v>
      </c>
      <c r="AG706" s="2487"/>
      <c r="AH706" s="2487"/>
      <c r="AI706" s="2487"/>
      <c r="AJ706" s="2487"/>
      <c r="AK706" s="2487"/>
      <c r="AL706" s="1367"/>
      <c r="AM706" s="492"/>
    </row>
    <row r="707" spans="1:39">
      <c r="A707" s="1021" t="s">
        <v>134</v>
      </c>
      <c r="B707" s="2986" t="s">
        <v>608</v>
      </c>
      <c r="C707" s="2986"/>
      <c r="D707" s="2986"/>
      <c r="E707" s="2986"/>
      <c r="F707" s="2986"/>
      <c r="G707" s="2986"/>
      <c r="H707" s="2986"/>
      <c r="I707" s="2986"/>
      <c r="J707" s="2986"/>
      <c r="K707" s="2986"/>
      <c r="L707" s="2986"/>
      <c r="M707" s="2986"/>
      <c r="N707" s="2986"/>
      <c r="O707" s="2986"/>
      <c r="P707" s="2986"/>
      <c r="Q707" s="2986"/>
      <c r="R707" s="2986"/>
      <c r="S707" s="2987"/>
      <c r="T707" s="3112">
        <f>IF(SUM(T708:Y709)&gt;52,52,SUM(T708:Y709))</f>
        <v>52</v>
      </c>
      <c r="U707" s="3113"/>
      <c r="V707" s="3113"/>
      <c r="W707" s="3113"/>
      <c r="X707" s="3113"/>
      <c r="Y707" s="3113"/>
      <c r="Z707" s="3113">
        <v>52</v>
      </c>
      <c r="AA707" s="3113"/>
      <c r="AB707" s="3113"/>
      <c r="AC707" s="3113"/>
      <c r="AD707" s="3113"/>
      <c r="AE707" s="3113"/>
      <c r="AF707" s="3113">
        <f>$AO$701+$T$709</f>
        <v>52</v>
      </c>
      <c r="AG707" s="3113"/>
      <c r="AH707" s="3113"/>
      <c r="AI707" s="3113"/>
      <c r="AJ707" s="3113"/>
      <c r="AK707" s="3113"/>
      <c r="AL707" s="1367"/>
      <c r="AM707" s="492"/>
    </row>
    <row r="708" spans="1:39">
      <c r="A708" s="1021"/>
      <c r="B708" s="1023"/>
      <c r="C708" s="1024"/>
      <c r="D708" s="1025" t="s">
        <v>1678</v>
      </c>
      <c r="E708" s="2988" t="s">
        <v>200</v>
      </c>
      <c r="F708" s="2988"/>
      <c r="G708" s="2988"/>
      <c r="H708" s="2988"/>
      <c r="I708" s="2988"/>
      <c r="J708" s="2988"/>
      <c r="K708" s="2988"/>
      <c r="L708" s="2988"/>
      <c r="M708" s="2988"/>
      <c r="N708" s="2988"/>
      <c r="O708" s="2988"/>
      <c r="P708" s="2988"/>
      <c r="Q708" s="2988"/>
      <c r="R708" s="2988"/>
      <c r="S708" s="2989"/>
      <c r="T708" s="3012">
        <f>AC599</f>
        <v>60</v>
      </c>
      <c r="U708" s="3013"/>
      <c r="V708" s="3013"/>
      <c r="W708" s="3013"/>
      <c r="X708" s="3013"/>
      <c r="Y708" s="3014"/>
      <c r="Z708" s="3012">
        <v>50</v>
      </c>
      <c r="AA708" s="3013"/>
      <c r="AB708" s="3013"/>
      <c r="AC708" s="3013"/>
      <c r="AD708" s="3013"/>
      <c r="AE708" s="3014"/>
      <c r="AF708" s="3117"/>
      <c r="AG708" s="3118"/>
      <c r="AH708" s="3118"/>
      <c r="AI708" s="3118"/>
      <c r="AJ708" s="3118"/>
      <c r="AK708" s="3119"/>
      <c r="AL708" s="1367"/>
      <c r="AM708" s="46"/>
    </row>
    <row r="709" spans="1:39">
      <c r="A709" s="1026"/>
      <c r="B709" s="1014"/>
      <c r="C709" s="1015"/>
      <c r="D709" s="1012" t="s">
        <v>1679</v>
      </c>
      <c r="E709" s="2988" t="s">
        <v>297</v>
      </c>
      <c r="F709" s="2988"/>
      <c r="G709" s="2988"/>
      <c r="H709" s="2988"/>
      <c r="I709" s="2988"/>
      <c r="J709" s="2988"/>
      <c r="K709" s="2988"/>
      <c r="L709" s="2988"/>
      <c r="M709" s="2988"/>
      <c r="N709" s="2988"/>
      <c r="O709" s="2988"/>
      <c r="P709" s="2988"/>
      <c r="Q709" s="2988"/>
      <c r="R709" s="2988"/>
      <c r="S709" s="2989"/>
      <c r="T709" s="2750">
        <f>IF(AJ623&gt;0,2,0)</f>
        <v>2</v>
      </c>
      <c r="U709" s="2751"/>
      <c r="V709" s="2751"/>
      <c r="W709" s="2751"/>
      <c r="X709" s="2751"/>
      <c r="Y709" s="2752"/>
      <c r="Z709" s="2754">
        <v>2</v>
      </c>
      <c r="AA709" s="2755"/>
      <c r="AB709" s="2755"/>
      <c r="AC709" s="2755"/>
      <c r="AD709" s="2755"/>
      <c r="AE709" s="2756"/>
      <c r="AF709" s="3133"/>
      <c r="AG709" s="3134"/>
      <c r="AH709" s="3134"/>
      <c r="AI709" s="3134"/>
      <c r="AJ709" s="3134"/>
      <c r="AK709" s="3135"/>
      <c r="AL709" s="1367"/>
      <c r="AM709" s="46"/>
    </row>
    <row r="710" spans="1:39">
      <c r="A710" s="1021" t="s">
        <v>136</v>
      </c>
      <c r="B710" s="2986" t="s">
        <v>609</v>
      </c>
      <c r="C710" s="2986"/>
      <c r="D710" s="2986"/>
      <c r="E710" s="2986"/>
      <c r="F710" s="2986"/>
      <c r="G710" s="2986"/>
      <c r="H710" s="2986"/>
      <c r="I710" s="2986"/>
      <c r="J710" s="2986"/>
      <c r="K710" s="2986"/>
      <c r="L710" s="2986"/>
      <c r="M710" s="2986"/>
      <c r="N710" s="2986"/>
      <c r="O710" s="2986"/>
      <c r="P710" s="2986"/>
      <c r="Q710" s="2986"/>
      <c r="R710" s="2986"/>
      <c r="S710" s="2987"/>
      <c r="T710" s="3008">
        <f>AK661</f>
        <v>5</v>
      </c>
      <c r="U710" s="3008"/>
      <c r="V710" s="3008"/>
      <c r="W710" s="3008"/>
      <c r="X710" s="3008"/>
      <c r="Y710" s="3008"/>
      <c r="Z710" s="2487">
        <v>10</v>
      </c>
      <c r="AA710" s="2487"/>
      <c r="AB710" s="2487"/>
      <c r="AC710" s="2487"/>
      <c r="AD710" s="2487"/>
      <c r="AE710" s="2487"/>
      <c r="AF710" s="2717">
        <f>IF(T710&gt;Z710,Z710,T710)</f>
        <v>5</v>
      </c>
      <c r="AG710" s="2718"/>
      <c r="AH710" s="2718"/>
      <c r="AI710" s="2718"/>
      <c r="AJ710" s="2718"/>
      <c r="AK710" s="2719"/>
      <c r="AL710" s="1367"/>
      <c r="AM710" s="217"/>
    </row>
    <row r="711" spans="1:39">
      <c r="A711" s="1011" t="s">
        <v>416</v>
      </c>
      <c r="B711" s="2986" t="s">
        <v>1108</v>
      </c>
      <c r="C711" s="2986"/>
      <c r="D711" s="2986"/>
      <c r="E711" s="2986"/>
      <c r="F711" s="2986"/>
      <c r="G711" s="2986"/>
      <c r="H711" s="2986"/>
      <c r="I711" s="2986"/>
      <c r="J711" s="2986"/>
      <c r="K711" s="2986"/>
      <c r="L711" s="2986"/>
      <c r="M711" s="2986"/>
      <c r="N711" s="2986"/>
      <c r="O711" s="2986"/>
      <c r="P711" s="2986"/>
      <c r="Q711" s="2986"/>
      <c r="R711" s="2986"/>
      <c r="S711" s="2987"/>
      <c r="T711" s="3114">
        <f>IF(AK689&gt;2,2,AK689)</f>
        <v>2</v>
      </c>
      <c r="U711" s="3115"/>
      <c r="V711" s="3115"/>
      <c r="W711" s="3115"/>
      <c r="X711" s="3115"/>
      <c r="Y711" s="3116"/>
      <c r="Z711" s="2717">
        <v>2</v>
      </c>
      <c r="AA711" s="2718"/>
      <c r="AB711" s="2718"/>
      <c r="AC711" s="2718"/>
      <c r="AD711" s="2718"/>
      <c r="AE711" s="2719"/>
      <c r="AF711" s="2717">
        <f>IF(T711&gt;Z711,Z711,T711)</f>
        <v>2</v>
      </c>
      <c r="AG711" s="3131"/>
      <c r="AH711" s="3131"/>
      <c r="AI711" s="3131"/>
      <c r="AJ711" s="3131"/>
      <c r="AK711" s="3132"/>
      <c r="AL711" s="376"/>
      <c r="AM711" s="217"/>
    </row>
    <row r="712" spans="1:39">
      <c r="A712" s="2985" t="s">
        <v>329</v>
      </c>
      <c r="B712" s="2986"/>
      <c r="C712" s="2986"/>
      <c r="D712" s="2986"/>
      <c r="E712" s="2986"/>
      <c r="F712" s="2986"/>
      <c r="G712" s="2986"/>
      <c r="H712" s="2986"/>
      <c r="I712" s="2986"/>
      <c r="J712" s="2986"/>
      <c r="K712" s="2986"/>
      <c r="L712" s="2986"/>
      <c r="M712" s="2986"/>
      <c r="N712" s="2986"/>
      <c r="O712" s="2986"/>
      <c r="P712" s="2986"/>
      <c r="Q712" s="2986"/>
      <c r="R712" s="2986"/>
      <c r="S712" s="2987"/>
      <c r="T712" s="2711"/>
      <c r="U712" s="2711"/>
      <c r="V712" s="2711"/>
      <c r="W712" s="2711"/>
      <c r="X712" s="2711"/>
      <c r="Y712" s="2711"/>
      <c r="Z712" s="2347" t="s">
        <v>328</v>
      </c>
      <c r="AA712" s="2347"/>
      <c r="AB712" s="2347"/>
      <c r="AC712" s="2347"/>
      <c r="AD712" s="2347"/>
      <c r="AE712" s="2347"/>
      <c r="AF712" s="2717">
        <f>IF(T712&gt;0,T712,0)</f>
        <v>0</v>
      </c>
      <c r="AG712" s="2718"/>
      <c r="AH712" s="2718"/>
      <c r="AI712" s="2718"/>
      <c r="AJ712" s="2718"/>
      <c r="AK712" s="2719"/>
      <c r="AL712" s="1358"/>
      <c r="AM712" s="217"/>
    </row>
    <row r="713" spans="1:39" ht="15.75">
      <c r="A713" s="2997" t="s">
        <v>795</v>
      </c>
      <c r="B713" s="2998"/>
      <c r="C713" s="2998"/>
      <c r="D713" s="2998"/>
      <c r="E713" s="2998"/>
      <c r="F713" s="2998"/>
      <c r="G713" s="2998"/>
      <c r="H713" s="2998"/>
      <c r="I713" s="2998"/>
      <c r="J713" s="2998"/>
      <c r="K713" s="2998"/>
      <c r="L713" s="2998"/>
      <c r="M713" s="2998"/>
      <c r="N713" s="2998"/>
      <c r="O713" s="2998"/>
      <c r="P713" s="2998"/>
      <c r="Q713" s="2998"/>
      <c r="R713" s="2998"/>
      <c r="S713" s="2998"/>
      <c r="T713" s="2998"/>
      <c r="U713" s="2998"/>
      <c r="V713" s="2998"/>
      <c r="W713" s="2998"/>
      <c r="X713" s="2998"/>
      <c r="Y713" s="2998"/>
      <c r="Z713" s="2998"/>
      <c r="AA713" s="2998"/>
      <c r="AB713" s="2998"/>
      <c r="AC713" s="2998"/>
      <c r="AD713" s="2998"/>
      <c r="AE713" s="2999"/>
      <c r="AF713" s="3123">
        <f>SUM(AF699:AK711)-AF712</f>
        <v>98</v>
      </c>
      <c r="AG713" s="3124"/>
      <c r="AH713" s="3124"/>
      <c r="AI713" s="3124"/>
      <c r="AJ713" s="3124"/>
      <c r="AK713" s="3125"/>
      <c r="AL713" s="1368"/>
      <c r="AM713" s="46"/>
    </row>
    <row r="714" spans="1:39" ht="15.75">
      <c r="A714" s="3000"/>
      <c r="B714" s="3001"/>
      <c r="C714" s="3001"/>
      <c r="D714" s="3001"/>
      <c r="E714" s="3001"/>
      <c r="F714" s="3001"/>
      <c r="G714" s="3001"/>
      <c r="H714" s="3001"/>
      <c r="I714" s="3001"/>
      <c r="J714" s="3001"/>
      <c r="K714" s="3001"/>
      <c r="L714" s="3001"/>
      <c r="M714" s="3001"/>
      <c r="N714" s="3001"/>
      <c r="O714" s="3001"/>
      <c r="P714" s="3001"/>
      <c r="Q714" s="3001"/>
      <c r="R714" s="3001"/>
      <c r="S714" s="3001"/>
      <c r="T714" s="3001"/>
      <c r="U714" s="3001"/>
      <c r="V714" s="3001"/>
      <c r="W714" s="3001"/>
      <c r="X714" s="3001"/>
      <c r="Y714" s="3001"/>
      <c r="Z714" s="3001"/>
      <c r="AA714" s="3001"/>
      <c r="AB714" s="3001"/>
      <c r="AC714" s="3001"/>
      <c r="AD714" s="3001"/>
      <c r="AE714" s="3002"/>
      <c r="AF714" s="3126"/>
      <c r="AG714" s="3127"/>
      <c r="AH714" s="3127"/>
      <c r="AI714" s="3127"/>
      <c r="AJ714" s="3127"/>
      <c r="AK714" s="3128"/>
      <c r="AL714" s="1368"/>
      <c r="AM714" s="46"/>
    </row>
    <row r="715" spans="1:39">
      <c r="A715" s="2244" t="s">
        <v>7</v>
      </c>
      <c r="B715" s="2244"/>
      <c r="C715" s="2244"/>
      <c r="D715" s="2244"/>
      <c r="E715" s="2244"/>
      <c r="F715" s="2244"/>
      <c r="G715" s="2244"/>
      <c r="H715" s="2244"/>
      <c r="I715" s="2244"/>
      <c r="J715" s="2244"/>
      <c r="K715" s="2244"/>
      <c r="L715" s="2244"/>
      <c r="M715" s="2244"/>
      <c r="N715" s="2244"/>
      <c r="O715" s="2244"/>
      <c r="P715" s="2244"/>
      <c r="Q715" s="2244"/>
      <c r="R715" s="2244"/>
      <c r="S715" s="2244"/>
      <c r="T715" s="2244"/>
      <c r="U715" s="2244"/>
      <c r="V715" s="2244"/>
      <c r="W715" s="2244"/>
      <c r="X715" s="2244"/>
      <c r="Y715" s="2244"/>
      <c r="Z715" s="2244"/>
      <c r="AA715" s="2244"/>
      <c r="AB715" s="2244"/>
      <c r="AC715" s="2244"/>
      <c r="AD715" s="2244"/>
      <c r="AE715" s="2244"/>
      <c r="AF715" s="2244"/>
      <c r="AG715" s="2244"/>
      <c r="AH715" s="2244"/>
      <c r="AI715" s="2244"/>
      <c r="AJ715" s="2244"/>
      <c r="AK715" s="2244"/>
      <c r="AL715" s="2244"/>
      <c r="AM715" s="3174"/>
    </row>
    <row r="716" spans="1:39" ht="12.4" customHeight="1">
      <c r="A716" s="2244"/>
      <c r="B716" s="2244"/>
      <c r="C716" s="2244"/>
      <c r="D716" s="2244"/>
      <c r="E716" s="2244"/>
      <c r="F716" s="2244"/>
      <c r="G716" s="2244"/>
      <c r="H716" s="2244"/>
      <c r="I716" s="2244"/>
      <c r="J716" s="2244"/>
      <c r="K716" s="2244"/>
      <c r="L716" s="2244"/>
      <c r="M716" s="2244"/>
      <c r="N716" s="2244"/>
      <c r="O716" s="2244"/>
      <c r="P716" s="2244"/>
      <c r="Q716" s="2244"/>
      <c r="R716" s="2244"/>
      <c r="S716" s="2244"/>
      <c r="T716" s="2244"/>
      <c r="U716" s="2244"/>
      <c r="V716" s="2244"/>
      <c r="W716" s="2244"/>
      <c r="X716" s="2244"/>
      <c r="Y716" s="2244"/>
      <c r="Z716" s="2244"/>
      <c r="AA716" s="2244"/>
      <c r="AB716" s="2244"/>
      <c r="AC716" s="2244"/>
      <c r="AD716" s="2244"/>
      <c r="AE716" s="2244"/>
      <c r="AF716" s="2244"/>
      <c r="AG716" s="2244"/>
      <c r="AH716" s="2244"/>
      <c r="AI716" s="2244"/>
      <c r="AJ716" s="2244"/>
      <c r="AK716" s="2244"/>
      <c r="AL716" s="2244"/>
      <c r="AM716" s="3174"/>
    </row>
    <row r="717" spans="1:39" ht="56.25" customHeight="1">
      <c r="A717" s="2244"/>
      <c r="B717" s="2244"/>
      <c r="C717" s="2244"/>
      <c r="D717" s="2244"/>
      <c r="E717" s="2244"/>
      <c r="F717" s="2244"/>
      <c r="G717" s="2244"/>
      <c r="H717" s="2244"/>
      <c r="I717" s="2244"/>
      <c r="J717" s="2244"/>
      <c r="K717" s="2244"/>
      <c r="L717" s="2244"/>
      <c r="M717" s="2244"/>
      <c r="N717" s="2244"/>
      <c r="O717" s="2244"/>
      <c r="P717" s="2244"/>
      <c r="Q717" s="2244"/>
      <c r="R717" s="2244"/>
      <c r="S717" s="2244"/>
      <c r="T717" s="2244"/>
      <c r="U717" s="2244"/>
      <c r="V717" s="2244"/>
      <c r="W717" s="2244"/>
      <c r="X717" s="2244"/>
      <c r="Y717" s="2244"/>
      <c r="Z717" s="2244"/>
      <c r="AA717" s="2244"/>
      <c r="AB717" s="2244"/>
      <c r="AC717" s="2244"/>
      <c r="AD717" s="2244"/>
      <c r="AE717" s="2244"/>
      <c r="AF717" s="2244"/>
      <c r="AG717" s="2244"/>
      <c r="AH717" s="2244"/>
      <c r="AI717" s="2244"/>
      <c r="AJ717" s="2244"/>
      <c r="AK717" s="2244"/>
      <c r="AL717" s="2244"/>
      <c r="AM717" s="3174"/>
    </row>
    <row r="718" spans="1:39" ht="12.4" hidden="1" customHeight="1">
      <c r="A718" s="2244"/>
      <c r="B718" s="2244"/>
      <c r="C718" s="2244"/>
      <c r="D718" s="2244"/>
      <c r="E718" s="2244"/>
      <c r="F718" s="2244"/>
      <c r="G718" s="2244"/>
      <c r="H718" s="2244"/>
      <c r="I718" s="2244"/>
      <c r="J718" s="2244"/>
      <c r="K718" s="2244"/>
      <c r="L718" s="2244"/>
      <c r="M718" s="2244"/>
      <c r="N718" s="2244"/>
      <c r="O718" s="2244"/>
      <c r="P718" s="2244"/>
      <c r="Q718" s="2244"/>
      <c r="R718" s="2244"/>
      <c r="S718" s="2244"/>
      <c r="T718" s="2244"/>
      <c r="U718" s="2244"/>
      <c r="V718" s="2244"/>
      <c r="W718" s="2244"/>
      <c r="X718" s="2244"/>
      <c r="Y718" s="2244"/>
      <c r="Z718" s="2244"/>
      <c r="AA718" s="2244"/>
      <c r="AB718" s="2244"/>
      <c r="AC718" s="2244"/>
      <c r="AD718" s="2244"/>
      <c r="AE718" s="2244"/>
      <c r="AF718" s="2244"/>
      <c r="AG718" s="2244"/>
      <c r="AH718" s="2244"/>
      <c r="AI718" s="2244"/>
      <c r="AJ718" s="2244"/>
      <c r="AK718" s="2244"/>
      <c r="AL718" s="2244"/>
      <c r="AM718" s="3174"/>
    </row>
    <row r="719" spans="1:39" ht="12.4" hidden="1" customHeight="1">
      <c r="A719" s="2244"/>
      <c r="B719" s="2244"/>
      <c r="C719" s="2244"/>
      <c r="D719" s="2244"/>
      <c r="E719" s="2244"/>
      <c r="F719" s="2244"/>
      <c r="G719" s="2244"/>
      <c r="H719" s="2244"/>
      <c r="I719" s="2244"/>
      <c r="J719" s="2244"/>
      <c r="K719" s="2244"/>
      <c r="L719" s="2244"/>
      <c r="M719" s="2244"/>
      <c r="N719" s="2244"/>
      <c r="O719" s="2244"/>
      <c r="P719" s="2244"/>
      <c r="Q719" s="2244"/>
      <c r="R719" s="2244"/>
      <c r="S719" s="2244"/>
      <c r="T719" s="2244"/>
      <c r="U719" s="2244"/>
      <c r="V719" s="2244"/>
      <c r="W719" s="2244"/>
      <c r="X719" s="2244"/>
      <c r="Y719" s="2244"/>
      <c r="Z719" s="2244"/>
      <c r="AA719" s="2244"/>
      <c r="AB719" s="2244"/>
      <c r="AC719" s="2244"/>
      <c r="AD719" s="2244"/>
      <c r="AE719" s="2244"/>
      <c r="AF719" s="2244"/>
      <c r="AG719" s="2244"/>
      <c r="AH719" s="2244"/>
      <c r="AI719" s="2244"/>
      <c r="AJ719" s="2244"/>
      <c r="AK719" s="2244"/>
      <c r="AL719" s="2244"/>
      <c r="AM719" s="3174"/>
    </row>
    <row r="720" spans="1:39" ht="12.4" hidden="1" customHeight="1">
      <c r="A720" s="2244"/>
      <c r="B720" s="2244"/>
      <c r="C720" s="2244"/>
      <c r="D720" s="2244"/>
      <c r="E720" s="2244"/>
      <c r="F720" s="2244"/>
      <c r="G720" s="2244"/>
      <c r="H720" s="2244"/>
      <c r="I720" s="2244"/>
      <c r="J720" s="2244"/>
      <c r="K720" s="2244"/>
      <c r="L720" s="2244"/>
      <c r="M720" s="2244"/>
      <c r="N720" s="2244"/>
      <c r="O720" s="2244"/>
      <c r="P720" s="2244"/>
      <c r="Q720" s="2244"/>
      <c r="R720" s="2244"/>
      <c r="S720" s="2244"/>
      <c r="T720" s="2244"/>
      <c r="U720" s="2244"/>
      <c r="V720" s="2244"/>
      <c r="W720" s="2244"/>
      <c r="X720" s="2244"/>
      <c r="Y720" s="2244"/>
      <c r="Z720" s="2244"/>
      <c r="AA720" s="2244"/>
      <c r="AB720" s="2244"/>
      <c r="AC720" s="2244"/>
      <c r="AD720" s="2244"/>
      <c r="AE720" s="2244"/>
      <c r="AF720" s="2244"/>
      <c r="AG720" s="2244"/>
      <c r="AH720" s="2244"/>
      <c r="AI720" s="2244"/>
      <c r="AJ720" s="2244"/>
      <c r="AK720" s="2244"/>
      <c r="AL720" s="2244"/>
      <c r="AM720" s="317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topLeftCell="A7" workbookViewId="0">
      <selection sqref="A1:K2"/>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3183" t="s">
        <v>128</v>
      </c>
      <c r="B1" s="3183"/>
      <c r="C1" s="3183"/>
      <c r="D1" s="3183"/>
      <c r="E1" s="3183"/>
      <c r="F1" s="3183"/>
      <c r="G1" s="3183"/>
      <c r="H1" s="3183"/>
      <c r="I1" s="3183"/>
      <c r="J1" s="3183"/>
      <c r="K1" s="318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3183"/>
      <c r="B2" s="3183"/>
      <c r="C2" s="3183"/>
      <c r="D2" s="3183"/>
      <c r="E2" s="3183"/>
      <c r="F2" s="3183"/>
      <c r="G2" s="3183"/>
      <c r="H2" s="3183"/>
      <c r="I2" s="3183"/>
      <c r="J2" s="3183"/>
      <c r="K2" s="318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3195" t="s">
        <v>661</v>
      </c>
      <c r="D4" s="3195"/>
      <c r="E4" s="3195"/>
      <c r="F4" s="3195"/>
      <c r="G4" s="3195"/>
      <c r="H4" s="3195"/>
      <c r="I4" s="3195"/>
      <c r="J4" s="3195"/>
    </row>
    <row r="5" spans="1:33">
      <c r="C5" s="3195"/>
      <c r="D5" s="3195"/>
      <c r="E5" s="3195"/>
      <c r="F5" s="3195"/>
      <c r="G5" s="3195"/>
      <c r="H5" s="3195"/>
      <c r="I5" s="3195"/>
      <c r="J5" s="3195"/>
    </row>
    <row r="6" spans="1:33">
      <c r="C6" s="480"/>
      <c r="D6" s="480"/>
      <c r="E6" s="480"/>
      <c r="F6" s="480"/>
      <c r="G6" s="480"/>
      <c r="H6" s="480"/>
      <c r="I6" s="480"/>
      <c r="J6" s="480"/>
    </row>
    <row r="7" spans="1:33">
      <c r="C7" s="481" t="s">
        <v>821</v>
      </c>
      <c r="D7" s="480"/>
      <c r="E7" s="3190" t="str">
        <f>Application!H15</f>
        <v>Harbor Heights, LP (to be formed with the tentative name if available)</v>
      </c>
      <c r="F7" s="3190"/>
      <c r="G7" s="3190"/>
      <c r="H7" s="480"/>
      <c r="I7" s="481" t="s">
        <v>2001</v>
      </c>
      <c r="J7" s="1145">
        <f>Application!AG426+Application!AG424</f>
        <v>496</v>
      </c>
    </row>
    <row r="8" spans="1:33">
      <c r="C8" s="481" t="s">
        <v>822</v>
      </c>
      <c r="D8" s="480"/>
      <c r="E8" s="3190" t="str">
        <f>Application!H17</f>
        <v>Harbor Heights</v>
      </c>
      <c r="F8" s="3190"/>
      <c r="G8" s="3190"/>
      <c r="H8" s="480"/>
      <c r="I8" s="481" t="s">
        <v>2002</v>
      </c>
      <c r="J8" s="1148">
        <f>Application!$CD$635</f>
        <v>496</v>
      </c>
    </row>
    <row r="9" spans="1:33" ht="14.25" customHeight="1">
      <c r="C9" s="481" t="s">
        <v>823</v>
      </c>
      <c r="D9" s="480"/>
      <c r="E9" s="3196" t="str">
        <f>Application!D221</f>
        <v>Seniors</v>
      </c>
      <c r="F9" s="3196"/>
      <c r="G9" s="3196"/>
      <c r="H9" s="480"/>
      <c r="I9" s="481" t="s">
        <v>2003</v>
      </c>
      <c r="J9" s="766"/>
      <c r="N9" s="1144"/>
    </row>
    <row r="10" spans="1:33" ht="26.85" customHeight="1">
      <c r="C10" s="3195" t="s">
        <v>2000</v>
      </c>
      <c r="D10" s="3195"/>
      <c r="E10" s="3197" t="str">
        <f>Application!$E$224</f>
        <v>N/A</v>
      </c>
      <c r="F10" s="3197"/>
      <c r="G10" s="3197"/>
      <c r="H10" s="1142"/>
      <c r="I10" s="1147" t="s">
        <v>2004</v>
      </c>
      <c r="J10" s="1146">
        <f>IF(J9&gt;0,J8-J9,J8)</f>
        <v>496</v>
      </c>
      <c r="N10" s="1144"/>
    </row>
    <row r="11" spans="1:33">
      <c r="C11" s="469"/>
      <c r="N11" s="1144"/>
    </row>
    <row r="12" spans="1:33" ht="15" customHeight="1">
      <c r="C12" s="3184" t="s">
        <v>969</v>
      </c>
      <c r="D12" s="3185"/>
      <c r="E12" s="3186"/>
      <c r="F12" s="3191" t="s">
        <v>1243</v>
      </c>
      <c r="G12" s="3191" t="s">
        <v>970</v>
      </c>
      <c r="H12" s="3193" t="s">
        <v>2131</v>
      </c>
      <c r="I12" s="3191" t="s">
        <v>1244</v>
      </c>
      <c r="J12" s="3191" t="s">
        <v>2130</v>
      </c>
      <c r="N12" s="1144"/>
    </row>
    <row r="13" spans="1:33" ht="68.25" customHeight="1">
      <c r="C13" s="3187"/>
      <c r="D13" s="3188"/>
      <c r="E13" s="3189"/>
      <c r="F13" s="3192"/>
      <c r="G13" s="3192"/>
      <c r="H13" s="3194"/>
      <c r="I13" s="3192"/>
      <c r="J13" s="3192"/>
    </row>
    <row r="14" spans="1:33" ht="15" customHeight="1">
      <c r="C14" s="1160" t="s">
        <v>2300</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c r="G17" s="667"/>
      <c r="H17" s="670"/>
      <c r="I17" s="670"/>
      <c r="J17" s="670"/>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'Applicant Notes'!Print_Area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2020-06-22T03:05:48Z</cp:lastPrinted>
  <dcterms:created xsi:type="dcterms:W3CDTF">2007-12-27T18:26:28Z</dcterms:created>
  <dcterms:modified xsi:type="dcterms:W3CDTF">2020-07-03T15:27:25Z</dcterms:modified>
</cp:coreProperties>
</file>