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Gridley (9%) (03-01)\"/>
    </mc:Choice>
  </mc:AlternateContent>
  <bookViews>
    <workbookView xWindow="0" yWindow="0" windowWidth="19334" windowHeight="5911"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9" l="1"/>
  <c r="G28" i="9" s="1"/>
  <c r="I28" i="9" s="1"/>
  <c r="K28" i="9" s="1"/>
  <c r="M28" i="9" s="1"/>
  <c r="O28" i="9" s="1"/>
  <c r="Q28" i="9" s="1"/>
  <c r="S28" i="9" s="1"/>
  <c r="U28" i="9" s="1"/>
  <c r="W28" i="9" s="1"/>
  <c r="Y28" i="9" s="1"/>
  <c r="AA28" i="9" s="1"/>
  <c r="AC28" i="9" s="1"/>
  <c r="AE28" i="9" s="1"/>
  <c r="AG28" i="9" s="1"/>
  <c r="AB49" i="5"/>
  <c r="R78" i="4"/>
  <c r="S78" i="4"/>
  <c r="R51" i="4"/>
  <c r="S51" i="4"/>
  <c r="R46" i="4"/>
  <c r="S46" i="4"/>
  <c r="R45" i="4"/>
  <c r="S45" i="4" s="1"/>
  <c r="R35" i="4"/>
  <c r="S35" i="4" s="1"/>
  <c r="E34" i="18" s="1"/>
  <c r="R33" i="4"/>
  <c r="S33" i="4" s="1"/>
  <c r="R32" i="4"/>
  <c r="S32" i="4"/>
  <c r="R31" i="4"/>
  <c r="S31" i="4" s="1"/>
  <c r="E30" i="18" s="1"/>
  <c r="R30" i="4"/>
  <c r="S30" i="4" s="1"/>
  <c r="E29" i="18" s="1"/>
  <c r="AC809" i="3"/>
  <c r="Y809" i="3"/>
  <c r="U809" i="3"/>
  <c r="T25" i="5"/>
  <c r="U373" i="6"/>
  <c r="BN602" i="3"/>
  <c r="BN603" i="3"/>
  <c r="BN604" i="3"/>
  <c r="BN605" i="3"/>
  <c r="BN606" i="3"/>
  <c r="BN607" i="3"/>
  <c r="BN608" i="3"/>
  <c r="BN609" i="3"/>
  <c r="BN610" i="3"/>
  <c r="BN611" i="3"/>
  <c r="BN612" i="3"/>
  <c r="BN613" i="3"/>
  <c r="BS602" i="3"/>
  <c r="BS603" i="3"/>
  <c r="BS604" i="3"/>
  <c r="BS605" i="3"/>
  <c r="BS606" i="3"/>
  <c r="BS607" i="3"/>
  <c r="BS608" i="3"/>
  <c r="BS609" i="3"/>
  <c r="BS610" i="3"/>
  <c r="BS611" i="3"/>
  <c r="BS612" i="3"/>
  <c r="BS613" i="3"/>
  <c r="BX602" i="3"/>
  <c r="BX603" i="3"/>
  <c r="BX604" i="3"/>
  <c r="BX605" i="3"/>
  <c r="BX606" i="3"/>
  <c r="BX607" i="3"/>
  <c r="BX608" i="3"/>
  <c r="BX609" i="3"/>
  <c r="BX610" i="3"/>
  <c r="BX611" i="3"/>
  <c r="BX612" i="3"/>
  <c r="BX613" i="3"/>
  <c r="CC602" i="3"/>
  <c r="CC603" i="3"/>
  <c r="CC604" i="3"/>
  <c r="CC605" i="3"/>
  <c r="CC606" i="3"/>
  <c r="CC607" i="3"/>
  <c r="CC608" i="3"/>
  <c r="CC609" i="3"/>
  <c r="CC610" i="3"/>
  <c r="CC611" i="3"/>
  <c r="CC612" i="3"/>
  <c r="CC613" i="3"/>
  <c r="CH602" i="3"/>
  <c r="CH603" i="3"/>
  <c r="CH604" i="3"/>
  <c r="CH605" i="3"/>
  <c r="CH606" i="3"/>
  <c r="CH607" i="3"/>
  <c r="CH608" i="3"/>
  <c r="CH609" i="3"/>
  <c r="CH610" i="3"/>
  <c r="CH611" i="3"/>
  <c r="CH612" i="3"/>
  <c r="CH613" i="3"/>
  <c r="CM602" i="3"/>
  <c r="CM603" i="3"/>
  <c r="CM604" i="3"/>
  <c r="CM605" i="3"/>
  <c r="CM606" i="3"/>
  <c r="CM607" i="3"/>
  <c r="CM608" i="3"/>
  <c r="CM609" i="3"/>
  <c r="CM610" i="3"/>
  <c r="CM611" i="3"/>
  <c r="CM612" i="3"/>
  <c r="CM613" i="3"/>
  <c r="AF978" i="3"/>
  <c r="AJ977" i="3"/>
  <c r="AJ982" i="3"/>
  <c r="U17" i="28"/>
  <c r="R9" i="4"/>
  <c r="R4" i="4"/>
  <c r="R10" i="4"/>
  <c r="S10" i="4"/>
  <c r="R30" i="28"/>
  <c r="AC706" i="3"/>
  <c r="AM706" i="3" s="1"/>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I607" i="3"/>
  <c r="BI608" i="3"/>
  <c r="BI609" i="3"/>
  <c r="BI610" i="3"/>
  <c r="BI611" i="3"/>
  <c r="BI612" i="3"/>
  <c r="BI613" i="3"/>
  <c r="BI614" i="3"/>
  <c r="BI615" i="3"/>
  <c r="BI616" i="3"/>
  <c r="BI617" i="3"/>
  <c r="BI618" i="3"/>
  <c r="BI619" i="3"/>
  <c r="BI620" i="3"/>
  <c r="BI621" i="3"/>
  <c r="BK621" i="3" s="1"/>
  <c r="BI622" i="3"/>
  <c r="BI623" i="3"/>
  <c r="BI624" i="3"/>
  <c r="BI625" i="3"/>
  <c r="BI626" i="3"/>
  <c r="BI627" i="3"/>
  <c r="BI603" i="3"/>
  <c r="BE604" i="3"/>
  <c r="BE605" i="3"/>
  <c r="BE606" i="3"/>
  <c r="BE607" i="3"/>
  <c r="BE608" i="3"/>
  <c r="BE609" i="3"/>
  <c r="BE610" i="3"/>
  <c r="BE611" i="3"/>
  <c r="BE612" i="3"/>
  <c r="BG612" i="3" s="1"/>
  <c r="BE613" i="3"/>
  <c r="BE614" i="3"/>
  <c r="BE615" i="3"/>
  <c r="BE616" i="3"/>
  <c r="BE617" i="3"/>
  <c r="BE618" i="3"/>
  <c r="BE619" i="3"/>
  <c r="BE620" i="3"/>
  <c r="BE621" i="3"/>
  <c r="BE622" i="3"/>
  <c r="BE623" i="3"/>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E101" i="15" s="1"/>
  <c r="D101" i="15"/>
  <c r="B102" i="15"/>
  <c r="C102" i="15"/>
  <c r="E102" i="15" s="1"/>
  <c r="D102" i="15"/>
  <c r="B103" i="15"/>
  <c r="E103" i="15" s="1"/>
  <c r="C103" i="15"/>
  <c r="D103" i="15"/>
  <c r="E100" i="15"/>
  <c r="D99" i="15"/>
  <c r="C99" i="15"/>
  <c r="B99" i="15"/>
  <c r="B84" i="15"/>
  <c r="E84" i="15" s="1"/>
  <c r="C84" i="15"/>
  <c r="D84" i="15"/>
  <c r="B85" i="15"/>
  <c r="C85" i="15"/>
  <c r="E85" i="15" s="1"/>
  <c r="D85" i="15"/>
  <c r="B86" i="15"/>
  <c r="C86" i="15"/>
  <c r="E86" i="15" s="1"/>
  <c r="D86" i="15"/>
  <c r="B87" i="15"/>
  <c r="C87" i="15"/>
  <c r="D87" i="15"/>
  <c r="B88" i="15"/>
  <c r="C88" i="15"/>
  <c r="E88" i="15" s="1"/>
  <c r="D88" i="15"/>
  <c r="B89" i="15"/>
  <c r="C89" i="15"/>
  <c r="E89" i="15" s="1"/>
  <c r="D89" i="15"/>
  <c r="B90" i="15"/>
  <c r="C90" i="15"/>
  <c r="D90" i="15"/>
  <c r="B91" i="15"/>
  <c r="E91" i="15" s="1"/>
  <c r="C91" i="15"/>
  <c r="D91" i="15"/>
  <c r="B92" i="15"/>
  <c r="E92" i="15" s="1"/>
  <c r="C92" i="15"/>
  <c r="D92" i="15"/>
  <c r="B93" i="15"/>
  <c r="C93" i="15"/>
  <c r="D93" i="15"/>
  <c r="B94" i="15"/>
  <c r="C94" i="15"/>
  <c r="E94" i="15"/>
  <c r="D94" i="15"/>
  <c r="B95" i="15"/>
  <c r="C95" i="15"/>
  <c r="E95" i="15"/>
  <c r="D95" i="15"/>
  <c r="E93" i="15"/>
  <c r="D83" i="15"/>
  <c r="C83" i="15"/>
  <c r="B83" i="15"/>
  <c r="B80" i="15"/>
  <c r="C80" i="15"/>
  <c r="E80" i="15" s="1"/>
  <c r="D80" i="15"/>
  <c r="D79" i="15"/>
  <c r="C79" i="15"/>
  <c r="E79" i="15" s="1"/>
  <c r="B79" i="15"/>
  <c r="B73" i="15"/>
  <c r="C73" i="15"/>
  <c r="D73" i="15"/>
  <c r="B74" i="15"/>
  <c r="C74" i="15"/>
  <c r="E74" i="15" s="1"/>
  <c r="D74" i="15"/>
  <c r="B75" i="15"/>
  <c r="C75" i="15"/>
  <c r="E75" i="15" s="1"/>
  <c r="D75" i="15"/>
  <c r="B76" i="15"/>
  <c r="E76" i="15" s="1"/>
  <c r="C76" i="15"/>
  <c r="D76" i="15"/>
  <c r="D72" i="15"/>
  <c r="C72" i="15"/>
  <c r="B72" i="15"/>
  <c r="E72" i="15" s="1"/>
  <c r="B66" i="15"/>
  <c r="C66" i="15"/>
  <c r="E66" i="15" s="1"/>
  <c r="D66" i="15"/>
  <c r="B67" i="15"/>
  <c r="C67" i="15"/>
  <c r="E67" i="15" s="1"/>
  <c r="D67" i="15"/>
  <c r="B68" i="15"/>
  <c r="C68" i="15"/>
  <c r="E68" i="15"/>
  <c r="D68" i="15"/>
  <c r="B69" i="15"/>
  <c r="C69" i="15"/>
  <c r="D69" i="15"/>
  <c r="D65" i="15"/>
  <c r="C65" i="15"/>
  <c r="E65" i="15" s="1"/>
  <c r="B65" i="15"/>
  <c r="B57" i="15"/>
  <c r="C57" i="15"/>
  <c r="D57" i="15"/>
  <c r="B58" i="15"/>
  <c r="C58" i="15"/>
  <c r="E58" i="15" s="1"/>
  <c r="D58" i="15"/>
  <c r="B59" i="15"/>
  <c r="C59" i="15"/>
  <c r="E59" i="15"/>
  <c r="D59" i="15"/>
  <c r="B60" i="15"/>
  <c r="C60" i="15"/>
  <c r="E60" i="15"/>
  <c r="D60" i="15"/>
  <c r="B61" i="15"/>
  <c r="E61" i="15" s="1"/>
  <c r="C61" i="15"/>
  <c r="D61" i="15"/>
  <c r="D56" i="15"/>
  <c r="C56" i="15"/>
  <c r="B56" i="15"/>
  <c r="B47" i="15"/>
  <c r="E47" i="15" s="1"/>
  <c r="C47" i="15"/>
  <c r="D47" i="15"/>
  <c r="B48" i="15"/>
  <c r="C48" i="15"/>
  <c r="E48" i="15" s="1"/>
  <c r="D48" i="15"/>
  <c r="B49" i="15"/>
  <c r="C49" i="15"/>
  <c r="E49" i="15"/>
  <c r="D49" i="15"/>
  <c r="B50" i="15"/>
  <c r="C50" i="15"/>
  <c r="D50" i="15"/>
  <c r="B51" i="15"/>
  <c r="E51" i="15" s="1"/>
  <c r="C51" i="15"/>
  <c r="D51" i="15"/>
  <c r="B52" i="15"/>
  <c r="E52" i="15" s="1"/>
  <c r="C52" i="15"/>
  <c r="D52" i="15"/>
  <c r="B53" i="15"/>
  <c r="C53" i="15"/>
  <c r="E53" i="15" s="1"/>
  <c r="D53" i="15"/>
  <c r="D46" i="15"/>
  <c r="C46" i="15"/>
  <c r="B46" i="15"/>
  <c r="E46" i="15" s="1"/>
  <c r="B44" i="15"/>
  <c r="C44" i="15"/>
  <c r="E44" i="15" s="1"/>
  <c r="D44" i="15"/>
  <c r="B42" i="15"/>
  <c r="C42" i="15"/>
  <c r="E42" i="15" s="1"/>
  <c r="D42" i="15"/>
  <c r="D41" i="15"/>
  <c r="C41" i="15"/>
  <c r="E41" i="15" s="1"/>
  <c r="B41" i="15"/>
  <c r="B38" i="15"/>
  <c r="C38" i="15"/>
  <c r="E38" i="15"/>
  <c r="D38" i="15"/>
  <c r="B31" i="15"/>
  <c r="C31" i="15"/>
  <c r="D31" i="15"/>
  <c r="B32" i="15"/>
  <c r="C32" i="15"/>
  <c r="E32" i="15" s="1"/>
  <c r="D32" i="15"/>
  <c r="B33" i="15"/>
  <c r="E33" i="15" s="1"/>
  <c r="C33" i="15"/>
  <c r="D33" i="15"/>
  <c r="B34" i="15"/>
  <c r="E34" i="15" s="1"/>
  <c r="C34" i="15"/>
  <c r="D34" i="15"/>
  <c r="B35" i="15"/>
  <c r="C35" i="15"/>
  <c r="D35" i="15"/>
  <c r="B36" i="15"/>
  <c r="C36" i="15"/>
  <c r="D36" i="15"/>
  <c r="B37" i="15"/>
  <c r="C37" i="15"/>
  <c r="E37" i="15" s="1"/>
  <c r="D37" i="15"/>
  <c r="D30" i="15"/>
  <c r="C30" i="15"/>
  <c r="B30" i="15"/>
  <c r="B19" i="15"/>
  <c r="C19" i="15"/>
  <c r="D19" i="15"/>
  <c r="B20" i="15"/>
  <c r="C20" i="15"/>
  <c r="E20" i="15"/>
  <c r="D20" i="15"/>
  <c r="B21" i="15"/>
  <c r="C21" i="15"/>
  <c r="D21" i="15"/>
  <c r="B22" i="15"/>
  <c r="C22" i="15"/>
  <c r="E22" i="15" s="1"/>
  <c r="D22" i="15"/>
  <c r="B23" i="15"/>
  <c r="C23" i="15"/>
  <c r="E23" i="15" s="1"/>
  <c r="D23" i="15"/>
  <c r="B24" i="15"/>
  <c r="C24" i="15"/>
  <c r="E24" i="15" s="1"/>
  <c r="D24" i="15"/>
  <c r="B25" i="15"/>
  <c r="C25" i="15"/>
  <c r="E25" i="15" s="1"/>
  <c r="D25" i="15"/>
  <c r="B26" i="15"/>
  <c r="C26" i="15"/>
  <c r="E26" i="15"/>
  <c r="D26" i="15"/>
  <c r="B28" i="15"/>
  <c r="C28" i="15"/>
  <c r="D28" i="15"/>
  <c r="B5" i="15"/>
  <c r="B9" i="15" s="1"/>
  <c r="C5" i="15"/>
  <c r="B6" i="15"/>
  <c r="C6" i="15"/>
  <c r="B7" i="15"/>
  <c r="C7" i="15"/>
  <c r="B8" i="15"/>
  <c r="C8" i="15"/>
  <c r="B10" i="15"/>
  <c r="B12" i="15" s="1"/>
  <c r="C10" i="15"/>
  <c r="B11" i="15"/>
  <c r="C11" i="15"/>
  <c r="B14" i="15"/>
  <c r="C14" i="15"/>
  <c r="B15" i="15"/>
  <c r="C15" i="15"/>
  <c r="B16" i="15"/>
  <c r="E16" i="15" s="1"/>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9" i="15"/>
  <c r="E56" i="15"/>
  <c r="E73" i="15"/>
  <c r="E87" i="15"/>
  <c r="E90" i="15"/>
  <c r="E7" i="15"/>
  <c r="E31" i="15"/>
  <c r="E57" i="15"/>
  <c r="E14" i="15"/>
  <c r="E21" i="15"/>
  <c r="E28" i="15"/>
  <c r="E8" i="15"/>
  <c r="E19" i="15"/>
  <c r="E50" i="15"/>
  <c r="E99" i="15"/>
  <c r="E35" i="15"/>
  <c r="E83" i="15"/>
  <c r="E36" i="15"/>
  <c r="E30" i="15"/>
  <c r="E15" i="15"/>
  <c r="AJ993" i="3"/>
  <c r="AJ989" i="3"/>
  <c r="AJ986"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T731" i="3" s="1"/>
  <c r="AO644" i="3"/>
  <c r="AO646" i="3"/>
  <c r="AM572" i="3"/>
  <c r="AC756" i="3"/>
  <c r="AC776" i="3"/>
  <c r="H64" i="18"/>
  <c r="H65" i="18"/>
  <c r="H66" i="18"/>
  <c r="E64" i="18"/>
  <c r="E65" i="18"/>
  <c r="E66" i="18"/>
  <c r="B64" i="18"/>
  <c r="B65" i="18"/>
  <c r="B66" i="18"/>
  <c r="B101" i="4"/>
  <c r="R101" i="4"/>
  <c r="R67" i="4"/>
  <c r="R66" i="4"/>
  <c r="R65" i="4"/>
  <c r="B67" i="4"/>
  <c r="B66" i="4"/>
  <c r="B65" i="4"/>
  <c r="B36" i="4"/>
  <c r="R36" i="4"/>
  <c r="R24" i="4"/>
  <c r="B24" i="4"/>
  <c r="G52" i="9"/>
  <c r="I52" i="9"/>
  <c r="G53" i="9"/>
  <c r="I53" i="9" s="1"/>
  <c r="K53" i="9" s="1"/>
  <c r="M53" i="9"/>
  <c r="O53" i="9" s="1"/>
  <c r="Q53" i="9" s="1"/>
  <c r="S53" i="9" s="1"/>
  <c r="U53" i="9" s="1"/>
  <c r="W53" i="9" s="1"/>
  <c r="Y53" i="9" s="1"/>
  <c r="AA53" i="9" s="1"/>
  <c r="AC53" i="9" s="1"/>
  <c r="AE53" i="9" s="1"/>
  <c r="AG53" i="9" s="1"/>
  <c r="G54" i="9"/>
  <c r="I54" i="9"/>
  <c r="K54" i="9" s="1"/>
  <c r="M54" i="9" s="1"/>
  <c r="O54" i="9" s="1"/>
  <c r="Q54" i="9"/>
  <c r="S54" i="9" s="1"/>
  <c r="U54" i="9" s="1"/>
  <c r="W54" i="9" s="1"/>
  <c r="Y54" i="9" s="1"/>
  <c r="AA54" i="9" s="1"/>
  <c r="AC54" i="9" s="1"/>
  <c r="AE54" i="9" s="1"/>
  <c r="AG54" i="9" s="1"/>
  <c r="G55" i="9"/>
  <c r="I55" i="9"/>
  <c r="K55" i="9" s="1"/>
  <c r="M55" i="9" s="1"/>
  <c r="O55" i="9" s="1"/>
  <c r="Q55" i="9" s="1"/>
  <c r="S55" i="9" s="1"/>
  <c r="U55" i="9"/>
  <c r="W55" i="9" s="1"/>
  <c r="Y55" i="9" s="1"/>
  <c r="AA55" i="9" s="1"/>
  <c r="AC55" i="9" s="1"/>
  <c r="AE55" i="9" s="1"/>
  <c r="AG55" i="9" s="1"/>
  <c r="G56" i="9"/>
  <c r="I56" i="9"/>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I23" i="9"/>
  <c r="K23" i="9" s="1"/>
  <c r="M23" i="9" s="1"/>
  <c r="O23" i="9" s="1"/>
  <c r="Q23" i="9" s="1"/>
  <c r="S23" i="9" s="1"/>
  <c r="U23" i="9" s="1"/>
  <c r="W23" i="9" s="1"/>
  <c r="Y23" i="9" s="1"/>
  <c r="AA23" i="9" s="1"/>
  <c r="AC23" i="9" s="1"/>
  <c r="AE23" i="9" s="1"/>
  <c r="AG23" i="9" s="1"/>
  <c r="G23" i="9"/>
  <c r="AG494" i="6"/>
  <c r="AG492" i="6"/>
  <c r="AG505" i="6"/>
  <c r="AG503" i="6"/>
  <c r="AG499" i="6"/>
  <c r="AG530" i="6"/>
  <c r="AD66" i="5"/>
  <c r="Y66" i="5"/>
  <c r="AI7" i="5"/>
  <c r="AI11" i="5"/>
  <c r="AI23" i="5" s="1"/>
  <c r="AI26" i="5" s="1"/>
  <c r="AD20" i="5"/>
  <c r="AD22" i="5" s="1"/>
  <c r="BA945" i="3"/>
  <c r="BA946" i="3"/>
  <c r="BA947" i="3"/>
  <c r="BA948" i="3"/>
  <c r="BA949" i="3"/>
  <c r="BA950" i="3"/>
  <c r="BA951" i="3"/>
  <c r="BA952" i="3"/>
  <c r="BA953" i="3"/>
  <c r="G90" i="25"/>
  <c r="G91" i="25"/>
  <c r="G98" i="25" s="1"/>
  <c r="G92" i="25"/>
  <c r="G93" i="25"/>
  <c r="G94" i="25"/>
  <c r="G95" i="25"/>
  <c r="G96" i="25"/>
  <c r="G97" i="25"/>
  <c r="Q91" i="25"/>
  <c r="Q93" i="25" s="1"/>
  <c r="D100" i="25" s="1"/>
  <c r="D102" i="25" s="1"/>
  <c r="D104" i="25" s="1"/>
  <c r="D110" i="25" s="1"/>
  <c r="B15" i="4"/>
  <c r="Q48" i="25"/>
  <c r="D8" i="4"/>
  <c r="B8" i="4" s="1"/>
  <c r="D11" i="4"/>
  <c r="D26" i="4"/>
  <c r="D38" i="4"/>
  <c r="D42" i="4"/>
  <c r="D53" i="4"/>
  <c r="D61" i="4"/>
  <c r="D69" i="4"/>
  <c r="D76" i="4"/>
  <c r="D80" i="4"/>
  <c r="D95" i="4"/>
  <c r="D103" i="4"/>
  <c r="C8" i="4"/>
  <c r="C11" i="4"/>
  <c r="C26" i="4"/>
  <c r="C38" i="4"/>
  <c r="C42" i="4"/>
  <c r="C43" i="15" s="1"/>
  <c r="C53" i="4"/>
  <c r="C61" i="4"/>
  <c r="C69" i="4"/>
  <c r="C76" i="4"/>
  <c r="C80" i="4"/>
  <c r="C95" i="4"/>
  <c r="C103" i="4"/>
  <c r="C65" i="25"/>
  <c r="C66" i="25"/>
  <c r="G67" i="25"/>
  <c r="Y20" i="5"/>
  <c r="Y22" i="5"/>
  <c r="AI20" i="5"/>
  <c r="AI22" i="5" s="1"/>
  <c r="S26" i="4"/>
  <c r="F25" i="18"/>
  <c r="F37" i="18"/>
  <c r="F41" i="18"/>
  <c r="F52" i="18"/>
  <c r="F68" i="18"/>
  <c r="F79" i="18"/>
  <c r="F94" i="18"/>
  <c r="F102" i="18"/>
  <c r="T20" i="5"/>
  <c r="T22" i="5"/>
  <c r="T26" i="4"/>
  <c r="T38" i="4"/>
  <c r="T42" i="4"/>
  <c r="T53" i="4"/>
  <c r="T11" i="4"/>
  <c r="T69" i="4"/>
  <c r="H68" i="18" s="1"/>
  <c r="T80" i="4"/>
  <c r="H79" i="18" s="1"/>
  <c r="T95" i="4"/>
  <c r="T103" i="4"/>
  <c r="I11" i="18"/>
  <c r="I25" i="18"/>
  <c r="I37" i="18"/>
  <c r="I41" i="18"/>
  <c r="I52" i="18"/>
  <c r="I68" i="18"/>
  <c r="I79" i="18"/>
  <c r="I94" i="18"/>
  <c r="I102" i="18"/>
  <c r="U61" i="25"/>
  <c r="U63" i="25"/>
  <c r="U69" i="25" s="1"/>
  <c r="U65" i="25"/>
  <c r="U67" i="25"/>
  <c r="R83" i="4"/>
  <c r="S83" i="4" s="1"/>
  <c r="AG434" i="3"/>
  <c r="AG437" i="3"/>
  <c r="BN614" i="3"/>
  <c r="BN615" i="3"/>
  <c r="BN616" i="3"/>
  <c r="BN617" i="3"/>
  <c r="BN618" i="3"/>
  <c r="BN619" i="3"/>
  <c r="BN620" i="3"/>
  <c r="BN621" i="3"/>
  <c r="BN622" i="3"/>
  <c r="BN623" i="3"/>
  <c r="BN624" i="3"/>
  <c r="BN625" i="3"/>
  <c r="BN626" i="3"/>
  <c r="BS614" i="3"/>
  <c r="BS615" i="3"/>
  <c r="BS616" i="3"/>
  <c r="BS617" i="3"/>
  <c r="BS618" i="3"/>
  <c r="BS619" i="3"/>
  <c r="BS620" i="3"/>
  <c r="BS621" i="3"/>
  <c r="BS622" i="3"/>
  <c r="BS623" i="3"/>
  <c r="BS624" i="3"/>
  <c r="BS625" i="3"/>
  <c r="BS626" i="3"/>
  <c r="BX614" i="3"/>
  <c r="BX615" i="3"/>
  <c r="BX616" i="3"/>
  <c r="BX617" i="3"/>
  <c r="BX618" i="3"/>
  <c r="BX619" i="3"/>
  <c r="BX620" i="3"/>
  <c r="BX621" i="3"/>
  <c r="BX622" i="3"/>
  <c r="BX623" i="3"/>
  <c r="BX624" i="3"/>
  <c r="BX625" i="3"/>
  <c r="BX626" i="3"/>
  <c r="CC614" i="3"/>
  <c r="CC615" i="3"/>
  <c r="CC616" i="3"/>
  <c r="CC617" i="3"/>
  <c r="CC618" i="3"/>
  <c r="CC619" i="3"/>
  <c r="CC620" i="3"/>
  <c r="CC621" i="3"/>
  <c r="CC622" i="3"/>
  <c r="CC623" i="3"/>
  <c r="CC624" i="3"/>
  <c r="CC625" i="3"/>
  <c r="CC626" i="3"/>
  <c r="CH614" i="3"/>
  <c r="CH615" i="3"/>
  <c r="CH616" i="3"/>
  <c r="CH617" i="3"/>
  <c r="CH618" i="3"/>
  <c r="CH619" i="3"/>
  <c r="CH620" i="3"/>
  <c r="CH621" i="3"/>
  <c r="CH622" i="3"/>
  <c r="CH623" i="3"/>
  <c r="CH624" i="3"/>
  <c r="CH625" i="3"/>
  <c r="CH626"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46" i="3" s="1"/>
  <c r="BW647" i="3" s="1"/>
  <c r="BS638" i="3"/>
  <c r="BS639" i="3"/>
  <c r="BS640" i="3"/>
  <c r="BS641" i="3"/>
  <c r="BS642" i="3"/>
  <c r="BS643" i="3"/>
  <c r="BS644" i="3"/>
  <c r="M27" i="28"/>
  <c r="BS645" i="3"/>
  <c r="BX636" i="3"/>
  <c r="BX637" i="3"/>
  <c r="BX638" i="3"/>
  <c r="BX639" i="3"/>
  <c r="BX640" i="3"/>
  <c r="BX641" i="3"/>
  <c r="BX642" i="3"/>
  <c r="BX646" i="3" s="1"/>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14" i="27"/>
  <c r="Y22" i="27"/>
  <c r="Y15" i="27"/>
  <c r="Y16" i="27"/>
  <c r="Y17" i="27"/>
  <c r="Y18" i="27"/>
  <c r="Y19" i="27"/>
  <c r="AD13" i="27"/>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s="1"/>
  <c r="T21" i="26"/>
  <c r="Y21" i="26"/>
  <c r="AD21" i="26"/>
  <c r="AI21" i="26"/>
  <c r="C19" i="26"/>
  <c r="T13" i="26"/>
  <c r="Y13" i="26"/>
  <c r="Y14" i="26"/>
  <c r="Y20" i="26" s="1"/>
  <c r="Y22" i="26" s="1"/>
  <c r="Y15" i="26"/>
  <c r="Y16" i="26"/>
  <c r="Y17" i="26"/>
  <c r="Y18" i="26"/>
  <c r="Y19" i="26"/>
  <c r="AD13" i="26"/>
  <c r="AI13" i="26"/>
  <c r="T14" i="26"/>
  <c r="T20" i="26" s="1"/>
  <c r="T22" i="26" s="1"/>
  <c r="AD14" i="26"/>
  <c r="AI14" i="26"/>
  <c r="AI20" i="26" s="1"/>
  <c r="T15" i="26"/>
  <c r="AD15" i="26"/>
  <c r="AI15" i="26"/>
  <c r="T16" i="26"/>
  <c r="AD16" i="26"/>
  <c r="AI16" i="26"/>
  <c r="T17" i="26"/>
  <c r="AD17" i="26"/>
  <c r="AI17" i="26"/>
  <c r="T18" i="26"/>
  <c r="AD18" i="26"/>
  <c r="AI18" i="26"/>
  <c r="T19" i="26"/>
  <c r="AD19" i="26"/>
  <c r="AI19" i="26"/>
  <c r="AD67"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62" i="4" s="1"/>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S79" i="4" s="1"/>
  <c r="S80" i="4" s="1"/>
  <c r="E79" i="18" s="1"/>
  <c r="AG443" i="3"/>
  <c r="B94" i="18"/>
  <c r="B102" i="4"/>
  <c r="B53" i="4"/>
  <c r="B25" i="18"/>
  <c r="G25" i="18"/>
  <c r="G37" i="18"/>
  <c r="G41" i="18"/>
  <c r="G52" i="18"/>
  <c r="G68" i="18"/>
  <c r="G94" i="18"/>
  <c r="G102" i="18"/>
  <c r="C9" i="9"/>
  <c r="C7" i="9"/>
  <c r="C5" i="9"/>
  <c r="H5" i="10"/>
  <c r="I5" i="10" s="1"/>
  <c r="H6" i="10"/>
  <c r="I6" i="10"/>
  <c r="H7" i="10"/>
  <c r="I7" i="10"/>
  <c r="H8" i="10"/>
  <c r="I8" i="10"/>
  <c r="H9" i="10"/>
  <c r="I9" i="10" s="1"/>
  <c r="H10" i="10"/>
  <c r="I10" i="10"/>
  <c r="H11" i="10"/>
  <c r="I11" i="10"/>
  <c r="H12" i="10"/>
  <c r="I12" i="10"/>
  <c r="H13" i="10"/>
  <c r="I13" i="10" s="1"/>
  <c r="H14" i="10"/>
  <c r="I14" i="10"/>
  <c r="H15" i="10"/>
  <c r="I15" i="10"/>
  <c r="H16" i="10"/>
  <c r="I16" i="10"/>
  <c r="H17" i="10"/>
  <c r="I17" i="10" s="1"/>
  <c r="H18" i="10"/>
  <c r="I18" i="10"/>
  <c r="H19" i="10"/>
  <c r="I19" i="10"/>
  <c r="H20" i="10"/>
  <c r="I20" i="10"/>
  <c r="H21" i="10"/>
  <c r="I21" i="10" s="1"/>
  <c r="H22" i="10"/>
  <c r="I22" i="10"/>
  <c r="H23" i="10"/>
  <c r="I23" i="10"/>
  <c r="H24" i="10"/>
  <c r="I24" i="10"/>
  <c r="H25" i="10"/>
  <c r="I25" i="10" s="1"/>
  <c r="H26" i="10"/>
  <c r="I26" i="10"/>
  <c r="H27" i="10"/>
  <c r="I27" i="10"/>
  <c r="H28" i="10"/>
  <c r="I28" i="10"/>
  <c r="H4" i="10"/>
  <c r="I4" i="10" s="1"/>
  <c r="A5" i="10"/>
  <c r="B5" i="10"/>
  <c r="F5" i="10" s="1"/>
  <c r="A6" i="10"/>
  <c r="B6" i="10"/>
  <c r="F6" i="10"/>
  <c r="A7" i="10"/>
  <c r="B7" i="10"/>
  <c r="F7" i="10"/>
  <c r="A8" i="10"/>
  <c r="B8" i="10"/>
  <c r="F8" i="10"/>
  <c r="A9" i="10"/>
  <c r="B9" i="10"/>
  <c r="F9" i="10" s="1"/>
  <c r="A10" i="10"/>
  <c r="B10" i="10"/>
  <c r="F10" i="10"/>
  <c r="A11" i="10"/>
  <c r="B11" i="10"/>
  <c r="F11" i="10"/>
  <c r="A12" i="10"/>
  <c r="B12" i="10"/>
  <c r="F12" i="10" s="1"/>
  <c r="A13" i="10"/>
  <c r="B13" i="10"/>
  <c r="F13" i="10" s="1"/>
  <c r="A14" i="10"/>
  <c r="B14" i="10"/>
  <c r="F14" i="10"/>
  <c r="A15" i="10"/>
  <c r="B15" i="10"/>
  <c r="F15" i="10"/>
  <c r="A16" i="10"/>
  <c r="B16" i="10"/>
  <c r="F16" i="10"/>
  <c r="A17" i="10"/>
  <c r="B17" i="10"/>
  <c r="F17" i="10" s="1"/>
  <c r="A18" i="10"/>
  <c r="B18" i="10"/>
  <c r="F18" i="10"/>
  <c r="A19" i="10"/>
  <c r="B19" i="10"/>
  <c r="F19" i="10" s="1"/>
  <c r="A20" i="10"/>
  <c r="B20" i="10"/>
  <c r="F20" i="10" s="1"/>
  <c r="A21" i="10"/>
  <c r="B21" i="10"/>
  <c r="F21" i="10" s="1"/>
  <c r="A22" i="10"/>
  <c r="B22" i="10"/>
  <c r="F22" i="10"/>
  <c r="A23" i="10"/>
  <c r="B23" i="10"/>
  <c r="F23" i="10"/>
  <c r="A24" i="10"/>
  <c r="B24" i="10"/>
  <c r="F24" i="10"/>
  <c r="A25" i="10"/>
  <c r="B25" i="10"/>
  <c r="F25" i="10" s="1"/>
  <c r="A26" i="10"/>
  <c r="B26" i="10"/>
  <c r="F26" i="10"/>
  <c r="A27" i="10"/>
  <c r="B27" i="10"/>
  <c r="F27" i="10" s="1"/>
  <c r="A28" i="10"/>
  <c r="B28" i="10"/>
  <c r="F28" i="10" s="1"/>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5" i="18"/>
  <c r="E77" i="18"/>
  <c r="E67" i="18"/>
  <c r="E50" i="18"/>
  <c r="E47" i="18"/>
  <c r="E46" i="18"/>
  <c r="E45" i="18"/>
  <c r="E36" i="18"/>
  <c r="E33" i="18"/>
  <c r="E32" i="18"/>
  <c r="E31"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R94" i="4"/>
  <c r="R82" i="4"/>
  <c r="R84" i="4"/>
  <c r="S84" i="4" s="1"/>
  <c r="E83" i="18" s="1"/>
  <c r="R85" i="4"/>
  <c r="S85" i="4" s="1"/>
  <c r="E84" i="18" s="1"/>
  <c r="R86" i="4"/>
  <c r="R87" i="4"/>
  <c r="R88" i="4"/>
  <c r="S88" i="4" s="1"/>
  <c r="E87" i="18" s="1"/>
  <c r="R89" i="4"/>
  <c r="S89" i="4" s="1"/>
  <c r="E88" i="18" s="1"/>
  <c r="R90" i="4"/>
  <c r="S90" i="4" s="1"/>
  <c r="E89" i="18" s="1"/>
  <c r="R91" i="4"/>
  <c r="S91" i="4" s="1"/>
  <c r="E90" i="18" s="1"/>
  <c r="R92" i="4"/>
  <c r="R93" i="4"/>
  <c r="R60" i="4"/>
  <c r="R59" i="4"/>
  <c r="R58" i="4"/>
  <c r="R57" i="4"/>
  <c r="R56" i="4"/>
  <c r="R52" i="4"/>
  <c r="S52" i="4" s="1"/>
  <c r="E51" i="18" s="1"/>
  <c r="R50" i="4"/>
  <c r="S50" i="4" s="1"/>
  <c r="E49" i="18" s="1"/>
  <c r="R49" i="4"/>
  <c r="S49" i="4" s="1"/>
  <c r="E48" i="18" s="1"/>
  <c r="R48" i="4"/>
  <c r="R47" i="4"/>
  <c r="R43" i="4"/>
  <c r="S43" i="4" s="1"/>
  <c r="E42" i="18" s="1"/>
  <c r="R41" i="4"/>
  <c r="S41" i="4" s="1"/>
  <c r="E40" i="18" s="1"/>
  <c r="R40" i="4"/>
  <c r="S40" i="4" s="1"/>
  <c r="E39" i="18" s="1"/>
  <c r="R37" i="4"/>
  <c r="R34" i="4"/>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B41" i="18"/>
  <c r="B61" i="4"/>
  <c r="B102" i="18"/>
  <c r="Z795" i="3"/>
  <c r="E8" i="9"/>
  <c r="W825" i="3"/>
  <c r="E15" i="9"/>
  <c r="G15" i="9" s="1"/>
  <c r="I15" i="9"/>
  <c r="K15" i="9" s="1"/>
  <c r="M15" i="9" s="1"/>
  <c r="O15" i="9" s="1"/>
  <c r="Q15" i="9" s="1"/>
  <c r="S15" i="9" s="1"/>
  <c r="U15" i="9" s="1"/>
  <c r="W15" i="9" s="1"/>
  <c r="Y15" i="9"/>
  <c r="AA15" i="9" s="1"/>
  <c r="AC15" i="9" s="1"/>
  <c r="AE15" i="9" s="1"/>
  <c r="AG15" i="9" s="1"/>
  <c r="W833" i="3"/>
  <c r="E16" i="9" s="1"/>
  <c r="G16" i="9" s="1"/>
  <c r="I16" i="9"/>
  <c r="K16" i="9" s="1"/>
  <c r="M16" i="9" s="1"/>
  <c r="O16" i="9" s="1"/>
  <c r="Q16" i="9" s="1"/>
  <c r="S16" i="9" s="1"/>
  <c r="U16" i="9" s="1"/>
  <c r="W16" i="9" s="1"/>
  <c r="Y16" i="9" s="1"/>
  <c r="AA16" i="9" s="1"/>
  <c r="AC16" i="9" s="1"/>
  <c r="AE16" i="9" s="1"/>
  <c r="AG16" i="9" s="1"/>
  <c r="W840" i="3"/>
  <c r="E17" i="9" s="1"/>
  <c r="G17" i="9" s="1"/>
  <c r="I17" i="9" s="1"/>
  <c r="E18" i="9"/>
  <c r="W850" i="3"/>
  <c r="E19" i="9" s="1"/>
  <c r="G19" i="9" s="1"/>
  <c r="I19" i="9" s="1"/>
  <c r="K19" i="9" s="1"/>
  <c r="M19" i="9" s="1"/>
  <c r="O19" i="9" s="1"/>
  <c r="Q19" i="9" s="1"/>
  <c r="S19" i="9" s="1"/>
  <c r="U19" i="9" s="1"/>
  <c r="W19" i="9" s="1"/>
  <c r="Y19" i="9" s="1"/>
  <c r="AA19" i="9" s="1"/>
  <c r="AC19" i="9" s="1"/>
  <c r="AE19" i="9" s="1"/>
  <c r="AG19" i="9" s="1"/>
  <c r="W857" i="3"/>
  <c r="E20" i="9" s="1"/>
  <c r="G20" i="9"/>
  <c r="I20" i="9" s="1"/>
  <c r="K20" i="9" s="1"/>
  <c r="M20" i="9" s="1"/>
  <c r="O20" i="9" s="1"/>
  <c r="Q20" i="9" s="1"/>
  <c r="S20" i="9" s="1"/>
  <c r="U20" i="9" s="1"/>
  <c r="W20" i="9" s="1"/>
  <c r="Y20" i="9" s="1"/>
  <c r="AA20" i="9" s="1"/>
  <c r="AC20" i="9" s="1"/>
  <c r="AE20" i="9" s="1"/>
  <c r="AG20" i="9" s="1"/>
  <c r="E25" i="9"/>
  <c r="G25" i="9" s="1"/>
  <c r="I25" i="9"/>
  <c r="K25" i="9" s="1"/>
  <c r="M25" i="9" s="1"/>
  <c r="O25" i="9" s="1"/>
  <c r="Q25" i="9" s="1"/>
  <c r="S25" i="9" s="1"/>
  <c r="U25" i="9" s="1"/>
  <c r="W25" i="9" s="1"/>
  <c r="Y25" i="9"/>
  <c r="AA25" i="9" s="1"/>
  <c r="AC25" i="9" s="1"/>
  <c r="AE25" i="9" s="1"/>
  <c r="AG25" i="9" s="1"/>
  <c r="E26" i="9"/>
  <c r="G26" i="9" s="1"/>
  <c r="I26" i="9" s="1"/>
  <c r="K26" i="9"/>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E42" i="9" s="1"/>
  <c r="AG41" i="9"/>
  <c r="E57" i="9"/>
  <c r="G57" i="9"/>
  <c r="AO110" i="6"/>
  <c r="AJ156" i="6"/>
  <c r="BJ530" i="6"/>
  <c r="Q587" i="6"/>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3" i="4" s="1"/>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G604" i="3"/>
  <c r="BK604" i="3"/>
  <c r="BG605" i="3"/>
  <c r="BG606" i="3"/>
  <c r="BK606" i="3"/>
  <c r="G606" i="3"/>
  <c r="Z606" i="3"/>
  <c r="BG607" i="3"/>
  <c r="BK607" i="3"/>
  <c r="BG608" i="3"/>
  <c r="BK608" i="3"/>
  <c r="BG609" i="3"/>
  <c r="BK609" i="3"/>
  <c r="BG610" i="3"/>
  <c r="BK610" i="3"/>
  <c r="BG611" i="3"/>
  <c r="BK611" i="3"/>
  <c r="BK612" i="3"/>
  <c r="BG613" i="3"/>
  <c r="BK613" i="3"/>
  <c r="BG614" i="3"/>
  <c r="BK614" i="3"/>
  <c r="G614" i="3"/>
  <c r="Z614" i="3"/>
  <c r="BG615" i="3"/>
  <c r="BK615" i="3"/>
  <c r="BG616" i="3"/>
  <c r="BK616" i="3"/>
  <c r="BG617" i="3"/>
  <c r="BK617" i="3"/>
  <c r="BG618" i="3"/>
  <c r="BK618" i="3"/>
  <c r="BG619" i="3"/>
  <c r="BK619" i="3"/>
  <c r="BG620" i="3"/>
  <c r="BK620" i="3"/>
  <c r="BG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H702" i="3" s="1"/>
  <c r="BG703" i="3"/>
  <c r="BG704" i="3"/>
  <c r="BG705" i="3"/>
  <c r="BG706" i="3"/>
  <c r="BG707" i="3"/>
  <c r="BG708" i="3"/>
  <c r="BG709" i="3"/>
  <c r="BG710" i="3"/>
  <c r="BG711" i="3"/>
  <c r="BG712" i="3"/>
  <c r="BG713" i="3"/>
  <c r="BG714" i="3"/>
  <c r="BA691" i="3"/>
  <c r="BA692" i="3"/>
  <c r="BA693" i="3"/>
  <c r="BA694" i="3"/>
  <c r="AM711" i="3" s="1"/>
  <c r="BA695" i="3"/>
  <c r="AM712" i="3" s="1"/>
  <c r="BA696" i="3"/>
  <c r="BA697" i="3"/>
  <c r="AM714" i="3" s="1"/>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c r="B26" i="4"/>
  <c r="B80" i="4"/>
  <c r="B95" i="4"/>
  <c r="D12" i="4"/>
  <c r="B43" i="15"/>
  <c r="E43" i="15" s="1"/>
  <c r="D43" i="15"/>
  <c r="G12" i="4"/>
  <c r="C104" i="15"/>
  <c r="B104" i="15"/>
  <c r="D104" i="15"/>
  <c r="C39" i="15"/>
  <c r="B39" i="15"/>
  <c r="E39" i="15"/>
  <c r="D39" i="15"/>
  <c r="AC42" i="9"/>
  <c r="B96" i="15"/>
  <c r="C96" i="15"/>
  <c r="E96" i="15"/>
  <c r="D96" i="15"/>
  <c r="B27" i="15"/>
  <c r="D27" i="15"/>
  <c r="C27" i="15"/>
  <c r="C81" i="15"/>
  <c r="B81" i="15"/>
  <c r="E81" i="15"/>
  <c r="D81" i="15"/>
  <c r="B11" i="4"/>
  <c r="B76" i="4"/>
  <c r="B77" i="15"/>
  <c r="C77" i="15"/>
  <c r="D77" i="15"/>
  <c r="T62" i="4"/>
  <c r="B68" i="18"/>
  <c r="B70" i="15"/>
  <c r="C70" i="15"/>
  <c r="D70" i="15"/>
  <c r="C62" i="15"/>
  <c r="D62" i="15"/>
  <c r="B62" i="15"/>
  <c r="B54" i="15"/>
  <c r="C54" i="15"/>
  <c r="E54" i="15" s="1"/>
  <c r="D54" i="15"/>
  <c r="B11" i="18"/>
  <c r="E50" i="25"/>
  <c r="G52" i="25" s="1"/>
  <c r="AB47" i="5"/>
  <c r="AM709" i="3"/>
  <c r="AM707" i="3"/>
  <c r="AM718" i="3"/>
  <c r="AM717" i="3"/>
  <c r="AM716" i="3"/>
  <c r="AM715" i="3"/>
  <c r="AM710" i="3"/>
  <c r="AM713" i="3"/>
  <c r="AM708" i="3"/>
  <c r="R950" i="3"/>
  <c r="R951" i="3"/>
  <c r="R949" i="3"/>
  <c r="R948" i="3"/>
  <c r="R947" i="3"/>
  <c r="AG438" i="3"/>
  <c r="Y27" i="26" s="1"/>
  <c r="AB47" i="26"/>
  <c r="I61" i="18"/>
  <c r="I95" i="18" s="1"/>
  <c r="I103" i="18"/>
  <c r="I105" i="18"/>
  <c r="J61" i="18"/>
  <c r="J95" i="18"/>
  <c r="J103" i="18" s="1"/>
  <c r="J105" i="18" s="1"/>
  <c r="R76" i="4"/>
  <c r="K12" i="4"/>
  <c r="B12" i="4"/>
  <c r="B42" i="4"/>
  <c r="J12" i="4"/>
  <c r="R11" i="4"/>
  <c r="R12" i="4" s="1"/>
  <c r="R8" i="4"/>
  <c r="D12" i="15"/>
  <c r="B103" i="4"/>
  <c r="R69" i="4"/>
  <c r="G62" i="4"/>
  <c r="G96" i="4" s="1"/>
  <c r="G104" i="4" s="1"/>
  <c r="E62" i="4"/>
  <c r="E96" i="4" s="1"/>
  <c r="E104" i="4" s="1"/>
  <c r="D9" i="15"/>
  <c r="C61" i="18"/>
  <c r="C95" i="18" s="1"/>
  <c r="C103" i="18"/>
  <c r="C12" i="18"/>
  <c r="E12" i="4"/>
  <c r="M96" i="4"/>
  <c r="M104" i="4" s="1"/>
  <c r="J62" i="4"/>
  <c r="J96" i="4"/>
  <c r="J104" i="4" s="1"/>
  <c r="C12" i="4"/>
  <c r="B12" i="18" s="1"/>
  <c r="R53" i="4"/>
  <c r="R61" i="4"/>
  <c r="F62" i="4"/>
  <c r="F96" i="4" s="1"/>
  <c r="F104" i="4" s="1"/>
  <c r="R95" i="4"/>
  <c r="O62" i="4"/>
  <c r="O96" i="4"/>
  <c r="O104" i="4" s="1"/>
  <c r="N62" i="4"/>
  <c r="N96" i="4"/>
  <c r="N104" i="4" s="1"/>
  <c r="D62" i="4"/>
  <c r="D96" i="4"/>
  <c r="D104" i="4" s="1"/>
  <c r="B75" i="18"/>
  <c r="B8" i="18"/>
  <c r="R26" i="4"/>
  <c r="L62" i="4"/>
  <c r="L96" i="4" s="1"/>
  <c r="L104" i="4" s="1"/>
  <c r="H12" i="4"/>
  <c r="H11" i="18"/>
  <c r="Q62" i="4"/>
  <c r="Q96" i="4"/>
  <c r="Q104" i="4" s="1"/>
  <c r="K62" i="4"/>
  <c r="K96" i="4"/>
  <c r="K104" i="4" s="1"/>
  <c r="I62" i="4"/>
  <c r="I96" i="4"/>
  <c r="I104" i="4" s="1"/>
  <c r="R38" i="4"/>
  <c r="R42" i="4"/>
  <c r="T96" i="4"/>
  <c r="H61" i="18"/>
  <c r="H62" i="4"/>
  <c r="H96" i="4"/>
  <c r="H104" i="4" s="1"/>
  <c r="M12" i="4"/>
  <c r="D12" i="18"/>
  <c r="P62" i="4"/>
  <c r="P96" i="4" s="1"/>
  <c r="P104" i="4" s="1"/>
  <c r="B69" i="4"/>
  <c r="C62" i="4"/>
  <c r="G61" i="18"/>
  <c r="G95" i="18" s="1"/>
  <c r="G103" i="18" s="1"/>
  <c r="G105" i="18" s="1"/>
  <c r="B38" i="4"/>
  <c r="F61" i="18"/>
  <c r="F95" i="18" s="1"/>
  <c r="F103" i="18"/>
  <c r="F105" i="18"/>
  <c r="D61" i="18"/>
  <c r="D95" i="18"/>
  <c r="D103" i="18" s="1"/>
  <c r="AP383" i="6"/>
  <c r="AQ383" i="6"/>
  <c r="AK285" i="6"/>
  <c r="T686" i="6"/>
  <c r="AO679" i="6"/>
  <c r="AO654" i="6"/>
  <c r="AK671" i="6"/>
  <c r="T693" i="6" s="1"/>
  <c r="AF693" i="6" s="1"/>
  <c r="AK542" i="6"/>
  <c r="AP370" i="6"/>
  <c r="AQ370" i="6"/>
  <c r="Q588" i="6"/>
  <c r="W588" i="6" s="1"/>
  <c r="AC588" i="6" s="1"/>
  <c r="G38" i="25"/>
  <c r="G53" i="25"/>
  <c r="O27" i="9"/>
  <c r="U27" i="9"/>
  <c r="W27" i="9"/>
  <c r="Y27" i="9"/>
  <c r="I27" i="9"/>
  <c r="Q27" i="9"/>
  <c r="S27" i="9"/>
  <c r="AA27" i="9"/>
  <c r="AG27" i="9"/>
  <c r="AE27" i="9"/>
  <c r="K27" i="9"/>
  <c r="G27" i="9"/>
  <c r="S39" i="9"/>
  <c r="S42" i="9" s="1"/>
  <c r="AA39" i="9"/>
  <c r="AA42" i="9" s="1"/>
  <c r="Q39" i="9"/>
  <c r="Q42" i="9"/>
  <c r="G39" i="9"/>
  <c r="CS628" i="3"/>
  <c r="T612" i="6" s="1"/>
  <c r="O39" i="9"/>
  <c r="CC634" i="3"/>
  <c r="BS634" i="3"/>
  <c r="CM646" i="3"/>
  <c r="E42" i="9"/>
  <c r="CM634" i="3"/>
  <c r="CX628" i="3"/>
  <c r="T611" i="6"/>
  <c r="Y611" i="6" s="1"/>
  <c r="DH628" i="3"/>
  <c r="T609" i="6" s="1"/>
  <c r="DM628" i="3"/>
  <c r="T608" i="6" s="1"/>
  <c r="W39" i="9"/>
  <c r="W42" i="9" s="1"/>
  <c r="AC861" i="3"/>
  <c r="AE39" i="9"/>
  <c r="K39" i="9"/>
  <c r="K42" i="9" s="1"/>
  <c r="AG39" i="9"/>
  <c r="AG42" i="9" s="1"/>
  <c r="BX634" i="3"/>
  <c r="BN634" i="3"/>
  <c r="U39" i="9"/>
  <c r="U42" i="9"/>
  <c r="Y39" i="9"/>
  <c r="DC628" i="3"/>
  <c r="T610" i="6" s="1"/>
  <c r="CH646" i="3"/>
  <c r="CL647" i="3"/>
  <c r="BN646" i="3"/>
  <c r="BR647" i="3" s="1"/>
  <c r="AT260" i="3"/>
  <c r="BO245" i="3" s="1"/>
  <c r="T269" i="3" s="1"/>
  <c r="DR628" i="3"/>
  <c r="T607" i="6"/>
  <c r="CC646" i="3"/>
  <c r="CG647" i="3" s="1"/>
  <c r="BK628" i="3"/>
  <c r="AC862" i="3"/>
  <c r="BG715" i="3"/>
  <c r="BH706" i="3" s="1"/>
  <c r="CB647" i="3"/>
  <c r="CH634" i="3"/>
  <c r="AY932" i="3"/>
  <c r="AY924" i="3" s="1"/>
  <c r="AY928" i="3" s="1"/>
  <c r="G8" i="9"/>
  <c r="E9" i="9"/>
  <c r="BG628" i="3"/>
  <c r="AY930" i="3"/>
  <c r="B1011" i="3"/>
  <c r="AK66" i="6"/>
  <c r="Q591" i="6"/>
  <c r="W591" i="6"/>
  <c r="Q589" i="6"/>
  <c r="W589" i="6"/>
  <c r="AC589" i="6"/>
  <c r="Q586" i="6"/>
  <c r="W586" i="6"/>
  <c r="AC586" i="6" s="1"/>
  <c r="AC27" i="9"/>
  <c r="Q585" i="6"/>
  <c r="W585" i="6" s="1"/>
  <c r="AC585" i="6"/>
  <c r="Q590" i="6"/>
  <c r="W590" i="6" s="1"/>
  <c r="AC590" i="6"/>
  <c r="Q584" i="6"/>
  <c r="W584" i="6" s="1"/>
  <c r="AC584" i="6" s="1"/>
  <c r="BD526" i="6"/>
  <c r="Q583" i="6"/>
  <c r="W583" i="6" s="1"/>
  <c r="AC583" i="6" s="1"/>
  <c r="C67" i="25"/>
  <c r="T681" i="6"/>
  <c r="AF681" i="6" s="1"/>
  <c r="I39" i="9"/>
  <c r="I42" i="9" s="1"/>
  <c r="F30" i="10"/>
  <c r="I30" i="10"/>
  <c r="Z787" i="3" s="1"/>
  <c r="E6" i="9" s="1"/>
  <c r="G6" i="9" s="1"/>
  <c r="G18" i="9"/>
  <c r="E21" i="9"/>
  <c r="E34" i="9" s="1"/>
  <c r="AD63" i="5"/>
  <c r="AD7" i="5"/>
  <c r="I14" i="9"/>
  <c r="T7" i="5"/>
  <c r="M39" i="9"/>
  <c r="M42" i="9"/>
  <c r="Y7" i="5"/>
  <c r="Y11" i="5" s="1"/>
  <c r="Y23" i="5" s="1"/>
  <c r="Y26" i="5" s="1"/>
  <c r="Y28" i="5" s="1"/>
  <c r="E70" i="15"/>
  <c r="E104" i="15"/>
  <c r="E27" i="15"/>
  <c r="E62" i="15"/>
  <c r="E77" i="15"/>
  <c r="T27" i="26"/>
  <c r="Y27" i="5"/>
  <c r="AI27" i="5"/>
  <c r="AI28" i="5" s="1"/>
  <c r="AD27" i="26"/>
  <c r="AD27" i="5"/>
  <c r="AI27" i="26"/>
  <c r="T27" i="5"/>
  <c r="AD27" i="27"/>
  <c r="B63" i="15"/>
  <c r="C63" i="15"/>
  <c r="BH700" i="3"/>
  <c r="BI700" i="3"/>
  <c r="D13" i="15"/>
  <c r="CS634" i="3"/>
  <c r="CQ648" i="3"/>
  <c r="BI706" i="3"/>
  <c r="BH695" i="3"/>
  <c r="BI695" i="3" s="1"/>
  <c r="BH691" i="3"/>
  <c r="BI691" i="3" s="1"/>
  <c r="BH709" i="3"/>
  <c r="BI709" i="3"/>
  <c r="BH694" i="3"/>
  <c r="BI694" i="3"/>
  <c r="CQ647" i="3"/>
  <c r="BH703" i="3"/>
  <c r="BI703" i="3" s="1"/>
  <c r="C96" i="4"/>
  <c r="R62" i="4"/>
  <c r="H95" i="18"/>
  <c r="T104" i="4"/>
  <c r="AS359" i="6"/>
  <c r="AS357" i="6"/>
  <c r="AZ575" i="6"/>
  <c r="AP535" i="6"/>
  <c r="AX585" i="6" s="1"/>
  <c r="AX590" i="6" s="1"/>
  <c r="AX591" i="6" s="1"/>
  <c r="AZ577" i="6"/>
  <c r="BY531" i="6"/>
  <c r="BY533" i="6" s="1"/>
  <c r="AP538" i="6"/>
  <c r="BH710" i="3"/>
  <c r="BI710" i="3" s="1"/>
  <c r="BH698" i="3"/>
  <c r="BI698" i="3"/>
  <c r="BH704" i="3"/>
  <c r="BI704" i="3" s="1"/>
  <c r="BH693" i="3"/>
  <c r="BI693" i="3" s="1"/>
  <c r="BH696" i="3"/>
  <c r="BI696" i="3"/>
  <c r="BI702" i="3"/>
  <c r="BH714" i="3"/>
  <c r="BI714" i="3" s="1"/>
  <c r="BH699" i="3"/>
  <c r="BI699" i="3" s="1"/>
  <c r="BH711" i="3"/>
  <c r="BI711" i="3" s="1"/>
  <c r="BH701" i="3"/>
  <c r="BI701" i="3" s="1"/>
  <c r="BH692" i="3"/>
  <c r="BI692" i="3" s="1"/>
  <c r="BH708" i="3"/>
  <c r="BI708" i="3" s="1"/>
  <c r="I8" i="9"/>
  <c r="I9" i="9" s="1"/>
  <c r="G9" i="9"/>
  <c r="K14" i="9"/>
  <c r="M14" i="9" s="1"/>
  <c r="C104" i="4"/>
  <c r="B103" i="18" s="1"/>
  <c r="E63" i="15"/>
  <c r="C97" i="15"/>
  <c r="B96" i="4"/>
  <c r="CH551" i="6"/>
  <c r="H103" i="18"/>
  <c r="T106" i="4"/>
  <c r="H105" i="18" s="1"/>
  <c r="AD11" i="27" s="1"/>
  <c r="AD23" i="27" s="1"/>
  <c r="AD26" i="27" s="1"/>
  <c r="AD28" i="27" s="1"/>
  <c r="AK476" i="6"/>
  <c r="T687" i="6" s="1"/>
  <c r="AO680" i="6" s="1"/>
  <c r="AO678" i="6" s="1"/>
  <c r="T685" i="6" s="1"/>
  <c r="AF685" i="6" s="1"/>
  <c r="K8" i="9"/>
  <c r="K9" i="9" s="1"/>
  <c r="E7" i="9"/>
  <c r="BE577" i="6"/>
  <c r="AP587" i="6"/>
  <c r="CA531" i="6"/>
  <c r="CA533" i="6"/>
  <c r="B1013" i="3"/>
  <c r="M8" i="9"/>
  <c r="O8" i="9" s="1"/>
  <c r="G7" i="9"/>
  <c r="I6" i="9"/>
  <c r="I7" i="9" s="1"/>
  <c r="M9" i="9"/>
  <c r="T24" i="27"/>
  <c r="T24" i="26"/>
  <c r="K6" i="9"/>
  <c r="K7" i="9" s="1"/>
  <c r="AC592" i="6" l="1"/>
  <c r="AK618" i="6" s="1"/>
  <c r="O14" i="9"/>
  <c r="Y42" i="9"/>
  <c r="AI11" i="27"/>
  <c r="AI23" i="27" s="1"/>
  <c r="AI26" i="27" s="1"/>
  <c r="AI11" i="26"/>
  <c r="AI23" i="26" s="1"/>
  <c r="AI26" i="26" s="1"/>
  <c r="AI28" i="26" s="1"/>
  <c r="AD63" i="26" s="1"/>
  <c r="I18" i="9"/>
  <c r="K18" i="9" s="1"/>
  <c r="M18" i="9" s="1"/>
  <c r="O18" i="9" s="1"/>
  <c r="Q18" i="9" s="1"/>
  <c r="S18" i="9" s="1"/>
  <c r="U18" i="9" s="1"/>
  <c r="W18" i="9" s="1"/>
  <c r="Y18" i="9" s="1"/>
  <c r="AA18" i="9" s="1"/>
  <c r="AC18" i="9" s="1"/>
  <c r="AE18" i="9" s="1"/>
  <c r="AG18" i="9" s="1"/>
  <c r="G21" i="9"/>
  <c r="G34" i="9" s="1"/>
  <c r="Q8" i="9"/>
  <c r="O9" i="9"/>
  <c r="Y607" i="6"/>
  <c r="BE573" i="6" s="1"/>
  <c r="AP583" i="6" s="1"/>
  <c r="BJ573" i="6" s="1"/>
  <c r="BJ579" i="6" s="1"/>
  <c r="AZ573" i="6"/>
  <c r="T613" i="6"/>
  <c r="BJ588" i="6"/>
  <c r="BJ590" i="6" s="1"/>
  <c r="BP588" i="6"/>
  <c r="BM528" i="6"/>
  <c r="BM533" i="6" s="1"/>
  <c r="BK567" i="6"/>
  <c r="BD585" i="6"/>
  <c r="BD590" i="6" s="1"/>
  <c r="BL585" i="6"/>
  <c r="BP585" i="6"/>
  <c r="AZ574" i="6"/>
  <c r="BH585" i="6"/>
  <c r="AP550" i="6"/>
  <c r="M6" i="9"/>
  <c r="CC532" i="6"/>
  <c r="CC533" i="6" s="1"/>
  <c r="Y612" i="6"/>
  <c r="AZ578" i="6"/>
  <c r="AP539" i="6"/>
  <c r="BN589" i="6" s="1"/>
  <c r="BN590" i="6" s="1"/>
  <c r="AD11" i="5"/>
  <c r="AD23" i="5" s="1"/>
  <c r="AD26" i="5" s="1"/>
  <c r="AD28" i="5" s="1"/>
  <c r="AC448" i="3"/>
  <c r="AC863" i="3"/>
  <c r="G42" i="9"/>
  <c r="AD11" i="26"/>
  <c r="B104" i="4"/>
  <c r="B105" i="15"/>
  <c r="BY534" i="6"/>
  <c r="E97" i="18"/>
  <c r="S103" i="4"/>
  <c r="E102" i="18" s="1"/>
  <c r="C105" i="15"/>
  <c r="D105" i="15"/>
  <c r="B97" i="15"/>
  <c r="E97" i="15" s="1"/>
  <c r="D97" i="15"/>
  <c r="B95" i="18"/>
  <c r="K17" i="9"/>
  <c r="BQ529" i="6"/>
  <c r="BQ533" i="6" s="1"/>
  <c r="AP536" i="6"/>
  <c r="O42" i="9"/>
  <c r="AZ576" i="6"/>
  <c r="BU530" i="6"/>
  <c r="BU533" i="6" s="1"/>
  <c r="AP537" i="6"/>
  <c r="D63" i="15"/>
  <c r="B62" i="4"/>
  <c r="B61" i="18"/>
  <c r="BH724" i="3"/>
  <c r="BI724" i="3" s="1"/>
  <c r="C12" i="15"/>
  <c r="E12" i="15" s="1"/>
  <c r="E11" i="15"/>
  <c r="C9" i="15"/>
  <c r="E6" i="15"/>
  <c r="AD20" i="26"/>
  <c r="AD22" i="26" s="1"/>
  <c r="CC627" i="3"/>
  <c r="BG746" i="3"/>
  <c r="BH730" i="3"/>
  <c r="BI730" i="3" s="1"/>
  <c r="BH705" i="3"/>
  <c r="BI705" i="3" s="1"/>
  <c r="AI27" i="27"/>
  <c r="Y27" i="27"/>
  <c r="BH690" i="3"/>
  <c r="I57" i="9"/>
  <c r="K52" i="9"/>
  <c r="B13" i="15"/>
  <c r="BX627" i="3"/>
  <c r="T27" i="27"/>
  <c r="E28" i="18"/>
  <c r="S38" i="4"/>
  <c r="S95" i="4"/>
  <c r="E94" i="18" s="1"/>
  <c r="E82" i="18"/>
  <c r="Y778" i="3"/>
  <c r="C30" i="10"/>
  <c r="Y779" i="3"/>
  <c r="BH744" i="3"/>
  <c r="BI744" i="3" s="1"/>
  <c r="BH736" i="3"/>
  <c r="BI736" i="3" s="1"/>
  <c r="BH728" i="3"/>
  <c r="BI728" i="3" s="1"/>
  <c r="E63" i="18"/>
  <c r="S69" i="4"/>
  <c r="E68" i="18" s="1"/>
  <c r="BH707" i="3"/>
  <c r="BI707" i="3" s="1"/>
  <c r="BH713" i="3"/>
  <c r="BI713" i="3" s="1"/>
  <c r="BH712" i="3"/>
  <c r="BI712" i="3" s="1"/>
  <c r="BH697" i="3"/>
  <c r="BI697" i="3" s="1"/>
  <c r="T20" i="27"/>
  <c r="T22" i="27" s="1"/>
  <c r="S42" i="4"/>
  <c r="E41" i="18" s="1"/>
  <c r="CH627" i="3"/>
  <c r="BN627" i="3"/>
  <c r="CM627" i="3"/>
  <c r="BS627" i="3"/>
  <c r="S53" i="4"/>
  <c r="E52" i="18" s="1"/>
  <c r="E44" i="18"/>
  <c r="E5" i="15"/>
  <c r="E10" i="15"/>
  <c r="R80" i="4"/>
  <c r="R96" i="4" s="1"/>
  <c r="R104" i="4" s="1"/>
  <c r="T690" i="6" l="1"/>
  <c r="M17" i="9"/>
  <c r="K21" i="9"/>
  <c r="K34" i="9" s="1"/>
  <c r="CH552" i="6"/>
  <c r="CE532" i="6"/>
  <c r="CE533" i="6" s="1"/>
  <c r="BE578" i="6"/>
  <c r="AP588" i="6" s="1"/>
  <c r="AI28" i="27"/>
  <c r="AD63" i="27" s="1"/>
  <c r="BH726" i="3"/>
  <c r="BI726" i="3" s="1"/>
  <c r="BH721" i="3"/>
  <c r="BH727" i="3"/>
  <c r="BI727" i="3" s="1"/>
  <c r="BH725" i="3"/>
  <c r="BI725" i="3" s="1"/>
  <c r="BH734" i="3"/>
  <c r="BI734" i="3" s="1"/>
  <c r="BH737" i="3"/>
  <c r="BI737" i="3" s="1"/>
  <c r="BH742" i="3"/>
  <c r="BI742" i="3" s="1"/>
  <c r="BH733" i="3"/>
  <c r="BI733" i="3" s="1"/>
  <c r="BH739" i="3"/>
  <c r="BI739" i="3" s="1"/>
  <c r="BH735" i="3"/>
  <c r="BI735" i="3" s="1"/>
  <c r="BH745" i="3"/>
  <c r="BI745" i="3" s="1"/>
  <c r="BH723" i="3"/>
  <c r="BI723" i="3" s="1"/>
  <c r="BH729" i="3"/>
  <c r="BI729" i="3" s="1"/>
  <c r="BH743" i="3"/>
  <c r="BI743" i="3" s="1"/>
  <c r="BH731" i="3"/>
  <c r="BI731" i="3" s="1"/>
  <c r="BH740" i="3"/>
  <c r="BI740" i="3" s="1"/>
  <c r="BH738" i="3"/>
  <c r="BI738" i="3" s="1"/>
  <c r="BH741" i="3"/>
  <c r="BI741" i="3" s="1"/>
  <c r="BH722" i="3"/>
  <c r="BI722" i="3" s="1"/>
  <c r="BH732" i="3"/>
  <c r="BI732" i="3" s="1"/>
  <c r="CC534" i="6"/>
  <c r="BB586" i="6"/>
  <c r="BB590" i="6" s="1"/>
  <c r="BB591" i="6" s="1"/>
  <c r="BP586" i="6"/>
  <c r="BP590" i="6" s="1"/>
  <c r="BN591" i="6" s="1"/>
  <c r="BH586" i="6"/>
  <c r="BH590" i="6" s="1"/>
  <c r="AB46" i="27"/>
  <c r="AB48" i="27" s="1"/>
  <c r="AB46" i="26"/>
  <c r="AB48" i="26" s="1"/>
  <c r="AB46" i="5"/>
  <c r="AB48" i="5" s="1"/>
  <c r="AC447" i="3"/>
  <c r="J58" i="25"/>
  <c r="E4" i="9"/>
  <c r="Z796" i="3"/>
  <c r="BW628" i="3"/>
  <c r="L27" i="28"/>
  <c r="V27" i="28" s="1"/>
  <c r="BS652" i="3"/>
  <c r="AB948" i="3" s="1"/>
  <c r="AJ948" i="3" s="1"/>
  <c r="O611" i="6"/>
  <c r="AU577" i="6" s="1"/>
  <c r="CQ628" i="3"/>
  <c r="O607" i="6"/>
  <c r="CG628" i="3"/>
  <c r="L29" i="28"/>
  <c r="V29" i="28" s="1"/>
  <c r="CC652" i="3"/>
  <c r="AB950" i="3" s="1"/>
  <c r="AJ950" i="3" s="1"/>
  <c r="O609" i="6"/>
  <c r="AD23" i="26"/>
  <c r="AD26" i="26" s="1"/>
  <c r="AD28" i="26" s="1"/>
  <c r="T689" i="6"/>
  <c r="AO683" i="6"/>
  <c r="AF689" i="6" s="1"/>
  <c r="AF695" i="6" s="1"/>
  <c r="M7" i="9"/>
  <c r="O6" i="9"/>
  <c r="K57" i="9"/>
  <c r="M52" i="9"/>
  <c r="BR628" i="3"/>
  <c r="L26" i="28"/>
  <c r="O612" i="6"/>
  <c r="AU578" i="6" s="1"/>
  <c r="BN652" i="3"/>
  <c r="AB947" i="3" s="1"/>
  <c r="CL628" i="3"/>
  <c r="L30" i="28"/>
  <c r="V30" i="28" s="1"/>
  <c r="O608" i="6"/>
  <c r="CH652" i="3"/>
  <c r="BH715" i="3"/>
  <c r="BI690" i="3"/>
  <c r="BI715" i="3" s="1"/>
  <c r="AH731" i="3" s="1"/>
  <c r="BL586" i="6"/>
  <c r="BL590" i="6" s="1"/>
  <c r="BJ591" i="6" s="1"/>
  <c r="E105" i="15"/>
  <c r="Q9" i="9"/>
  <c r="S8" i="9"/>
  <c r="Q14" i="9"/>
  <c r="CB628" i="3"/>
  <c r="BX652" i="3"/>
  <c r="AB949" i="3" s="1"/>
  <c r="AJ949" i="3" s="1"/>
  <c r="O610" i="6"/>
  <c r="L28" i="28"/>
  <c r="V28" i="28" s="1"/>
  <c r="E37" i="18"/>
  <c r="S62" i="4"/>
  <c r="C13" i="15"/>
  <c r="E13" i="15" s="1"/>
  <c r="E9" i="15"/>
  <c r="BF587" i="6"/>
  <c r="BF590" i="6" s="1"/>
  <c r="BP587" i="6"/>
  <c r="BL587" i="6"/>
  <c r="I21" i="9"/>
  <c r="I34" i="9" s="1"/>
  <c r="CM652" i="3"/>
  <c r="BF591" i="6" l="1"/>
  <c r="CQ629" i="3"/>
  <c r="O52" i="9"/>
  <c r="M57" i="9"/>
  <c r="AB53" i="26"/>
  <c r="AB54" i="26" s="1"/>
  <c r="AU575" i="6"/>
  <c r="Y609" i="6"/>
  <c r="S14" i="9"/>
  <c r="AY543" i="6"/>
  <c r="AU574" i="6"/>
  <c r="BF567" i="6"/>
  <c r="BK570" i="6" s="1"/>
  <c r="AU548" i="6" s="1"/>
  <c r="Y608" i="6"/>
  <c r="Q6" i="9"/>
  <c r="O7" i="9"/>
  <c r="AB53" i="27"/>
  <c r="AB54" i="27" s="1"/>
  <c r="AB53" i="5"/>
  <c r="AB54" i="5" s="1"/>
  <c r="S96" i="4"/>
  <c r="E61" i="18"/>
  <c r="U8" i="9"/>
  <c r="S9" i="9"/>
  <c r="AB951" i="3"/>
  <c r="AJ951" i="3" s="1"/>
  <c r="G4" i="9"/>
  <c r="E5" i="9"/>
  <c r="E10" i="9" s="1"/>
  <c r="E36" i="9" s="1"/>
  <c r="AJ947" i="3"/>
  <c r="AJ953" i="3" s="1"/>
  <c r="AU573" i="6"/>
  <c r="O613" i="6"/>
  <c r="AU576" i="6"/>
  <c r="Y610" i="6"/>
  <c r="BJ592" i="6"/>
  <c r="AV556" i="6" s="1"/>
  <c r="O17" i="9"/>
  <c r="M21" i="9"/>
  <c r="M34" i="9" s="1"/>
  <c r="V26" i="28"/>
  <c r="V31" i="28" s="1"/>
  <c r="L31" i="28"/>
  <c r="G71" i="25"/>
  <c r="G72" i="25" s="1"/>
  <c r="B75" i="25" s="1"/>
  <c r="B76" i="25"/>
  <c r="O76" i="25" s="1"/>
  <c r="BI721" i="3"/>
  <c r="BI746" i="3" s="1"/>
  <c r="AM731" i="3" s="1"/>
  <c r="BH746" i="3"/>
  <c r="E48" i="9" l="1"/>
  <c r="E44" i="9"/>
  <c r="S104" i="4"/>
  <c r="E95" i="18"/>
  <c r="S6" i="9"/>
  <c r="Q7" i="9"/>
  <c r="AX548" i="6"/>
  <c r="AU551" i="6"/>
  <c r="AS544" i="6"/>
  <c r="I4" i="9"/>
  <c r="G5" i="9"/>
  <c r="G10" i="9" s="1"/>
  <c r="G36" i="9" s="1"/>
  <c r="AJ998" i="3"/>
  <c r="AJ955" i="3"/>
  <c r="AJ1002" i="3" s="1"/>
  <c r="T24" i="5" s="1"/>
  <c r="Q17" i="9"/>
  <c r="O21" i="9"/>
  <c r="O34" i="9" s="1"/>
  <c r="AB952" i="3"/>
  <c r="Q52" i="9"/>
  <c r="O57" i="9"/>
  <c r="CH548" i="6"/>
  <c r="AU538" i="6"/>
  <c r="BO528" i="6"/>
  <c r="BO533" i="6" s="1"/>
  <c r="BM534" i="6" s="1"/>
  <c r="AU535" i="6"/>
  <c r="BE574" i="6"/>
  <c r="AU539" i="6"/>
  <c r="U9" i="9"/>
  <c r="W8" i="9"/>
  <c r="U14" i="9"/>
  <c r="O734" i="3"/>
  <c r="P414" i="3"/>
  <c r="CQ650" i="3"/>
  <c r="U372" i="6" s="1"/>
  <c r="CH550" i="6"/>
  <c r="BE576" i="6"/>
  <c r="AP586" i="6" s="1"/>
  <c r="AU537" i="6"/>
  <c r="BW530" i="6"/>
  <c r="BW533" i="6" s="1"/>
  <c r="BU534" i="6" s="1"/>
  <c r="CH549" i="6"/>
  <c r="BS529" i="6"/>
  <c r="BS533" i="6" s="1"/>
  <c r="BQ534" i="6" s="1"/>
  <c r="AU536" i="6"/>
  <c r="BE575" i="6"/>
  <c r="AP585" i="6" s="1"/>
  <c r="G44" i="9" l="1"/>
  <c r="G48" i="9"/>
  <c r="Y8" i="9"/>
  <c r="W9" i="9"/>
  <c r="BY537" i="6"/>
  <c r="CC538" i="6"/>
  <c r="S7" i="9"/>
  <c r="U6" i="9"/>
  <c r="S52" i="9"/>
  <c r="Q57" i="9"/>
  <c r="CC552" i="6"/>
  <c r="BE547" i="6"/>
  <c r="BE552" i="6" s="1"/>
  <c r="BQ535" i="6"/>
  <c r="BQ539" i="6" s="1"/>
  <c r="BY536" i="6"/>
  <c r="CC537" i="6"/>
  <c r="K4" i="9"/>
  <c r="I5" i="9"/>
  <c r="I10" i="9" s="1"/>
  <c r="I36" i="9" s="1"/>
  <c r="E103" i="18"/>
  <c r="S106" i="4"/>
  <c r="BI548" i="6"/>
  <c r="BI552" i="6" s="1"/>
  <c r="W14" i="9"/>
  <c r="AP584" i="6"/>
  <c r="BO574" i="6" s="1"/>
  <c r="E59" i="9"/>
  <c r="E47" i="9"/>
  <c r="E46" i="9"/>
  <c r="BU536" i="6"/>
  <c r="BU535" i="6"/>
  <c r="BU539" i="6" s="1"/>
  <c r="BY535" i="6"/>
  <c r="CC535" i="6"/>
  <c r="S17" i="9"/>
  <c r="Q21" i="9"/>
  <c r="Q34" i="9" s="1"/>
  <c r="I48" i="9" l="1"/>
  <c r="I44" i="9"/>
  <c r="E105" i="18"/>
  <c r="AC449" i="3"/>
  <c r="X1006" i="3"/>
  <c r="X1007" i="3" s="1"/>
  <c r="D1008" i="3" s="1"/>
  <c r="AA8" i="9"/>
  <c r="Y9" i="9"/>
  <c r="E65" i="9"/>
  <c r="E69" i="9" s="1"/>
  <c r="E71" i="9" s="1"/>
  <c r="CC536" i="6"/>
  <c r="CC539" i="6" s="1"/>
  <c r="BY539" i="6"/>
  <c r="CG539" i="6" s="1"/>
  <c r="U52" i="9"/>
  <c r="S57" i="9"/>
  <c r="BM549" i="6"/>
  <c r="BO579" i="6"/>
  <c r="BT575" i="6"/>
  <c r="Y14" i="9"/>
  <c r="U7" i="9"/>
  <c r="W6" i="9"/>
  <c r="U17" i="9"/>
  <c r="S21" i="9"/>
  <c r="S34" i="9" s="1"/>
  <c r="K5" i="9"/>
  <c r="K10" i="9"/>
  <c r="K36" i="9" s="1"/>
  <c r="M4" i="9"/>
  <c r="G46" i="9"/>
  <c r="G47" i="9"/>
  <c r="G59" i="9"/>
  <c r="BM552" i="6" l="1"/>
  <c r="BQ550" i="6"/>
  <c r="G61" i="9"/>
  <c r="G71" i="9" s="1"/>
  <c r="G65" i="9"/>
  <c r="G69" i="9" s="1"/>
  <c r="Y11" i="26"/>
  <c r="Y23" i="26" s="1"/>
  <c r="Y26" i="26" s="1"/>
  <c r="Y28" i="26" s="1"/>
  <c r="Y63" i="26" s="1"/>
  <c r="Y67" i="26" s="1"/>
  <c r="T11" i="5"/>
  <c r="T11" i="26"/>
  <c r="T23" i="26" s="1"/>
  <c r="T11" i="27"/>
  <c r="T23" i="27" s="1"/>
  <c r="Y11" i="27"/>
  <c r="Y23" i="27" s="1"/>
  <c r="Y26" i="27" s="1"/>
  <c r="Y28" i="27" s="1"/>
  <c r="Y63" i="27" s="1"/>
  <c r="Y67" i="27" s="1"/>
  <c r="BT579" i="6"/>
  <c r="W7" i="9"/>
  <c r="Y6" i="9"/>
  <c r="AA14" i="9"/>
  <c r="M5" i="9"/>
  <c r="O4" i="9"/>
  <c r="M10" i="9"/>
  <c r="M36" i="9" s="1"/>
  <c r="K48" i="9"/>
  <c r="K44" i="9"/>
  <c r="BY576" i="6"/>
  <c r="I46" i="9"/>
  <c r="I47" i="9"/>
  <c r="I59" i="9"/>
  <c r="W17" i="9"/>
  <c r="U21" i="9"/>
  <c r="U34" i="9" s="1"/>
  <c r="AA9" i="9"/>
  <c r="AC8" i="9"/>
  <c r="W52" i="9"/>
  <c r="U57" i="9"/>
  <c r="T23" i="5" l="1"/>
  <c r="BE16" i="28"/>
  <c r="AC14" i="9"/>
  <c r="AE8" i="9"/>
  <c r="AC9" i="9"/>
  <c r="BY579" i="6"/>
  <c r="K59" i="9"/>
  <c r="K46" i="9"/>
  <c r="K47" i="9"/>
  <c r="CD577" i="6"/>
  <c r="CD579" i="6" s="1"/>
  <c r="T26" i="26"/>
  <c r="T28" i="26" s="1"/>
  <c r="T29" i="26" s="1"/>
  <c r="Y38" i="26"/>
  <c r="Y40" i="26" s="1"/>
  <c r="Y41" i="26" s="1"/>
  <c r="AB55" i="26" s="1"/>
  <c r="AB56" i="26" s="1"/>
  <c r="AD38" i="26"/>
  <c r="AD40" i="26" s="1"/>
  <c r="W57" i="9"/>
  <c r="Y52" i="9"/>
  <c r="M48" i="9"/>
  <c r="M44" i="9"/>
  <c r="BQ552" i="6"/>
  <c r="BU551" i="6"/>
  <c r="BU552" i="6" s="1"/>
  <c r="Y7" i="9"/>
  <c r="AA6" i="9"/>
  <c r="Y17" i="9"/>
  <c r="W21" i="9"/>
  <c r="W34" i="9" s="1"/>
  <c r="O5" i="9"/>
  <c r="O10" i="9"/>
  <c r="O36" i="9" s="1"/>
  <c r="Q4" i="9"/>
  <c r="I65" i="9"/>
  <c r="I69" i="9" s="1"/>
  <c r="I71" i="9"/>
  <c r="I61" i="9"/>
  <c r="T26" i="27"/>
  <c r="T28" i="27" s="1"/>
  <c r="T29" i="27" s="1"/>
  <c r="Y38" i="27"/>
  <c r="Y40" i="27" s="1"/>
  <c r="Y41" i="27" s="1"/>
  <c r="AB55" i="27" s="1"/>
  <c r="AB56" i="27" s="1"/>
  <c r="AD38" i="27"/>
  <c r="AD40" i="27" s="1"/>
  <c r="AE9" i="9" l="1"/>
  <c r="AG8" i="9"/>
  <c r="AG9" i="9" s="1"/>
  <c r="M59" i="9"/>
  <c r="M47" i="9"/>
  <c r="M46" i="9"/>
  <c r="AE14" i="9"/>
  <c r="AB58" i="27"/>
  <c r="Y57" i="9"/>
  <c r="AA52" i="9"/>
  <c r="AB58" i="26"/>
  <c r="Q5" i="9"/>
  <c r="Q10" i="9" s="1"/>
  <c r="Q36" i="9" s="1"/>
  <c r="S4" i="9"/>
  <c r="O48" i="9"/>
  <c r="O44" i="9"/>
  <c r="AA17" i="9"/>
  <c r="Y21" i="9"/>
  <c r="Y34" i="9" s="1"/>
  <c r="K61" i="9"/>
  <c r="K65" i="9"/>
  <c r="K69" i="9" s="1"/>
  <c r="K71" i="9"/>
  <c r="AC6" i="9"/>
  <c r="AA7" i="9"/>
  <c r="CI578" i="6"/>
  <c r="CI579" i="6" s="1"/>
  <c r="CN579" i="6" s="1"/>
  <c r="BD560" i="6" s="1"/>
  <c r="Q71" i="25"/>
  <c r="O75" i="25" s="1"/>
  <c r="R75" i="25" s="1"/>
  <c r="T26" i="5"/>
  <c r="T28" i="5" s="1"/>
  <c r="AD38" i="5"/>
  <c r="AD40" i="5" s="1"/>
  <c r="Y38" i="5"/>
  <c r="Y40" i="5" s="1"/>
  <c r="AT562" i="6" l="1"/>
  <c r="AW564" i="6"/>
  <c r="Q48" i="9"/>
  <c r="Q44" i="9"/>
  <c r="AG14" i="9"/>
  <c r="F59" i="26"/>
  <c r="AB75" i="26"/>
  <c r="AB76" i="26" s="1"/>
  <c r="AB77" i="26" s="1"/>
  <c r="AB79" i="26" s="1"/>
  <c r="J80" i="26" s="1"/>
  <c r="AR42" i="5"/>
  <c r="Y41" i="5" s="1"/>
  <c r="AB55" i="5" s="1"/>
  <c r="AR43" i="5"/>
  <c r="AC17" i="9"/>
  <c r="AA21" i="9"/>
  <c r="AA34" i="9" s="1"/>
  <c r="AA57" i="9"/>
  <c r="AC52" i="9"/>
  <c r="M61" i="9"/>
  <c r="M65" i="9"/>
  <c r="M69" i="9" s="1"/>
  <c r="M71" i="9" s="1"/>
  <c r="Y63" i="5"/>
  <c r="Y67" i="5" s="1"/>
  <c r="T29" i="5"/>
  <c r="O47" i="9"/>
  <c r="O46" i="9"/>
  <c r="O59" i="9"/>
  <c r="AE6" i="9"/>
  <c r="AC7" i="9"/>
  <c r="S5" i="9"/>
  <c r="S10" i="9" s="1"/>
  <c r="S36" i="9" s="1"/>
  <c r="U4" i="9"/>
  <c r="F59" i="27"/>
  <c r="AB75" i="27"/>
  <c r="AB76" i="27" s="1"/>
  <c r="AB77" i="27" s="1"/>
  <c r="AB79" i="27" s="1"/>
  <c r="J80" i="27" s="1"/>
  <c r="S48" i="9" l="1"/>
  <c r="S44" i="9"/>
  <c r="U5" i="9"/>
  <c r="W4" i="9"/>
  <c r="U10" i="9"/>
  <c r="U36" i="9" s="1"/>
  <c r="AE52" i="9"/>
  <c r="AC57" i="9"/>
  <c r="AE7" i="9"/>
  <c r="AG6" i="9"/>
  <c r="AG7" i="9" s="1"/>
  <c r="O65" i="9"/>
  <c r="O69" i="9" s="1"/>
  <c r="O61" i="9"/>
  <c r="O71" i="9" s="1"/>
  <c r="Q47" i="9"/>
  <c r="Q46" i="9"/>
  <c r="Q59" i="9"/>
  <c r="AE17" i="9"/>
  <c r="AC21" i="9"/>
  <c r="AC34" i="9" s="1"/>
  <c r="Q22" i="28"/>
  <c r="V33" i="28" s="1"/>
  <c r="V35" i="28" s="1"/>
  <c r="M25" i="3"/>
  <c r="BE15" i="28"/>
  <c r="AB56" i="5"/>
  <c r="P203" i="3" l="1"/>
  <c r="Y4" i="9"/>
  <c r="W5" i="9"/>
  <c r="W10" i="9" s="1"/>
  <c r="W36" i="9" s="1"/>
  <c r="AG52" i="9"/>
  <c r="AG57" i="9" s="1"/>
  <c r="AE57" i="9"/>
  <c r="S47" i="9"/>
  <c r="S59" i="9"/>
  <c r="S46" i="9"/>
  <c r="AB58" i="5"/>
  <c r="U48" i="9"/>
  <c r="U44" i="9"/>
  <c r="AG17" i="9"/>
  <c r="AG21" i="9" s="1"/>
  <c r="AG34" i="9" s="1"/>
  <c r="AE21" i="9"/>
  <c r="AE34" i="9" s="1"/>
  <c r="Q65" i="9"/>
  <c r="Q69" i="9" s="1"/>
  <c r="Q61" i="9"/>
  <c r="Q71" i="9" s="1"/>
  <c r="W44" i="9" l="1"/>
  <c r="W48" i="9"/>
  <c r="Y5" i="9"/>
  <c r="AA4" i="9"/>
  <c r="Y10" i="9"/>
  <c r="Y36" i="9" s="1"/>
  <c r="AB75" i="5"/>
  <c r="AB76" i="5" s="1"/>
  <c r="F59" i="5"/>
  <c r="U59" i="9"/>
  <c r="U47" i="9"/>
  <c r="U46" i="9"/>
  <c r="S61" i="9"/>
  <c r="S65" i="9"/>
  <c r="S69" i="9" s="1"/>
  <c r="S71" i="9" s="1"/>
  <c r="AB77" i="5" l="1"/>
  <c r="AB79" i="5" s="1"/>
  <c r="J80" i="5" s="1"/>
  <c r="M27" i="3"/>
  <c r="AC4" i="9"/>
  <c r="AA5" i="9"/>
  <c r="AA10" i="9" s="1"/>
  <c r="AA36" i="9" s="1"/>
  <c r="U65" i="9"/>
  <c r="U69" i="9" s="1"/>
  <c r="U61" i="9"/>
  <c r="U71" i="9"/>
  <c r="Y44" i="9"/>
  <c r="Y48" i="9"/>
  <c r="W46" i="9"/>
  <c r="W59" i="9"/>
  <c r="W47" i="9"/>
  <c r="AA44" i="9" l="1"/>
  <c r="AA48" i="9"/>
  <c r="Y46" i="9"/>
  <c r="Y59" i="9"/>
  <c r="Y47" i="9"/>
  <c r="W61" i="9"/>
  <c r="W65" i="9"/>
  <c r="W69" i="9" s="1"/>
  <c r="W71" i="9" s="1"/>
  <c r="AC5" i="9"/>
  <c r="AE4" i="9"/>
  <c r="AC10" i="9"/>
  <c r="AC36" i="9" s="1"/>
  <c r="W203" i="3"/>
  <c r="D203" i="3"/>
  <c r="Y65" i="9" l="1"/>
  <c r="Y69" i="9" s="1"/>
  <c r="Y61" i="9"/>
  <c r="Y71" i="9" s="1"/>
  <c r="AC48" i="9"/>
  <c r="AC44" i="9"/>
  <c r="AE5" i="9"/>
  <c r="AE10" i="9" s="1"/>
  <c r="AE36" i="9" s="1"/>
  <c r="AG4" i="9"/>
  <c r="AA47" i="9"/>
  <c r="AA46" i="9"/>
  <c r="AA59" i="9"/>
  <c r="AE48" i="9" l="1"/>
  <c r="AE44" i="9"/>
  <c r="AG5" i="9"/>
  <c r="AG10" i="9"/>
  <c r="AG36" i="9" s="1"/>
  <c r="AA65" i="9"/>
  <c r="AA69" i="9" s="1"/>
  <c r="AA61" i="9"/>
  <c r="AA71" i="9" s="1"/>
  <c r="AC47" i="9"/>
  <c r="AC46" i="9"/>
  <c r="AC59" i="9"/>
  <c r="AG44" i="9" l="1"/>
  <c r="AG48" i="9"/>
  <c r="AC61" i="9"/>
  <c r="AC71" i="9" s="1"/>
  <c r="AC65" i="9"/>
  <c r="AC69" i="9" s="1"/>
  <c r="AE46" i="9"/>
  <c r="AE47" i="9"/>
  <c r="AE59" i="9"/>
  <c r="AE61" i="9" l="1"/>
  <c r="AE71" i="9" s="1"/>
  <c r="AE65" i="9"/>
  <c r="AE69" i="9" s="1"/>
  <c r="AG59" i="9"/>
  <c r="AG46" i="9"/>
  <c r="AG47" i="9"/>
  <c r="AG65" i="9" l="1"/>
  <c r="AG69" i="9" s="1"/>
  <c r="AG61" i="9"/>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<sst xmlns="http://schemas.openxmlformats.org/spreadsheetml/2006/main" count="4727" uniqueCount="2511">
  <si>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</si>
  <si>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</si>
  <si>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</si>
  <si>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</si>
  <si>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</si>
  <si>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</si>
  <si>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</si>
  <si>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</si>
  <si>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</si>
  <si>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</si>
  <si>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</si>
  <si>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</si>
  <si>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</si>
  <si>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</si>
  <si>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</si>
  <si>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</si>
  <si>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</si>
  <si>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</si>
  <si>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</si>
  <si>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</si>
  <si>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</si>
  <si>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</si>
  <si>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</si>
  <si>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</si>
  <si>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</si>
  <si>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</si>
  <si>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</si>
  <si>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</si>
  <si>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</si>
  <si>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</si>
  <si>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</si>
  <si>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</si>
  <si>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</si>
  <si>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</si>
  <si>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</si>
  <si>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</si>
  <si>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</si>
  <si>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</si>
  <si>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</si>
  <si>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</si>
  <si>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</si>
  <si>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</si>
  <si>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</si>
  <si>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</si>
  <si>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</si>
  <si>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</si>
  <si>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</si>
  <si>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</si>
  <si>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</si>
  <si>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</si>
  <si>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</si>
  <si>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</si>
  <si>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</si>
  <si>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</si>
  <si>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</si>
  <si>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</si>
  <si>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</si>
  <si>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</si>
  <si>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</si>
  <si>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</si>
  <si>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</si>
  <si>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</si>
  <si>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</si>
  <si>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</si>
  <si>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</si>
  <si>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</si>
  <si>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</si>
  <si>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</si>
  <si>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</si>
  <si>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</si>
  <si>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</si>
  <si>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</si>
  <si>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</si>
  <si>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</si>
  <si>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</si>
  <si>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</si>
  <si>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</si>
  <si>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</si>
  <si>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</si>
  <si>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</si>
  <si>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</si>
  <si>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</si>
  <si>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</si>
  <si>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</si>
  <si>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</si>
  <si>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</si>
  <si>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</si>
  <si>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</si>
  <si>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</si>
  <si>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</si>
  <si>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</si>
  <si>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</si>
  <si>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</si>
  <si>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</si>
  <si>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</si>
  <si>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</si>
  <si>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</si>
  <si>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</si>
  <si>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</si>
  <si>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</si>
  <si>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</si>
  <si>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</si>
  <si>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</si>
  <si>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</si>
  <si>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</si>
  <si>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</si>
  <si>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</si>
  <si>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</si>
  <si>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</si>
  <si>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</si>
  <si>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</si>
  <si>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</si>
  <si>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</si>
  <si>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</si>
  <si>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</si>
  <si>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</si>
  <si>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</si>
  <si>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</si>
  <si>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</si>
  <si>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</si>
  <si>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</si>
  <si>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</si>
  <si>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</si>
  <si>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</si>
  <si>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</si>
  <si>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</si>
  <si>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</si>
  <si>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</si>
  <si>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</si>
  <si>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</si>
  <si>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</si>
  <si>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</si>
  <si>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</si>
  <si>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</si>
  <si>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</si>
  <si>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</si>
  <si>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</si>
  <si>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</si>
  <si>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</si>
  <si>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</si>
  <si>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</si>
  <si>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</si>
  <si>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</si>
  <si>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</si>
  <si>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</si>
  <si>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</si>
  <si>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</si>
  <si>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</si>
  <si>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</si>
  <si>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</si>
  <si>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</si>
  <si>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</si>
  <si>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</si>
  <si>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</si>
  <si>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</si>
  <si>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</si>
  <si>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</si>
  <si>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</si>
  <si>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</si>
  <si>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</si>
  <si>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</si>
  <si>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</si>
  <si>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</si>
  <si>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</si>
  <si>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</si>
  <si>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</si>
  <si>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</si>
  <si>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</si>
  <si>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</si>
  <si>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</si>
  <si>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</si>
  <si>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</si>
  <si>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</si>
  <si>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</si>
  <si>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</si>
  <si>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</si>
  <si>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</si>
  <si>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</si>
  <si>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</si>
  <si>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</si>
  <si>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</si>
  <si>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</si>
  <si>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</si>
  <si>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</si>
  <si>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</si>
  <si>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</si>
  <si>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</si>
  <si>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</si>
  <si>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</si>
  <si>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</si>
  <si>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</si>
  <si>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</si>
  <si>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</si>
  <si>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</si>
  <si>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</si>
  <si>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</si>
  <si>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</si>
  <si>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</si>
  <si>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</si>
  <si>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</si>
  <si>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</si>
  <si>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</si>
  <si>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</si>
  <si>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</si>
  <si>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</si>
  <si>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</si>
  <si>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</si>
  <si>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</si>
  <si>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</si>
  <si>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</si>
  <si>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</si>
  <si>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</si>
  <si>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</si>
  <si>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</si>
  <si>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</si>
  <si>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</si>
  <si>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</si>
  <si>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</si>
  <si>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</si>
  <si>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</si>
  <si>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</si>
  <si>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</si>
  <si>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</si>
  <si>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</si>
  <si>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</si>
  <si>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</si>
  <si>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</si>
  <si>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</si>
  <si>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</si>
  <si>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</si>
  <si>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</si>
  <si>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</si>
  <si>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</si>
  <si>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</si>
  <si>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</si>
  <si>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</si>
  <si>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</si>
  <si>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</si>
  <si>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</si>
  <si>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</si>
  <si>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</si>
  <si>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</si>
  <si>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</si>
  <si>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</si>
  <si>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</si>
  <si>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</si>
  <si>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</si>
  <si>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</si>
  <si>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</si>
  <si>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</si>
  <si>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</si>
  <si>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</si>
  <si>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</si>
  <si>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</si>
  <si>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</si>
  <si>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</si>
  <si>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</si>
  <si>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</si>
  <si>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</si>
  <si>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</si>
  <si>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</si>
  <si>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</si>
  <si>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</si>
  <si>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</si>
  <si>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</si>
  <si>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</si>
  <si>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</si>
  <si>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</si>
  <si>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</si>
  <si>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</si>
  <si>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</si>
  <si>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</si>
  <si>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</si>
  <si>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</si>
  <si>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</si>
  <si>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</si>
  <si>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</si>
  <si>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</si>
  <si>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</si>
  <si>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</si>
  <si>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</si>
  <si>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</si>
  <si>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</si>
  <si>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</si>
  <si>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</si>
  <si>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</si>
  <si>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</si>
  <si>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</si>
  <si>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</si>
  <si>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</si>
  <si>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</si>
  <si>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</si>
  <si>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</si>
  <si>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</si>
  <si>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</si>
  <si>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</si>
  <si>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</si>
  <si>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</si>
  <si>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</si>
  <si>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</si>
  <si>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</si>
  <si>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</si>
  <si>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</si>
  <si>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</si>
  <si>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</si>
  <si>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</si>
  <si>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</si>
  <si>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</si>
  <si>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</si>
  <si>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</si>
  <si>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</si>
  <si>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</si>
  <si>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</si>
  <si>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</si>
  <si>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</si>
  <si>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</si>
  <si>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</si>
  <si>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</si>
  <si>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</si>
  <si>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</si>
  <si>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</si>
  <si>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</si>
  <si>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</si>
  <si>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</si>
  <si>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</si>
  <si>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</si>
  <si>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</si>
  <si>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</si>
  <si>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</si>
  <si>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</si>
  <si>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</si>
  <si>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</si>
  <si>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</si>
  <si>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</si>
  <si>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</si>
  <si>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</si>
  <si>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</si>
  <si>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</si>
  <si>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</si>
  <si>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</si>
  <si>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</si>
  <si>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</si>
  <si>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</si>
  <si>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</si>
  <si>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</si>
  <si>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</si>
  <si>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</si>
  <si>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</si>
  <si>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</si>
  <si>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</si>
  <si>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</si>
  <si>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</si>
  <si>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</si>
  <si>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</si>
  <si>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</si>
  <si>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</si>
  <si>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</si>
  <si>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</si>
  <si>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</si>
  <si>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</si>
  <si>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</si>
  <si>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</si>
  <si>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</si>
  <si>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</si>
  <si>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</si>
  <si>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</si>
  <si>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</si>
  <si>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</si>
  <si>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</si>
  <si>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</si>
  <si>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</si>
  <si>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</si>
  <si>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</si>
  <si>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</si>
  <si>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</si>
  <si>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</si>
  <si>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</si>
  <si>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</si>
  <si>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</si>
  <si>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</si>
  <si>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</si>
  <si>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</si>
  <si>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</si>
  <si>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</si>
  <si>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</si>
  <si>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</si>
  <si>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</si>
  <si>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</si>
  <si>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</si>
  <si>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</si>
  <si>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</si>
  <si>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</si>
  <si>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</si>
  <si>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</si>
  <si>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</si>
  <si>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</si>
  <si>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</si>
  <si>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</si>
  <si>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</si>
  <si>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</si>
  <si>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</si>
  <si>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</si>
  <si>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</si>
  <si>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</si>
  <si>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</si>
  <si>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</si>
  <si>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</si>
  <si>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</si>
  <si>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</si>
  <si>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</si>
  <si>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</si>
  <si>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</si>
  <si>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</si>
  <si>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</si>
  <si>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</si>
  <si>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</si>
  <si>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</si>
  <si>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</si>
  <si>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</si>
  <si>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</si>
  <si>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</si>
  <si>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</si>
  <si>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</si>
  <si>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</si>
  <si>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</si>
  <si>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</si>
  <si>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</si>
  <si>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</si>
  <si>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</si>
  <si>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</si>
  <si>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</si>
  <si>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</si>
  <si>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</si>
  <si>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</si>
  <si>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</si>
  <si>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</si>
  <si>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</si>
  <si>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</si>
  <si>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</si>
  <si>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</si>
  <si>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</si>
  <si>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</si>
  <si>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</si>
  <si>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</si>
  <si>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</si>
  <si>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</si>
  <si>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</si>
  <si>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</si>
  <si>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</si>
  <si>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</si>
  <si>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</si>
  <si>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</si>
  <si>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</si>
  <si>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</si>
  <si>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</si>
  <si>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</si>
  <si>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</si>
  <si>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</si>
  <si>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</si>
  <si>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</si>
  <si>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</si>
  <si>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</si>
  <si>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</si>
  <si>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</si>
  <si>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</si>
  <si>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</si>
  <si>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</si>
  <si>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</si>
  <si>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</si>
  <si>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</si>
  <si>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</si>
  <si>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</si>
  <si>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</si>
  <si>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</si>
  <si>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</si>
  <si>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</si>
  <si>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</si>
  <si>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</si>
  <si>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</si>
  <si>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</si>
  <si>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</si>
  <si>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</si>
  <si>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</si>
  <si>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</si>
  <si>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</si>
  <si>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</si>
  <si>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</si>
  <si>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</si>
  <si>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</si>
  <si>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</si>
  <si>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</si>
  <si>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</si>
  <si>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</si>
  <si>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</si>
  <si>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</si>
  <si>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</si>
  <si>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</si>
  <si>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</si>
  <si>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</si>
  <si>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</si>
  <si>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</si>
  <si>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</si>
  <si>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</si>
  <si>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</si>
  <si>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</si>
  <si>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</si>
  <si>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</si>
  <si>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</si>
  <si>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</si>
  <si>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</si>
  <si>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</si>
  <si>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</si>
  <si>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</si>
  <si>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</si>
  <si>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</si>
  <si>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</si>
  <si>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</si>
  <si>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</si>
  <si>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</si>
  <si>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</si>
  <si>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</si>
  <si>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</si>
  <si>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</si>
  <si>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</si>
  <si>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</si>
  <si>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</si>
  <si>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</si>
  <si>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</si>
  <si>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</si>
  <si>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</si>
  <si>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</si>
  <si>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</si>
  <si>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</si>
  <si>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</si>
  <si>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</si>
  <si>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</si>
  <si>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</si>
  <si>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</si>
  <si>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</si>
  <si>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</si>
  <si>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</si>
  <si>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</si>
  <si>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</si>
  <si>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</si>
  <si>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</si>
  <si>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</si>
  <si>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</si>
  <si>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</si>
  <si>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</si>
  <si>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</si>
  <si>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</si>
  <si>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</si>
  <si>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</si>
  <si>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</si>
  <si>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</si>
  <si>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</si>
  <si>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</si>
  <si>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</si>
  <si>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</si>
  <si>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</si>
  <si>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</si>
  <si>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</si>
  <si>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</si>
  <si>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</si>
  <si>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</si>
  <si>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</si>
  <si>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</si>
  <si>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</si>
  <si>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</si>
  <si>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</si>
  <si>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</si>
  <si>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</si>
  <si>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</si>
  <si>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</si>
  <si>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</si>
  <si>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</si>
  <si>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</si>
  <si>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</si>
  <si>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</si>
  <si>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</si>
  <si>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</si>
  <si>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</si>
  <si>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</si>
  <si>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</si>
  <si>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</si>
  <si>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</si>
  <si>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</si>
  <si>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</si>
  <si>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</si>
  <si>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</si>
  <si>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</si>
  <si>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</si>
  <si>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</si>
  <si>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</si>
  <si>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</si>
  <si>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</si>
  <si>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</si>
  <si>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</si>
  <si>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</si>
  <si>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</si>
  <si>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</si>
  <si>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</si>
  <si>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</si>
  <si>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</si>
  <si>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</si>
  <si>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</si>
  <si>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</si>
  <si>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</si>
  <si>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</si>
  <si>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</si>
  <si>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</si>
  <si>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</si>
  <si>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</si>
  <si>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</si>
  <si>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</si>
  <si>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</si>
  <si>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</si>
  <si>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</si>
  <si>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</si>
  <si>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</si>
  <si>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</si>
  <si>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</si>
  <si>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</si>
  <si>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</si>
  <si>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</si>
  <si>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</si>
  <si>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</si>
  <si>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</si>
  <si>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</si>
  <si>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</si>
  <si>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</si>
  <si>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</si>
  <si>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</si>
  <si>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</si>
  <si>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</si>
  <si>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</si>
  <si>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</si>
  <si>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</si>
  <si>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</si>
  <si>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</si>
  <si>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</si>
  <si>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</si>
  <si>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</si>
  <si>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</si>
  <si>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</si>
  <si>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</si>
  <si>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</si>
  <si>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</si>
  <si>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</si>
  <si>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</si>
  <si>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</si>
  <si>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</si>
  <si>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</si>
  <si>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</si>
  <si>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</si>
  <si>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</si>
  <si>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</si>
  <si>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</si>
  <si>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</si>
  <si>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</si>
  <si>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</si>
  <si>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</si>
  <si>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</si>
  <si>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</si>
  <si>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</si>
  <si>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</si>
  <si>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</si>
  <si>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</si>
  <si>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</si>
  <si>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</si>
  <si>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</si>
  <si>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</si>
  <si>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</si>
  <si>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</si>
  <si>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</si>
  <si>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</si>
  <si>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</si>
  <si>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</si>
  <si>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</si>
  <si>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</si>
  <si>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</si>
  <si>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</si>
  <si>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</si>
  <si>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</si>
  <si>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</si>
  <si>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</si>
  <si>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</si>
  <si>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</si>
  <si>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</si>
  <si>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</si>
  <si>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</si>
  <si>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</si>
  <si>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</si>
  <si>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</si>
  <si>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</si>
  <si>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</si>
  <si>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</si>
  <si>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</si>
  <si>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</si>
  <si>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</si>
  <si>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</si>
  <si>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</si>
  <si>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</si>
  <si>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</si>
  <si>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</si>
  <si>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</si>
  <si>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</si>
  <si>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</si>
  <si>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</si>
  <si>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</si>
  <si>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</si>
  <si>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</si>
  <si>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</si>
  <si>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</si>
  <si>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</si>
  <si>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</si>
  <si>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</si>
  <si>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</si>
  <si>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</si>
  <si>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</si>
  <si>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</si>
  <si>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</si>
  <si>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</si>
  <si>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</si>
  <si>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</si>
  <si>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</si>
  <si>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</si>
  <si>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</si>
  <si>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</si>
  <si>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</si>
  <si>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</si>
  <si>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</si>
  <si>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</si>
  <si>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</si>
  <si>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</si>
  <si>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</si>
  <si>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</si>
  <si>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</si>
  <si>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</si>
  <si>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</si>
  <si>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</si>
  <si>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</si>
  <si>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</si>
  <si>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</si>
  <si>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</si>
  <si>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</si>
  <si>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</si>
  <si>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</si>
  <si>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</si>
  <si>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</si>
  <si>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</si>
  <si>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</si>
  <si>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</si>
  <si>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</si>
  <si>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</si>
  <si>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</si>
  <si>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</si>
  <si>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</si>
  <si>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</si>
  <si>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</si>
  <si>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</si>
  <si>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</si>
  <si>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</si>
  <si>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</si>
  <si>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</si>
  <si>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</si>
  <si>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</si>
  <si>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</si>
  <si>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</si>
  <si>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</si>
  <si>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</si>
  <si>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</si>
  <si>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</si>
  <si>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</si>
  <si>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</si>
  <si>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</si>
  <si>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</si>
  <si>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</si>
  <si>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</si>
  <si>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</si>
  <si>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</si>
  <si>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</si>
  <si>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</si>
  <si>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</si>
  <si>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</si>
  <si>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</si>
  <si>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</si>
  <si>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</si>
  <si>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</si>
  <si>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</si>
  <si>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</si>
  <si>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</si>
  <si>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</si>
  <si>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</si>
  <si>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</si>
  <si>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</si>
  <si>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</si>
  <si>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</si>
  <si>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</si>
  <si>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</si>
  <si>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</si>
  <si>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</si>
  <si>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</si>
  <si>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</si>
  <si>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</si>
  <si>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</si>
  <si>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</si>
  <si>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</si>
  <si>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</si>
  <si>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</si>
  <si>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</si>
  <si>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</si>
  <si>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</si>
  <si>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</si>
  <si>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</si>
  <si>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</si>
  <si>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</si>
  <si>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</si>
  <si>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</si>
  <si>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</si>
  <si>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</si>
  <si>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</si>
  <si>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</si>
  <si>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</si>
  <si>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</si>
  <si>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</si>
  <si>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</si>
  <si>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</si>
  <si>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</si>
  <si>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</si>
  <si>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</si>
  <si>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</si>
  <si>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</si>
  <si>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</si>
  <si>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</si>
  <si>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</si>
  <si>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</si>
  <si>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</si>
  <si>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</si>
  <si>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</si>
  <si>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</si>
  <si>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</si>
  <si>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</si>
  <si>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</si>
  <si>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</si>
  <si>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</si>
  <si>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</si>
  <si>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</si>
  <si>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</si>
  <si>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</si>
  <si>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</si>
  <si>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</si>
  <si>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</si>
  <si>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</si>
  <si>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</si>
  <si>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</si>
  <si>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</si>
  <si>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</si>
  <si>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</si>
  <si>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</si>
  <si>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</si>
  <si>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</si>
  <si>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</si>
  <si>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</si>
  <si>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</si>
  <si>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</si>
  <si>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</si>
  <si>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</si>
  <si>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</si>
  <si>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</si>
  <si>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</si>
  <si>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</si>
  <si>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</si>
  <si>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</si>
  <si>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</si>
  <si>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</si>
  <si>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</si>
  <si>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</si>
  <si>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</si>
  <si>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</si>
  <si>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</si>
  <si>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</si>
  <si>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</si>
  <si>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</si>
  <si>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</si>
  <si>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</si>
  <si>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</si>
  <si>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</si>
  <si>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</si>
  <si>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</si>
  <si>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</si>
  <si>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</si>
  <si>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</si>
  <si>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</si>
  <si>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</si>
  <si>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</si>
  <si>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</si>
  <si>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</si>
  <si>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</si>
  <si>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</si>
  <si>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</si>
  <si>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</si>
  <si>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</si>
  <si>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</si>
  <si>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</si>
  <si>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</si>
  <si>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</si>
  <si>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</si>
  <si>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</si>
  <si>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</si>
  <si>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</si>
  <si>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</si>
  <si>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</si>
  <si>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</si>
  <si>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</si>
  <si>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</si>
  <si>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</si>
  <si>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</si>
  <si>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</si>
  <si>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</si>
  <si>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</si>
  <si>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</si>
  <si>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</si>
  <si>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</si>
  <si>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</si>
  <si>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</si>
  <si>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</si>
  <si>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</si>
  <si>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</si>
  <si>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</si>
  <si>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</si>
  <si>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</si>
  <si>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</si>
  <si>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</si>
  <si>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</si>
  <si>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</si>
  <si>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</si>
  <si>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</si>
  <si>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</si>
  <si>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</si>
  <si>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</si>
  <si>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</si>
  <si>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</si>
  <si>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</si>
  <si>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</si>
  <si>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</si>
  <si>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</si>
  <si>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</si>
  <si>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</si>
  <si>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</si>
  <si>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</si>
  <si>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</si>
  <si>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</si>
  <si>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</si>
  <si>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</si>
  <si>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</si>
  <si>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</si>
  <si>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</si>
  <si>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</si>
  <si>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</si>
  <si>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</si>
  <si>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</si>
  <si>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</si>
  <si>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</si>
  <si>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</si>
  <si>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</si>
  <si>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</si>
  <si>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</si>
  <si>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</si>
  <si>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</si>
  <si>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</si>
  <si>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</si>
  <si>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</si>
  <si>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</si>
  <si>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</si>
  <si>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</si>
  <si>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</si>
  <si>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</si>
  <si>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</si>
  <si>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</si>
  <si>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</si>
  <si>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</si>
  <si>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</si>
  <si>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</si>
  <si>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</si>
  <si>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</si>
  <si>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</si>
  <si>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</si>
  <si>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</si>
  <si>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</si>
  <si>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</si>
  <si>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</si>
  <si>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</si>
  <si>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</si>
  <si>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</si>
  <si>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</si>
  <si>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</si>
  <si>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</si>
  <si>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</si>
  <si>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</si>
  <si>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</si>
  <si>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</si>
  <si>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</si>
  <si>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</si>
  <si>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</si>
  <si>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</si>
  <si>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</si>
  <si>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</si>
  <si>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</si>
  <si>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</si>
  <si>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</si>
  <si>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</si>
  <si>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</si>
  <si>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</si>
  <si>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</si>
  <si>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</si>
  <si>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</si>
  <si>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</si>
  <si>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</si>
  <si>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</si>
  <si>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</si>
  <si>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</si>
  <si>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</si>
  <si>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</si>
  <si>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</si>
  <si>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</si>
  <si>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</si>
  <si>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</si>
  <si>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</si>
  <si>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</si>
  <si>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</si>
  <si>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</si>
  <si>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</si>
  <si>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</si>
  <si>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</si>
  <si>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</si>
  <si>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</si>
  <si>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</si>
  <si>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</si>
  <si>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</si>
  <si>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</si>
  <si>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</si>
  <si>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</si>
  <si>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</si>
  <si>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</si>
  <si>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</si>
  <si>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</si>
  <si>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</si>
  <si>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</si>
  <si>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</si>
  <si>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</si>
  <si>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</si>
  <si>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</si>
  <si>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</si>
  <si>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</si>
  <si>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</si>
  <si>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</si>
  <si>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</si>
  <si>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</si>
  <si>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</si>
  <si>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</si>
  <si>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</si>
  <si>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</si>
  <si>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</si>
  <si>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</si>
  <si>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</si>
  <si>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</si>
  <si>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</si>
  <si>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</si>
  <si>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</si>
  <si>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</si>
  <si>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</si>
  <si>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</si>
  <si>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</si>
  <si>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</si>
  <si>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</si>
  <si>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</si>
  <si>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</si>
  <si>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</si>
  <si>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</si>
  <si>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</si>
  <si>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</si>
  <si>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</si>
  <si>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</si>
  <si>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</si>
  <si>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</si>
  <si>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</si>
  <si>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</si>
  <si>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</si>
  <si>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</si>
  <si>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</si>
  <si>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</si>
  <si>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</si>
  <si>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</si>
  <si>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</si>
  <si>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</si>
  <si>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</si>
  <si>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</si>
  <si>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</si>
  <si>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</si>
  <si>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</si>
  <si>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</si>
  <si>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</si>
  <si>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</si>
  <si>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</si>
  <si>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</si>
  <si>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</si>
  <si>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</si>
  <si>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</si>
  <si>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</si>
  <si>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</si>
  <si>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</si>
  <si>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</si>
  <si>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</si>
  <si>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</si>
  <si>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</si>
  <si>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</si>
  <si>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</si>
  <si>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</si>
  <si>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</si>
  <si>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</si>
  <si>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</si>
  <si>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</si>
  <si>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</si>
  <si>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</si>
  <si>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</si>
  <si>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</si>
  <si>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</si>
  <si>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</si>
  <si>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</si>
  <si>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</si>
  <si>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</si>
  <si>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</si>
  <si>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</si>
  <si>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</si>
  <si>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</si>
  <si>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</si>
  <si>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</si>
  <si>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</si>
  <si>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</si>
  <si>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</si>
  <si>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</si>
  <si>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</si>
  <si>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</si>
  <si>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</si>
  <si>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</si>
  <si>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</si>
  <si>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</si>
  <si>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</si>
  <si>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</si>
  <si>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</si>
  <si>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</si>
  <si>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</si>
  <si>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</si>
  <si>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</si>
  <si>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</si>
  <si>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</si>
  <si>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</si>
  <si>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</si>
  <si>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</si>
  <si>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</si>
  <si>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</si>
  <si>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</si>
  <si>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</si>
  <si>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</si>
  <si>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</si>
  <si>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</si>
  <si>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</si>
  <si>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</si>
  <si>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</si>
  <si>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</si>
  <si>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</si>
  <si>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</si>
  <si>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</si>
  <si>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</si>
  <si>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</si>
  <si>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</si>
  <si>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</si>
  <si>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</si>
  <si>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</si>
  <si>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</si>
  <si>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</si>
  <si>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</si>
  <si>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</si>
  <si>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</si>
  <si>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</si>
  <si>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</si>
  <si>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</si>
  <si>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</si>
  <si>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</si>
  <si>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</si>
  <si>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</si>
  <si>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</si>
  <si>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</si>
  <si>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</si>
  <si>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</si>
  <si>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</si>
  <si>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</si>
  <si>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</si>
  <si>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</si>
  <si>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</si>
  <si>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</si>
  <si>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</si>
  <si>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</si>
  <si>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</si>
  <si>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</si>
  <si>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</si>
  <si>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</si>
  <si>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</si>
  <si>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</si>
  <si>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</si>
  <si>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</si>
  <si>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</si>
  <si>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</si>
  <si>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</si>
  <si>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</si>
  <si>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</si>
  <si>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</si>
  <si>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</si>
  <si>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</si>
  <si>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</si>
  <si>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</si>
  <si>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</si>
  <si>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</si>
  <si>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</si>
  <si>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</si>
  <si>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</si>
  <si>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</si>
  <si>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</si>
  <si>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</si>
  <si>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</si>
  <si>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</si>
  <si>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</si>
  <si>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</si>
  <si>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</si>
  <si>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</si>
  <si>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</si>
  <si>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</si>
  <si>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</si>
  <si>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</si>
  <si>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</si>
  <si>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</si>
  <si>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</si>
  <si>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</si>
  <si>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</si>
  <si>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</si>
  <si>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</si>
  <si>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</si>
  <si>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</si>
  <si>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</si>
  <si>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</si>
  <si>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</si>
  <si>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</si>
  <si>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</si>
  <si>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</si>
  <si>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</si>
  <si>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</si>
  <si>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</si>
  <si>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</si>
  <si>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</si>
  <si>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</si>
  <si>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</si>
  <si>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</si>
  <si>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</si>
  <si>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</si>
  <si>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</si>
  <si>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</si>
  <si>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</si>
  <si>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</si>
  <si>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</si>
  <si>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</si>
  <si>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</si>
  <si>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</si>
  <si>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</si>
  <si>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</si>
  <si>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</si>
  <si>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</si>
  <si>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</si>
  <si>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</si>
  <si>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</si>
  <si>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</si>
  <si>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</si>
  <si>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</si>
  <si>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</si>
  <si>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</si>
  <si>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</si>
  <si>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</si>
  <si>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</si>
  <si>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</si>
  <si>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</si>
  <si>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</si>
  <si>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</si>
  <si>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</si>
  <si>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</si>
  <si>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</si>
  <si>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</si>
  <si>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</si>
  <si>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</si>
  <si>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</si>
  <si>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</si>
  <si>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</si>
  <si>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</si>
  <si>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</si>
  <si>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</si>
  <si>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</si>
  <si>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</si>
  <si>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</si>
  <si>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</si>
  <si>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</si>
  <si>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</si>
  <si>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</si>
  <si>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</si>
  <si>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</si>
  <si>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</si>
  <si>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</si>
  <si>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</si>
  <si>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</si>
  <si>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</si>
  <si>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</si>
  <si>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</si>
  <si>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</si>
  <si>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</si>
  <si>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</si>
  <si>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</si>
  <si>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</si>
  <si>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</si>
  <si>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</si>
  <si>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</si>
  <si>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</si>
  <si>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</si>
  <si>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</si>
  <si>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</si>
  <si>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</si>
  <si>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</si>
  <si>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</si>
  <si>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</si>
  <si>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</si>
  <si>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</si>
  <si>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</si>
  <si>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</si>
  <si>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</si>
  <si>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</si>
  <si>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</si>
  <si>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</si>
  <si>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</si>
  <si>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</si>
  <si>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</si>
  <si>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</si>
  <si>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</si>
  <si>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</si>
  <si>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</si>
  <si>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</si>
  <si>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</si>
  <si>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</si>
  <si>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</si>
  <si>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</si>
  <si>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</si>
  <si>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</si>
  <si>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</si>
  <si>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</si>
  <si>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</si>
  <si>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</si>
  <si>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</si>
  <si>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</si>
  <si>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</si>
  <si>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</si>
  <si>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</si>
  <si>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</si>
  <si>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</si>
  <si>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</si>
  <si>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</si>
  <si>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</si>
  <si>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</si>
  <si>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</si>
  <si>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</si>
  <si>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</si>
  <si>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</si>
  <si>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</si>
  <si>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</si>
  <si>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</si>
  <si>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</si>
  <si>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</si>
  <si>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</si>
  <si>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</si>
  <si>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</si>
  <si>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</si>
  <si>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</si>
  <si>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</si>
  <si>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</si>
  <si>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</si>
  <si>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</si>
  <si>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</si>
  <si>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</si>
  <si>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</si>
  <si>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</si>
  <si>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</si>
  <si>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</si>
  <si>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</si>
  <si>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</si>
  <si>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</si>
  <si>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</si>
  <si>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</si>
  <si>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</si>
  <si>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</si>
  <si>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</si>
  <si>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</si>
  <si>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</si>
  <si>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</si>
  <si>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</si>
  <si>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</si>
  <si>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</si>
  <si>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</si>
  <si>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</si>
  <si>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</si>
  <si>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</si>
  <si>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</si>
  <si>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</si>
  <si>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</si>
  <si>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</si>
  <si>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</si>
  <si>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</si>
  <si>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</si>
  <si>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</si>
  <si>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</si>
  <si>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</si>
  <si>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</si>
  <si>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</si>
  <si>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</si>
  <si>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</si>
  <si>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</si>
  <si>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</si>
  <si>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</si>
  <si>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</si>
  <si>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</si>
  <si>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</si>
  <si>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</si>
  <si>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</si>
  <si>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</si>
  <si>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</si>
  <si>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</si>
  <si>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</si>
  <si>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</si>
  <si>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</si>
  <si>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</si>
  <si>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</si>
  <si>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</si>
  <si>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</si>
  <si>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</si>
  <si>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</si>
  <si>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</si>
  <si>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</si>
  <si>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</si>
  <si>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</si>
  <si>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</si>
  <si>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</si>
  <si>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</si>
  <si>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</si>
  <si>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</si>
  <si>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</si>
  <si>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</si>
  <si>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</si>
  <si>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</si>
  <si>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</si>
  <si>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</si>
  <si>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</si>
  <si>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</si>
  <si>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</si>
  <si>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</si>
  <si>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</si>
  <si>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</si>
  <si>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</si>
  <si>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</si>
  <si>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</si>
  <si>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</si>
  <si>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</si>
  <si>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</si>
  <si>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</si>
  <si>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</si>
  <si>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</si>
  <si>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</si>
  <si>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</si>
  <si>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</si>
  <si>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</si>
  <si>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</si>
  <si>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</si>
  <si>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</si>
  <si>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</si>
  <si>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</si>
  <si>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</si>
  <si>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</si>
  <si>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</si>
  <si>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</si>
  <si>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</si>
  <si>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</si>
  <si>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</si>
  <si>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</si>
  <si>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</si>
  <si>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</si>
  <si>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</si>
  <si>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</si>
  <si>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</si>
  <si>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</si>
  <si>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</si>
  <si>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</si>
  <si>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</si>
  <si>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</si>
  <si>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</si>
  <si>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</si>
  <si>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</si>
  <si>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</si>
  <si>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</si>
  <si>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</si>
  <si>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</si>
  <si>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</si>
  <si>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</si>
  <si>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</si>
  <si>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</si>
  <si>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</si>
  <si>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</si>
  <si>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</si>
  <si>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</si>
  <si>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</si>
  <si>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</si>
  <si>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</si>
  <si>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</si>
  <si>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</si>
  <si>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</si>
  <si>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</si>
  <si>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</si>
  <si>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</si>
  <si>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</si>
  <si>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</si>
  <si>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</si>
  <si>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</si>
  <si>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</si>
  <si>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</si>
  <si>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</si>
  <si>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</si>
  <si>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</si>
  <si>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</si>
  <si>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</si>
  <si>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</si>
  <si>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</si>
  <si>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</si>
  <si>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</si>
  <si>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</si>
  <si>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</si>
  <si>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</si>
  <si>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</si>
  <si>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</si>
  <si>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</si>
  <si>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</si>
  <si>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</si>
  <si>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</si>
  <si>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</si>
  <si>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</si>
  <si>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</si>
  <si>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</si>
  <si>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</si>
  <si>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</si>
  <si>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</si>
  <si>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</si>
  <si>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</si>
  <si>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</si>
  <si>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</si>
  <si>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</si>
  <si>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</si>
  <si>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</si>
  <si>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</si>
  <si>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</si>
  <si>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</si>
  <si>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</si>
  <si>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</si>
  <si>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</si>
  <si>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</si>
  <si>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</si>
  <si>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</si>
  <si>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</si>
  <si>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</si>
  <si>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</si>
  <si>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</si>
  <si>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</si>
  <si>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</si>
  <si>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</si>
  <si>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</si>
  <si>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</si>
  <si>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</si>
  <si>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</si>
  <si>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</si>
  <si>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</si>
  <si>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</si>
  <si>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</si>
  <si>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</si>
  <si>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</si>
  <si>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</si>
  <si>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</si>
  <si>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</si>
  <si>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</si>
  <si>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</si>
  <si>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</si>
  <si>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</si>
  <si>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</si>
  <si>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</si>
  <si>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</si>
  <si>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</si>
  <si>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</si>
  <si>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</si>
  <si>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</si>
  <si>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</si>
  <si>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</si>
  <si>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</si>
  <si>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</si>
  <si>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</si>
  <si>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</si>
  <si>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</si>
  <si>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</si>
  <si>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</si>
  <si>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</si>
  <si>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</si>
  <si>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</si>
  <si>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</si>
  <si>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</si>
  <si>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</si>
  <si>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</si>
  <si>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</si>
  <si>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</si>
  <si>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</si>
  <si>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</si>
  <si>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</si>
  <si>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</si>
  <si>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</si>
  <si>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</si>
  <si>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</si>
  <si>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</si>
  <si>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</si>
  <si>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</si>
  <si>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</si>
  <si>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</si>
  <si>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</si>
  <si>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</si>
  <si>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</si>
  <si>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</si>
  <si>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</si>
  <si>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</si>
  <si>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</si>
  <si>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</si>
  <si>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</si>
  <si>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</si>
  <si>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</si>
  <si>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</si>
  <si>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</si>
  <si>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</si>
  <si>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</si>
  <si>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</si>
  <si>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</si>
  <si>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</si>
  <si>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</si>
  <si>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</si>
  <si>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</si>
  <si>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</si>
  <si>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</si>
  <si>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</si>
  <si>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</si>
  <si>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</si>
  <si>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</si>
  <si>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</si>
  <si>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</si>
  <si>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</si>
  <si>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</si>
  <si>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</si>
  <si>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</si>
  <si>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</si>
  <si>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</si>
  <si>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</si>
  <si>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</si>
  <si>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</si>
  <si>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</si>
  <si>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</si>
  <si>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</si>
  <si>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</si>
  <si>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</si>
  <si>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</si>
  <si>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</si>
  <si>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</si>
  <si>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</si>
  <si>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</si>
  <si>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</si>
  <si>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</si>
  <si>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</si>
  <si>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</si>
  <si>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</si>
  <si>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</si>
  <si>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</si>
  <si>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</si>
  <si>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</si>
  <si>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</si>
  <si>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</si>
  <si>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</si>
  <si>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</si>
  <si>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</si>
  <si>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</si>
  <si>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</si>
  <si>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</si>
  <si>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</si>
  <si>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</si>
  <si>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</si>
  <si>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</si>
  <si>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</si>
  <si>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</si>
  <si>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</si>
  <si>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</si>
  <si>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</si>
  <si>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</si>
  <si>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</si>
  <si>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</si>
  <si>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</si>
  <si>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</si>
  <si>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</si>
  <si>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</si>
  <si>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</si>
  <si>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</si>
  <si>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</si>
  <si>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</si>
  <si>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</si>
  <si>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</si>
  <si>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</si>
  <si>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</si>
  <si>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</si>
  <si>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</si>
  <si>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</si>
  <si>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</si>
  <si>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</si>
  <si>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</si>
  <si>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</si>
  <si>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</si>
  <si>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</si>
  <si>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</si>
  <si>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</si>
  <si>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</si>
  <si>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</si>
  <si>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</si>
  <si>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</si>
  <si>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</si>
  <si>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</si>
  <si>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</si>
  <si>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</si>
  <si>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</si>
  <si>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</si>
  <si>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</si>
  <si>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</si>
  <si>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</si>
  <si>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</si>
  <si>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</si>
  <si>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</si>
  <si>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</si>
  <si>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</si>
  <si>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</si>
  <si>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</si>
  <si>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</si>
  <si>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</si>
  <si>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</si>
  <si>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</si>
  <si>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</si>
  <si>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</si>
  <si>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</si>
  <si>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</si>
  <si>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</si>
  <si>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</si>
  <si>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</si>
  <si>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</si>
  <si>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</si>
  <si>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</si>
  <si>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</si>
  <si>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</si>
  <si>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</si>
  <si>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</si>
  <si>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</si>
  <si>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</si>
  <si>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</si>
  <si>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</si>
  <si>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</si>
  <si>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</si>
  <si>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</si>
  <si>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</si>
  <si>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</si>
  <si>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</si>
  <si>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</si>
  <si>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</si>
  <si>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</si>
  <si>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</si>
  <si>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</si>
  <si>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</si>
  <si>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</si>
  <si>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</si>
  <si>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</si>
  <si>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</si>
  <si>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</si>
  <si>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</si>
  <si>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</si>
  <si>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</si>
  <si>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</si>
  <si>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</si>
  <si>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</si>
  <si>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</si>
  <si>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</si>
  <si>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</si>
  <si>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</si>
  <si>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</si>
  <si>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</si>
  <si>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</si>
  <si>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</si>
  <si>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</si>
  <si>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</si>
  <si>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</si>
  <si>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</si>
  <si>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</si>
  <si>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</si>
  <si>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</si>
  <si>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</si>
  <si>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</si>
  <si>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</si>
  <si>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</si>
  <si>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</si>
  <si>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</si>
  <si>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</si>
  <si>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</si>
  <si>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</si>
  <si>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</si>
  <si>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</si>
  <si>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</si>
  <si>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</si>
  <si>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</si>
  <si>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</si>
  <si>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</si>
  <si>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</si>
  <si>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</si>
  <si>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</si>
  <si>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</si>
  <si>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</si>
  <si>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</si>
  <si>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</si>
  <si>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</si>
  <si>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</si>
  <si>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</si>
  <si>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</si>
  <si>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</si>
  <si>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</si>
  <si>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</si>
  <si>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</si>
  <si>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</si>
  <si>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</si>
  <si>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</si>
  <si>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</si>
  <si>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</si>
  <si>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</si>
  <si>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</si>
  <si>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</si>
  <si>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</si>
  <si>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</si>
  <si>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</si>
  <si>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</si>
  <si>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</si>
  <si>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</si>
  <si>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</si>
  <si>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</si>
  <si>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</si>
  <si>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</si>
  <si>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</si>
  <si>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</si>
  <si>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</si>
  <si>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</si>
  <si>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</si>
  <si>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</si>
  <si>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</si>
  <si>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</si>
  <si>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</si>
  <si>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</si>
  <si>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</si>
  <si>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</si>
  <si>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</si>
  <si>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</si>
  <si>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</si>
  <si>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</si>
  <si>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</si>
  <si>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</si>
  <si>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</si>
  <si>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</si>
  <si>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</si>
  <si>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</si>
  <si>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</si>
  <si>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</si>
  <si>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</si>
  <si>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</si>
  <si>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</si>
  <si>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</si>
  <si>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</si>
  <si>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</si>
  <si>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</si>
  <si>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</si>
  <si>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</si>
  <si>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</si>
  <si>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</si>
  <si>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</si>
  <si>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</si>
  <si>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</si>
  <si>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</si>
  <si>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</si>
  <si>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</si>
  <si>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</si>
  <si>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</si>
  <si>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</si>
  <si>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</si>
  <si>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</si>
  <si>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</si>
  <si>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</si>
  <si>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</si>
  <si>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</si>
  <si>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</si>
  <si>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</si>
  <si>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</si>
  <si>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</si>
  <si>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</si>
  <si>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</si>
  <si>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</si>
  <si>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</si>
  <si>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</si>
  <si>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</si>
  <si>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</si>
  <si>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</si>
  <si>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</si>
  <si>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</si>
  <si>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</si>
  <si>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</si>
  <si>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</si>
  <si>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</si>
  <si>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</si>
  <si>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</si>
  <si>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</si>
  <si>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</si>
  <si>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</si>
  <si>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</si>
  <si>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</si>
  <si>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</si>
  <si>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</si>
  <si>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</si>
  <si>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</si>
  <si>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</si>
  <si>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</si>
  <si>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</si>
  <si>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</si>
  <si>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</si>
  <si>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</si>
  <si>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</si>
  <si>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</si>
  <si>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</si>
  <si>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</si>
  <si>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</si>
  <si>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</si>
  <si>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</si>
  <si>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</si>
  <si>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</si>
  <si>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</si>
  <si>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</si>
  <si>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</si>
  <si>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</si>
  <si>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</si>
  <si>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</si>
  <si>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</si>
  <si>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</si>
  <si>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</si>
  <si>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</si>
  <si>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</si>
  <si>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</si>
  <si>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</si>
  <si>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</si>
  <si>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</si>
  <si>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</si>
  <si>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</si>
  <si>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</si>
  <si>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</si>
  <si>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</si>
  <si>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</si>
  <si>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</si>
  <si>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</si>
  <si>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</si>
  <si>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</si>
  <si>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</si>
  <si>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</si>
  <si>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</si>
  <si>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</si>
  <si>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</si>
  <si>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</si>
  <si>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</si>
  <si>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</si>
  <si>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</si>
  <si>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</si>
  <si>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</si>
  <si>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</si>
  <si>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</si>
  <si>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</si>
  <si>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</si>
  <si>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</si>
  <si>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</si>
  <si>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</si>
  <si>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</si>
  <si>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</si>
  <si>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</si>
  <si>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</si>
  <si>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</si>
  <si>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</si>
  <si>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</si>
  <si>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</si>
  <si>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</si>
  <si>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</si>
  <si>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</si>
  <si>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</si>
  <si>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</si>
  <si>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</si>
  <si>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</si>
  <si>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</si>
  <si>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</si>
  <si>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</si>
  <si>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</si>
  <si>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</si>
  <si>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</si>
  <si>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</si>
  <si>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</si>
  <si>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</si>
  <si>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</si>
  <si>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</si>
  <si>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</si>
  <si>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</si>
  <si>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</si>
  <si>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</si>
  <si>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</si>
  <si>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</si>
  <si>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</si>
  <si>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</si>
  <si>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</si>
  <si>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</si>
  <si>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</si>
  <si>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</si>
  <si>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</si>
  <si>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</si>
  <si>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</si>
  <si>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</si>
  <si>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</si>
  <si>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</si>
  <si>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</si>
  <si>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</si>
  <si>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</si>
  <si>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</si>
  <si>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</si>
  <si>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</si>
  <si>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</si>
  <si>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</si>
  <si>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</si>
  <si>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</si>
  <si>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</si>
  <si>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</si>
  <si>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</si>
  <si>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</si>
  <si>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</si>
  <si>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</si>
  <si>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</si>
  <si>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</si>
  <si>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</si>
  <si>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</si>
  <si>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</si>
  <si>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</si>
  <si>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</si>
  <si>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</si>
  <si>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</si>
  <si>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</si>
  <si>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</si>
  <si>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</si>
  <si>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</si>
  <si>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</si>
  <si>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</si>
  <si>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</si>
  <si>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</si>
  <si>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</si>
  <si>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</si>
  <si>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</si>
  <si>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</si>
  <si>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</si>
  <si>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</si>
  <si>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</si>
  <si>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</si>
  <si>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</si>
  <si>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</si>
  <si>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</si>
  <si>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</si>
  <si>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</si>
  <si>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</si>
  <si>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</si>
  <si>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</si>
  <si>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</si>
  <si>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</si>
  <si>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</si>
  <si>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</si>
  <si>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</si>
  <si>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</si>
  <si>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</si>
  <si>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</si>
  <si>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</si>
  <si>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</si>
  <si>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</si>
  <si>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</si>
  <si>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</si>
  <si>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</si>
  <si>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</si>
  <si>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</si>
  <si>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</si>
  <si>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</si>
  <si>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</si>
  <si>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</si>
  <si>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</si>
  <si>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</si>
  <si>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</si>
  <si>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</si>
  <si>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</si>
  <si>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</si>
  <si>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</si>
  <si>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</si>
  <si>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</si>
  <si>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</si>
  <si>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</si>
  <si>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</si>
  <si>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</si>
  <si>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</si>
  <si>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</si>
  <si>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</si>
  <si>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</si>
  <si>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</si>
  <si>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</si>
  <si>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</si>
  <si>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</si>
  <si>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</si>
  <si>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</si>
  <si>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</si>
  <si>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</si>
  <si>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</si>
  <si>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</si>
  <si>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</si>
  <si>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</si>
  <si>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</si>
  <si>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</si>
  <si>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</si>
  <si>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</si>
  <si>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</si>
  <si>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</si>
  <si>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</si>
  <si>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</si>
  <si>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</si>
  <si>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</si>
  <si>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</si>
  <si>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</si>
  <si>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</si>
  <si>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</si>
  <si>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</si>
  <si>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</si>
  <si>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</si>
  <si>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</si>
  <si>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</si>
  <si>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</si>
  <si>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</si>
  <si>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</si>
  <si>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</si>
  <si>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</si>
  <si>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</si>
  <si>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</si>
  <si>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</si>
  <si>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</si>
  <si>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</si>
  <si>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</si>
  <si>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</si>
  <si>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</si>
  <si>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</si>
  <si>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</si>
  <si>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</si>
  <si>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</si>
  <si>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</si>
  <si>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</si>
  <si>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</si>
  <si>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</si>
  <si>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</si>
  <si>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</si>
  <si>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</si>
  <si>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</si>
  <si>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</si>
  <si>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</si>
  <si>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</si>
  <si>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</si>
  <si>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</si>
  <si>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</si>
  <si>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</si>
  <si>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</si>
  <si>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</si>
  <si>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</si>
  <si>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</si>
  <si>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</si>
  <si>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</si>
  <si>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</si>
  <si>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</si>
  <si>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</si>
  <si>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</si>
  <si>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</si>
  <si>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</si>
  <si>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</si>
  <si>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</si>
  <si>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</si>
  <si>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</si>
  <si>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</si>
  <si>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</si>
  <si>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</si>
  <si>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</si>
  <si>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</si>
  <si>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</si>
  <si>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</si>
  <si>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</si>
  <si>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</si>
  <si>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</si>
  <si>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</si>
  <si>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</si>
  <si>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</si>
  <si>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</si>
  <si>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</si>
  <si>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</si>
  <si>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</si>
  <si>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</si>
  <si>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</si>
  <si>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</si>
  <si>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</si>
  <si>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</si>
  <si>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</si>
  <si>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</si>
  <si>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</si>
  <si>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</si>
  <si>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</si>
  <si>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</si>
  <si>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</si>
  <si>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</si>
  <si>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</si>
  <si>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</si>
  <si>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</si>
  <si>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</si>
  <si>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</si>
  <si>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</si>
  <si>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</si>
  <si>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</si>
  <si>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</si>
  <si>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</si>
  <si>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</si>
  <si>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</si>
  <si>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</si>
  <si>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</si>
  <si>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</si>
  <si>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</si>
  <si>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</si>
  <si>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</si>
  <si>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</si>
  <si>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</si>
  <si>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</si>
  <si>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</si>
  <si>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</si>
  <si>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</si>
  <si>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</si>
  <si>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</si>
  <si>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</si>
  <si>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</si>
  <si>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</si>
  <si>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</si>
  <si>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</si>
  <si>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</si>
  <si>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</si>
  <si>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</si>
  <si>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</si>
  <si>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</si>
  <si>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</si>
  <si>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</si>
  <si>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</si>
  <si>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</si>
  <si>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</si>
  <si>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</si>
  <si>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</si>
  <si>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</si>
  <si>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</si>
  <si>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</si>
  <si>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</si>
  <si>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</si>
  <si>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</si>
  <si>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</si>
  <si>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</si>
  <si>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</si>
  <si>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</si>
  <si>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</si>
  <si>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</si>
  <si>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</si>
  <si>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</si>
  <si>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</si>
  <si>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</si>
  <si>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</si>
  <si>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</si>
  <si>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</si>
  <si>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</si>
  <si>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</si>
  <si>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</si>
  <si>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</si>
  <si>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</si>
  <si>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</si>
  <si>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</si>
  <si>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</si>
  <si>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</si>
  <si>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</si>
  <si>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</si>
  <si>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</si>
  <si>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</si>
  <si>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</si>
  <si>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</si>
  <si>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</si>
  <si>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</si>
  <si>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</si>
  <si>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</si>
  <si>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</si>
  <si>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</si>
  <si>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</si>
  <si>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</si>
  <si>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</si>
  <si>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</si>
  <si>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</si>
  <si>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</si>
  <si>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</si>
  <si>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</si>
  <si>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</si>
  <si>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</si>
  <si>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Gridley Orchard Associates, a Californa Limited Partnership</t>
  </si>
  <si>
    <t>Orchard View Apartments</t>
  </si>
  <si>
    <t>Eagle</t>
  </si>
  <si>
    <t>, Idaho</t>
  </si>
  <si>
    <t>Caleb Roope</t>
  </si>
  <si>
    <t>President &amp; CEO, PWC, Inc., Mgr of G.P.</t>
  </si>
  <si>
    <t>City of Gridley</t>
  </si>
  <si>
    <t>Cliff Wagner</t>
  </si>
  <si>
    <t>685 Kentucky Street</t>
  </si>
  <si>
    <t>Gridley</t>
  </si>
  <si>
    <t>530.846.3631</t>
  </si>
  <si>
    <t>530.846.3229</t>
  </si>
  <si>
    <t>cwagner@gridley.ca.us</t>
  </si>
  <si>
    <t>1445 State Highway 99</t>
  </si>
  <si>
    <t>021-110-033 (a portion of)</t>
  </si>
  <si>
    <t>40%/60%</t>
  </si>
  <si>
    <t>430 E. State Street, Suite 100</t>
  </si>
  <si>
    <t>ID</t>
  </si>
  <si>
    <t>208.461.0022</t>
  </si>
  <si>
    <t>208.461.3267</t>
  </si>
  <si>
    <t>calebr@tpchousing.com</t>
  </si>
  <si>
    <t>Butte County Affordable Housing Development Corporation</t>
  </si>
  <si>
    <t>Managing GP</t>
  </si>
  <si>
    <t>2039 Forest Avenue</t>
  </si>
  <si>
    <t>Chico</t>
  </si>
  <si>
    <t>CA</t>
  </si>
  <si>
    <t>Edward S. Mayer</t>
  </si>
  <si>
    <t>530.895.4475</t>
  </si>
  <si>
    <t>530.895.4469</t>
  </si>
  <si>
    <t>edm@butte-housing.com</t>
  </si>
  <si>
    <t>TPC Holdings IX, LLC</t>
  </si>
  <si>
    <t>Administrative GP</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</si>
  <si>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</si>
  <si>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</si>
  <si>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</si>
  <si>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</si>
  <si>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</si>
  <si>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</si>
  <si>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</si>
  <si>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</si>
  <si>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</si>
  <si>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</si>
  <si>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</si>
  <si>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</si>
  <si>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</si>
  <si>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</si>
  <si>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</si>
  <si>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</si>
  <si>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</si>
  <si>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</si>
  <si>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Boston Financial</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</si>
  <si>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</si>
  <si>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</si>
  <si>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</si>
  <si>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</si>
  <si>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</si>
  <si>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</si>
  <si>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</si>
  <si>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</si>
  <si>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</si>
  <si>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</si>
  <si>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</si>
  <si>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</si>
  <si>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DuctTesters, Inc.</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</si>
  <si>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</si>
  <si>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</si>
  <si>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</si>
  <si>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</si>
  <si>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</si>
  <si>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</si>
  <si>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</si>
  <si>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</si>
  <si>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</si>
  <si>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</si>
  <si>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</si>
  <si>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</si>
  <si>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</si>
  <si>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Cambridge Real Estate Services</t>
  </si>
  <si>
    <t>1417 NW Marshall</t>
  </si>
  <si>
    <t>Portland, OR 97208</t>
  </si>
  <si>
    <t>Jeff Passadore</t>
  </si>
  <si>
    <t>503.450.0233</t>
  </si>
  <si>
    <t>503.450.0241</t>
  </si>
  <si>
    <t>jpassadore@cambridgeres.com</t>
  </si>
  <si>
    <t>Jagtar Madare &amp; Harpreet Kaur, Joint Tenants</t>
  </si>
  <si>
    <t>Jagtar Madare &amp; Harpreet Kaur</t>
  </si>
  <si>
    <t xml:space="preserve">Jagtar Madara   </t>
  </si>
  <si>
    <t>Harpreet Kaur</t>
  </si>
  <si>
    <t>Joint Tenant</t>
  </si>
  <si>
    <t>9701 Poplar Court</t>
  </si>
  <si>
    <t>Live Oak, CA 95948</t>
  </si>
  <si>
    <t>559.635.6803</t>
  </si>
  <si>
    <t>One or Two Story Garden</t>
  </si>
  <si>
    <t>1.5 spaces per unit + 10% = 80 parking spaces required</t>
  </si>
  <si>
    <t>California Bank &amp; Trust - Construction Loan</t>
  </si>
  <si>
    <t>Fixed</t>
  </si>
  <si>
    <t>Interest Only</t>
  </si>
  <si>
    <t>None</t>
  </si>
  <si>
    <t>Pacific West Communities, Inc. - DDF</t>
  </si>
  <si>
    <t>Gridley Orchard Assoc. - Def. Costs</t>
  </si>
  <si>
    <t>Boston Financial - LIHTC Equity</t>
  </si>
  <si>
    <t>1900 Avenue of the Stars, Ste. 2350</t>
  </si>
  <si>
    <t>Los Angeles, CA 90067</t>
  </si>
  <si>
    <t>Mark Wolf</t>
  </si>
  <si>
    <t>310.407.6183</t>
  </si>
  <si>
    <t>Construction Loan</t>
  </si>
  <si>
    <t>CDBG-DR Loan</t>
  </si>
  <si>
    <t>Deferred Developer Fee</t>
  </si>
  <si>
    <t>Deferred Costs</t>
  </si>
  <si>
    <t>LIHTC Equity</t>
  </si>
  <si>
    <t>California Bank &amp; Trust - Perm Loan</t>
  </si>
  <si>
    <t>Varies</t>
  </si>
  <si>
    <t>Permanent Loan</t>
  </si>
  <si>
    <t>Late Fees, Application Fees, Misc. Income</t>
  </si>
  <si>
    <t>Air Conditioning &amp; Other Customer Charges</t>
  </si>
  <si>
    <t>Housing Authority of the County of Butte</t>
  </si>
  <si>
    <t>Telephone, Office Expenses, Misc. Admin</t>
  </si>
  <si>
    <t>Payroll Taxes, Workers Comp, Benefits</t>
  </si>
  <si>
    <t>Cleaning &amp; Building Supplies</t>
  </si>
  <si>
    <t xml:space="preserve">Licenses </t>
  </si>
  <si>
    <t xml:space="preserve">State Tax </t>
  </si>
  <si>
    <t>CDBG-DR Loan (Federal Prevailing Wages)</t>
  </si>
  <si>
    <t>Licenses &amp; State Tax</t>
  </si>
  <si>
    <t>County of Butte - CDBG-DR Loan</t>
  </si>
  <si>
    <t>Butte Regional Transit (B-Line) Bus Stop</t>
  </si>
  <si>
    <t>E. Gridley Road &amp; Highway 99</t>
  </si>
  <si>
    <t>Gridley, CA 95948</t>
  </si>
  <si>
    <t>Ivan Garcia</t>
  </si>
  <si>
    <t>530.809.4616</t>
  </si>
  <si>
    <t>www.blinetransit.com/Schedules/Route-30-Oroville---Biggs/index.html</t>
  </si>
  <si>
    <t>0.41 Miles</t>
  </si>
  <si>
    <t>Manuel Vierra Park</t>
  </si>
  <si>
    <t>194 Washington Street</t>
  </si>
  <si>
    <t>Malanee Montero</t>
  </si>
  <si>
    <t>530.846.3264</t>
  </si>
  <si>
    <t>http://gridley.ca.us/government-and-departments/departments/recreation-services/</t>
  </si>
  <si>
    <t>0.20 Miles</t>
  </si>
  <si>
    <t>Gridley Branch Library</t>
  </si>
  <si>
    <t>299 Spruce Street</t>
  </si>
  <si>
    <t>Narinder Sufi</t>
  </si>
  <si>
    <t>530.872.6320</t>
  </si>
  <si>
    <t>www.buttecounty.net/bclibrary/locations</t>
  </si>
  <si>
    <t>0.65 Miles</t>
  </si>
  <si>
    <t>Safeway Supermarket</t>
  </si>
  <si>
    <t>1596 Highway 99</t>
  </si>
  <si>
    <t>Art Magallon</t>
  </si>
  <si>
    <t>530.846.3762</t>
  </si>
  <si>
    <t>https://local.safeway.com/safeway/ca/gridley/1596-st-hwy-99.html</t>
  </si>
  <si>
    <t>0.40 Miles</t>
  </si>
  <si>
    <t>Wilson Elementary School</t>
  </si>
  <si>
    <t>409 Magnolia Street</t>
  </si>
  <si>
    <t>Joan Schumann</t>
  </si>
  <si>
    <t>530.846.3675</t>
  </si>
  <si>
    <t>http://wilson.gusd.org/index.html</t>
  </si>
  <si>
    <t>0.35 Miles</t>
  </si>
  <si>
    <t>Orchard Hospital</t>
  </si>
  <si>
    <t>240 Spruce Street</t>
  </si>
  <si>
    <t>Steve Lee Stark</t>
  </si>
  <si>
    <t>530.846.9000</t>
  </si>
  <si>
    <t>https://orchardhospital.com</t>
  </si>
  <si>
    <t>0.70 Miles</t>
  </si>
  <si>
    <t>Rite Aid Pharmacy</t>
  </si>
  <si>
    <t>1583 Highway 99</t>
  </si>
  <si>
    <t>Stacey Sabo</t>
  </si>
  <si>
    <t>530.846.3334</t>
  </si>
  <si>
    <t>https://www.riteaid.com/locations/ca/gridley/1583-highway-99.html</t>
  </si>
  <si>
    <t>0.36 Miles</t>
  </si>
  <si>
    <t>Highway Commercial Corridor (HCC); 30 du / acre</t>
  </si>
  <si>
    <t>40' Maximum</t>
  </si>
  <si>
    <t>Mixed Use Combining District (Commercial, Residential, Industrial)</t>
  </si>
  <si>
    <t>25 County Center Drive, Ste. 200</t>
  </si>
  <si>
    <t>Oroville, CA 95965</t>
  </si>
  <si>
    <t>Tracy Davis</t>
  </si>
  <si>
    <t>530.552.3350</t>
  </si>
  <si>
    <t>Construction Lender Costs (Legal,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</si>
</sst>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8" sqref="E28"/>
    </sheetView>
  </sheetViews>
  <sheetFormatPr defaultColWidth="0" defaultRowHeight="12.6" zeroHeight="1"/>
  <cols>
    <col min="1" max="38" width="2.453125" customWidth="1"/>
    <col min="39" max="16384" width="8.81640625" style="272" hidden="1"/>
  </cols>
  <sheetData>
    <row r="1" spans="1:38">
      <c r="A1" s="1517" t="s">
        <v>2063</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1"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1"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1" t="s">
        <v>2067</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ht="13.1">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ht="13.1">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ht="13.1">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ht="13.1">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ht="13.1">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ht="13.1">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ht="13.1">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ht="13.1">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ht="13.1">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ht="13.1">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1"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5" customHeight="1">
      <c r="A19" s="283"/>
      <c r="B19" s="1"/>
      <c r="C19" s="358"/>
      <c r="D19" s="1521" t="s">
        <v>2238</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ht="13.1">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ht="13.1">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ht="13.1">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ht="13.1">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ht="13.1">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ht="13.1">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ht="13.1">
      <c r="A26" s="283"/>
      <c r="B26" s="1"/>
      <c r="C26" s="358"/>
      <c r="D26" s="288"/>
      <c r="E26" s="1532" t="s">
        <v>2291</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ht="13.1">
      <c r="A27" s="283"/>
      <c r="B27" s="1"/>
      <c r="C27" s="358"/>
      <c r="D27" s="272"/>
      <c r="E27" s="1532" t="s">
        <v>2292</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ht="13.1">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2235</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ht="13.1">
      <c r="A31" s="283"/>
      <c r="B31" s="1"/>
      <c r="C31" s="1"/>
      <c r="D31" s="1044"/>
      <c r="E31" s="1533" t="s">
        <v>1390</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ht="13.1">
      <c r="A32" s="283"/>
      <c r="B32" s="1"/>
      <c r="C32" s="1"/>
      <c r="D32" s="1044"/>
      <c r="E32" s="1533" t="s">
        <v>1235</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ht="13.1">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
      <c r="A34" s="283"/>
      <c r="B34" s="1"/>
      <c r="C34" s="358" t="s">
        <v>510</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
      <c r="A36" s="283"/>
      <c r="B36" s="1"/>
      <c r="C36" s="358"/>
      <c r="D36" s="283"/>
      <c r="E36" s="289" t="s">
        <v>1845</v>
      </c>
      <c r="F36" s="1521" t="s">
        <v>1846</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ht="13.1">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ht="13.1">
      <c r="A38" s="283"/>
      <c r="B38" s="1"/>
      <c r="C38" s="358"/>
      <c r="D38" s="283"/>
      <c r="E38" s="283"/>
      <c r="F38" s="1037"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
      <c r="A40" s="283"/>
      <c r="B40" s="1"/>
      <c r="C40" s="358"/>
      <c r="D40" s="283"/>
      <c r="E40" s="283"/>
      <c r="F40" s="1037"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21" t="s">
        <v>2062</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ht="13.1">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ht="13.1">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ht="13.1">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
      <c r="A48" s="283"/>
      <c r="B48" s="1"/>
      <c r="C48" s="358"/>
      <c r="D48" s="358"/>
      <c r="E48" s="283"/>
      <c r="F48" s="499" t="s">
        <v>637</v>
      </c>
      <c r="G48" s="1523" t="s">
        <v>2064</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ht="13.1">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ht="13.1">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ht="13.1">
      <c r="A51" s="283"/>
      <c r="B51" s="358"/>
      <c r="C51" s="358"/>
      <c r="D51" s="358"/>
      <c r="E51" s="283"/>
      <c r="F51" s="499" t="s">
        <v>213</v>
      </c>
      <c r="G51" s="1524" t="s">
        <v>1847</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ht="13.1">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ht="13.1">
      <c r="A53" s="288"/>
      <c r="B53" s="272"/>
      <c r="C53" s="359"/>
      <c r="D53" s="359"/>
      <c r="E53" s="288"/>
      <c r="F53" s="1046"/>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ht="13.1">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
      <c r="A58" s="283"/>
      <c r="B58" s="1"/>
      <c r="C58" s="358"/>
      <c r="D58" s="283"/>
      <c r="E58" s="283"/>
      <c r="F58" s="426" t="s">
        <v>637</v>
      </c>
      <c r="G58" s="1521" t="s">
        <v>1850</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ht="13.1">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ht="13.1">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ht="13.1">
      <c r="A61" s="283"/>
      <c r="B61" s="1"/>
      <c r="C61" s="358"/>
      <c r="D61" s="283"/>
      <c r="E61" s="283"/>
      <c r="F61" s="426" t="s">
        <v>213</v>
      </c>
      <c r="G61" s="1521" t="s">
        <v>1849</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ht="13.1">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ht="13.1">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ht="13.1">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
      <c r="A65" s="283"/>
      <c r="B65" s="1"/>
      <c r="C65" s="358"/>
      <c r="D65" s="283"/>
      <c r="E65" s="283"/>
      <c r="F65" s="499" t="s">
        <v>637</v>
      </c>
      <c r="G65" s="1521" t="s">
        <v>1851</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ht="13.1">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ht="13.1">
      <c r="A67" s="283"/>
      <c r="B67" s="1"/>
      <c r="C67" s="358"/>
      <c r="D67" s="283"/>
      <c r="E67" s="283"/>
      <c r="F67" s="499" t="s">
        <v>213</v>
      </c>
      <c r="G67" s="1521" t="s">
        <v>1852</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ht="13.1">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ht="13.1">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
      <c r="A71" s="283"/>
      <c r="B71" s="1"/>
      <c r="C71" s="358"/>
      <c r="D71" s="283"/>
      <c r="E71" s="283"/>
      <c r="F71" s="499" t="s">
        <v>971</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
      <c r="A73" s="283"/>
      <c r="B73" s="1"/>
      <c r="C73" s="358"/>
      <c r="D73" s="283"/>
      <c r="E73" s="283"/>
      <c r="F73" s="283"/>
      <c r="G73" s="283" t="s">
        <v>335</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
      <c r="A74" s="283"/>
      <c r="B74" s="1"/>
      <c r="C74" s="358"/>
      <c r="D74" s="283"/>
      <c r="E74" s="283" t="s">
        <v>590</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
      <c r="A75" s="283"/>
      <c r="B75" s="1"/>
      <c r="C75" s="358"/>
      <c r="D75" s="283"/>
      <c r="E75" s="283"/>
      <c r="F75" s="499"/>
      <c r="G75" s="1521" t="s">
        <v>1867</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ht="13.1">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ht="13.1">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ht="13.1">
      <c r="A78" s="283"/>
      <c r="B78" s="1"/>
      <c r="C78" s="358"/>
      <c r="D78" s="283"/>
      <c r="E78" s="283" t="s">
        <v>504</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
      <c r="A79" s="283"/>
      <c r="B79" s="1"/>
      <c r="C79" s="358"/>
      <c r="D79" s="283"/>
      <c r="E79" s="283"/>
      <c r="F79" s="499"/>
      <c r="G79" s="1521" t="s">
        <v>1868</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ht="13.1">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ht="13.1">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ht="13.1">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
      <c r="A83" s="283"/>
      <c r="B83" s="1"/>
      <c r="C83" s="358"/>
      <c r="D83" s="283"/>
      <c r="E83" s="283"/>
      <c r="F83" s="1"/>
      <c r="G83" s="1521" t="s">
        <v>1853</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ht="13.1">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ht="13.1">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
      <c r="A86" s="283"/>
      <c r="B86" s="1"/>
      <c r="C86" s="358"/>
      <c r="D86" s="283"/>
      <c r="E86" s="283"/>
      <c r="F86" s="499"/>
      <c r="G86" s="1521" t="s">
        <v>1854</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ht="13.1">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ht="13.1">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
      <c r="A89" s="283"/>
      <c r="B89" s="1"/>
      <c r="C89" s="358"/>
      <c r="D89" s="283"/>
      <c r="E89" s="283"/>
      <c r="F89" s="499"/>
      <c r="G89" s="1521" t="s">
        <v>1860</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ht="13.1">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ht="13.1">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ht="13.1">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ht="13.1">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
      <c r="A94" s="1048"/>
      <c r="B94" s="1049"/>
      <c r="C94" s="1050"/>
      <c r="D94" s="1048"/>
      <c r="E94" s="1048"/>
      <c r="F94" s="1049"/>
      <c r="G94" s="1522" t="s">
        <v>1861</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9"/>
    </row>
    <row r="95" spans="1:38" ht="13.1">
      <c r="A95" s="1048"/>
      <c r="B95" s="1049"/>
      <c r="C95" s="1050"/>
      <c r="D95" s="1048"/>
      <c r="E95" s="1048"/>
      <c r="F95" s="1049"/>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9"/>
    </row>
    <row r="96" spans="1:38" ht="13.1">
      <c r="A96" s="1048"/>
      <c r="B96" s="1049"/>
      <c r="C96" s="1050"/>
      <c r="D96" s="1048"/>
      <c r="E96" s="1048"/>
      <c r="F96" s="1049"/>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9"/>
    </row>
    <row r="97" spans="1:38" ht="13.1">
      <c r="A97" s="1048"/>
      <c r="B97" s="1049"/>
      <c r="C97" s="1050"/>
      <c r="D97" s="1048"/>
      <c r="E97" s="1048"/>
      <c r="F97" s="1049"/>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9"/>
    </row>
    <row r="98" spans="1:38" ht="13.1">
      <c r="A98" s="283"/>
      <c r="B98" s="1"/>
      <c r="C98" s="358"/>
      <c r="D98" s="283"/>
      <c r="E98" s="283" t="s">
        <v>1079</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
      <c r="A99" s="283"/>
      <c r="B99" s="1"/>
      <c r="C99" s="358"/>
      <c r="D99" s="283"/>
      <c r="E99" s="283"/>
      <c r="F99" s="283"/>
      <c r="G99" s="1521" t="s">
        <v>1862</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ht="13.1">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ht="13.1">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
      <c r="A102" s="283"/>
      <c r="B102" s="1"/>
      <c r="C102" s="358"/>
      <c r="D102" s="283"/>
      <c r="E102" s="283"/>
      <c r="F102" s="283"/>
      <c r="G102" s="1521" t="s">
        <v>1863</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ht="13.1">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ht="13.1">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
      <c r="A105" s="283"/>
      <c r="B105" s="1"/>
      <c r="C105" s="358"/>
      <c r="D105" s="283"/>
      <c r="E105" s="283"/>
      <c r="F105" s="283"/>
      <c r="G105" s="1521" t="s">
        <v>1864</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ht="13.1">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ht="13.1">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ht="13.1">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
      <c r="A109" s="283"/>
      <c r="B109" s="1"/>
      <c r="C109" s="358"/>
      <c r="D109" s="358"/>
      <c r="E109" s="283"/>
      <c r="F109" s="283"/>
      <c r="G109" s="1521" t="s">
        <v>1865</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ht="13.1">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ht="13.1">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1">
      <c r="A112" s="283"/>
      <c r="B112" s="1"/>
      <c r="C112" s="1"/>
      <c r="D112" s="1051"/>
      <c r="E112" s="1529" t="s">
        <v>1866</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ht="13.1">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
      <c r="A115" s="12"/>
      <c r="B115" s="1040" t="s">
        <v>509</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
      <c r="A126" s="1"/>
      <c r="B126" s="1"/>
      <c r="C126" s="1"/>
      <c r="D126" s="1"/>
      <c r="E126" s="283" t="s">
        <v>990</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1">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1">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
      <c r="A138" s="1"/>
      <c r="B138" s="358"/>
      <c r="C138" s="358"/>
      <c r="D138" s="358" t="s">
        <v>893</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1869</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
      <c r="A151" s="1"/>
      <c r="B151" s="1"/>
      <c r="C151" s="1"/>
      <c r="D151" s="358" t="s">
        <v>549</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1" t="s">
        <v>1870</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
      <c r="A168" s="1"/>
      <c r="B168" s="1"/>
      <c r="C168" s="1"/>
      <c r="D168" s="359" t="s">
        <v>510</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
      <c r="A177" s="1"/>
      <c r="B177" s="1"/>
      <c r="C177" s="1"/>
      <c r="D177" s="359" t="s">
        <v>813</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
      <c r="A200" s="1"/>
      <c r="B200" s="1"/>
      <c r="C200" s="1"/>
      <c r="D200" s="358" t="s">
        <v>510</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
      <c r="A208" s="1"/>
      <c r="B208" s="283"/>
      <c r="C208" s="358"/>
      <c r="D208" s="1"/>
      <c r="E208" s="1" t="s">
        <v>983</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
      <c r="A213" s="1"/>
      <c r="B213" s="283"/>
      <c r="C213" s="283"/>
      <c r="D213" s="358" t="s">
        <v>549</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
      <c r="A218" s="1"/>
      <c r="B218" s="283"/>
      <c r="C218" s="283"/>
      <c r="D218" s="358"/>
      <c r="E218" s="283" t="s">
        <v>984</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
      <c r="A219" s="1"/>
      <c r="B219" s="283"/>
      <c r="C219" s="283"/>
      <c r="D219" s="358"/>
      <c r="E219" s="283" t="s">
        <v>990</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
      <c r="A221" s="1"/>
      <c r="B221" s="283"/>
      <c r="C221" s="283"/>
      <c r="D221" s="358"/>
      <c r="E221" s="283" t="s">
        <v>476</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
      <c r="A222" s="1"/>
      <c r="B222" s="283"/>
      <c r="C222" s="283"/>
      <c r="D222" s="358"/>
      <c r="E222" s="1"/>
      <c r="F222" s="1" t="s">
        <v>895</v>
      </c>
      <c r="G222" s="1521" t="s">
        <v>1871</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ht="13.1">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ht="13.1">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1" t="s">
        <v>1872</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1" t="s">
        <v>1873</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ht="13.1">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
      <c r="A265" s="1"/>
      <c r="B265" s="358"/>
      <c r="C265" s="358"/>
      <c r="D265" s="1"/>
      <c r="E265" s="283" t="s">
        <v>476</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
      <c r="A267" s="1"/>
      <c r="B267" s="358"/>
      <c r="C267" s="358"/>
      <c r="D267" s="358" t="s">
        <v>510</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
      <c r="A278" s="1"/>
      <c r="B278" s="358"/>
      <c r="C278" s="1"/>
      <c r="D278" s="358" t="s">
        <v>549</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
      <c r="A295" s="1"/>
      <c r="B295" s="358"/>
      <c r="C295" s="1"/>
      <c r="D295" s="283"/>
      <c r="E295" s="283"/>
      <c r="F295" s="283" t="s">
        <v>590</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
      <c r="A335" s="1"/>
      <c r="B335" s="358"/>
      <c r="C335" s="1"/>
      <c r="D335" s="1"/>
      <c r="E335" s="1" t="s">
        <v>983</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30" t="s">
        <v>1993</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ht="13.1">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ht="13.1">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ht="13.1">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ht="13.1">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ht="13.1">
      <c r="A348" s="1"/>
      <c r="B348" s="358"/>
      <c r="C348" s="1"/>
      <c r="D348" s="1"/>
      <c r="E348" s="283" t="s">
        <v>983</v>
      </c>
      <c r="F348" s="1521" t="s">
        <v>1994</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ht="13.1">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ht="13.1">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ht="13.1">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ht="13.1">
      <c r="A352" s="1"/>
      <c r="B352" s="358"/>
      <c r="C352" s="1"/>
      <c r="D352" s="1"/>
      <c r="E352" s="283" t="s">
        <v>984</v>
      </c>
      <c r="F352" s="1521" t="s">
        <v>1995</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ht="13.1">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ht="13.1">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ht="13.1">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ht="13.1">
      <c r="A356" s="12"/>
      <c r="B356" s="1040" t="s">
        <v>493</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ht="13.1">
      <c r="A365" s="1"/>
      <c r="B365" s="358"/>
      <c r="C365" s="1"/>
      <c r="D365" s="1"/>
      <c r="E365" s="1527" t="s">
        <v>1990</v>
      </c>
    </row>
    <row r="366" spans="1:38" s="1527" customFormat="1" ht="13.1">
      <c r="A366" s="1"/>
      <c r="B366" s="358"/>
      <c r="C366" s="1"/>
      <c r="D366" s="1"/>
    </row>
    <row r="367" spans="1:38" ht="13.1">
      <c r="A367" s="1"/>
      <c r="B367" s="358"/>
      <c r="C367" s="1"/>
      <c r="D367" s="1"/>
      <c r="E367" s="1"/>
      <c r="F367" s="1525" t="s">
        <v>1991</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ht="13.1">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ht="13.1">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
      <c r="A370" s="1"/>
      <c r="B370" s="358"/>
      <c r="C370" s="1"/>
      <c r="D370" s="358" t="s">
        <v>510</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
      <c r="A381" s="1"/>
      <c r="B381" s="358"/>
      <c r="C381" s="1"/>
      <c r="D381" s="358" t="s">
        <v>813</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
      <c r="A385" s="1"/>
      <c r="B385" s="358"/>
      <c r="C385" s="1"/>
      <c r="D385" s="358" t="s">
        <v>549</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showGridLines="0" zoomScaleNormal="100" zoomScaleSheetLayoutView="100" workbookViewId="0">
      <selection activeCell="E8" sqref="E8"/>
    </sheetView>
  </sheetViews>
  <sheetFormatPr defaultColWidth="0" defaultRowHeight="12.6" zeroHeight="1"/>
  <cols>
    <col min="1" max="10" width="9.1796875" style="16" customWidth="1"/>
    <col min="11" max="16384" width="8.81640625" style="16" hidden="1"/>
  </cols>
  <sheetData>
    <row r="1" spans="1:10" ht="14.25" customHeight="1"/>
    <row r="2" spans="1:10" ht="15.65">
      <c r="A2" s="1536" t="s">
        <v>332</v>
      </c>
      <c r="B2" s="1537"/>
      <c r="C2" s="1537"/>
      <c r="D2" s="1537"/>
      <c r="E2" s="1537"/>
      <c r="F2" s="1537"/>
      <c r="G2" s="1537"/>
      <c r="H2" s="1537"/>
      <c r="I2" s="1537"/>
      <c r="J2" s="1537"/>
    </row>
    <row r="3" spans="1:10" ht="15.65">
      <c r="A3" s="1538" t="s">
        <v>2293</v>
      </c>
      <c r="B3" s="1537"/>
      <c r="C3" s="1537"/>
      <c r="D3" s="1537"/>
      <c r="E3" s="1537"/>
      <c r="F3" s="1537"/>
      <c r="G3" s="1537"/>
      <c r="H3" s="1537"/>
      <c r="I3" s="1537"/>
      <c r="J3" s="1537"/>
    </row>
    <row r="4" spans="1:10"/>
    <row r="5" spans="1:10" ht="12.75" customHeight="1">
      <c r="A5" s="1543" t="s">
        <v>2236</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2334</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2060</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1119</v>
      </c>
      <c r="B22" s="1078"/>
      <c r="C22" s="1078"/>
      <c r="D22" s="1078"/>
      <c r="E22" s="1078"/>
      <c r="F22" s="1078"/>
      <c r="G22" s="1078"/>
      <c r="H22" s="1078"/>
      <c r="I22" s="1078"/>
      <c r="J22" s="1078"/>
    </row>
    <row r="23" spans="1:10" ht="14.6">
      <c r="A23" s="1079" t="s">
        <v>254</v>
      </c>
      <c r="B23" s="1079"/>
      <c r="C23" s="1079"/>
      <c r="D23" s="1079"/>
      <c r="E23" s="1079"/>
      <c r="F23" s="1079"/>
      <c r="G23" s="1079"/>
      <c r="H23" s="1079"/>
      <c r="I23" s="1079"/>
      <c r="J23" s="1515"/>
    </row>
    <row r="24" spans="1:10">
      <c r="A24" s="1542" t="s">
        <v>1102</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1120</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1102</v>
      </c>
    </row>
    <row r="66" spans="1:9"/>
    <row r="67" spans="1:9"/>
    <row r="68" spans="1:9"/>
    <row r="69" spans="1:9"/>
    <row r="70" spans="1:9"/>
    <row r="71" spans="1:9"/>
    <row r="72" spans="1:9"/>
    <row r="73" spans="1:9"/>
    <row r="74" spans="1:9"/>
    <row r="75" spans="1:9"/>
    <row r="76" spans="1:9" ht="13.1">
      <c r="A76" s="1535" t="s">
        <v>1234</v>
      </c>
      <c r="B76" s="1535"/>
      <c r="C76" s="1535"/>
      <c r="D76" s="1535"/>
      <c r="E76" s="1535"/>
      <c r="F76" s="1535"/>
      <c r="G76" s="1535"/>
      <c r="H76" s="1535"/>
      <c r="I76" s="1535"/>
    </row>
    <row r="77" spans="1:9">
      <c r="A77" s="1534" t="s">
        <v>1392</v>
      </c>
      <c r="B77" s="1534"/>
      <c r="C77" s="1534"/>
      <c r="D77" s="1534"/>
      <c r="E77" s="1534"/>
      <c r="F77" s="1077"/>
    </row>
    <row r="78" spans="1:9">
      <c r="A78" s="1534" t="s">
        <v>1391</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5" zoomScaleNormal="115" zoomScaleSheetLayoutView="100" workbookViewId="0">
      <selection activeCell="A5" sqref="A5:G5"/>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1">
      <c r="A2" s="1587" t="s">
        <v>2294</v>
      </c>
      <c r="B2" s="1587"/>
      <c r="C2" s="1588"/>
      <c r="D2" s="1588"/>
      <c r="E2" s="1588"/>
      <c r="F2" s="1588"/>
      <c r="G2" s="1588"/>
      <c r="I2" s="2" t="s">
        <v>86</v>
      </c>
    </row>
    <row r="3" spans="1:9" ht="13.1">
      <c r="A3" s="298"/>
      <c r="B3" s="298"/>
      <c r="C3" s="13"/>
      <c r="D3" s="13"/>
      <c r="E3" s="13"/>
      <c r="F3" s="13"/>
      <c r="G3" s="687"/>
      <c r="I3" s="329" t="s">
        <v>1514</v>
      </c>
    </row>
    <row r="4" spans="1:9" ht="13.1">
      <c r="A4" s="1589" t="s">
        <v>1128</v>
      </c>
      <c r="B4" s="1589"/>
      <c r="C4" s="1590"/>
      <c r="D4" s="1590"/>
      <c r="E4" s="1590"/>
      <c r="F4" s="1590"/>
      <c r="G4" s="1590"/>
      <c r="I4" s="329" t="s">
        <v>1498</v>
      </c>
    </row>
    <row r="5" spans="1:9" ht="13.1">
      <c r="A5" s="1589" t="s">
        <v>1129</v>
      </c>
      <c r="B5" s="1589"/>
      <c r="C5" s="1590"/>
      <c r="D5" s="1590"/>
      <c r="E5" s="1590"/>
      <c r="F5" s="1590"/>
      <c r="G5" s="1590"/>
      <c r="I5" s="2" t="s">
        <v>135</v>
      </c>
    </row>
    <row r="6" spans="1:9" ht="13.75" customHeight="1">
      <c r="A6" s="14"/>
      <c r="B6" s="14"/>
      <c r="C6" s="14"/>
      <c r="D6" s="282"/>
      <c r="E6" s="282"/>
      <c r="F6" s="282"/>
    </row>
    <row r="7" spans="1:9" ht="13.1">
      <c r="A7" s="1591" t="s">
        <v>1551</v>
      </c>
      <c r="B7" s="1591"/>
      <c r="C7" s="1592"/>
      <c r="D7" s="1592"/>
      <c r="E7" s="1592"/>
      <c r="F7" s="1592"/>
      <c r="G7" s="1592"/>
    </row>
    <row r="8" spans="1:9" ht="13.1">
      <c r="A8" s="1591" t="s">
        <v>1552</v>
      </c>
      <c r="B8" s="1591"/>
      <c r="C8" s="1592"/>
      <c r="D8" s="1592"/>
      <c r="E8" s="1592"/>
      <c r="F8" s="1592"/>
      <c r="G8" s="1592"/>
    </row>
    <row r="9" spans="1:9" ht="13.1">
      <c r="A9" s="301"/>
      <c r="B9" s="301"/>
      <c r="C9" s="298"/>
      <c r="D9" s="298"/>
      <c r="E9" s="298"/>
      <c r="F9" s="298"/>
      <c r="G9" s="406"/>
    </row>
    <row r="10" spans="1:9" ht="13.1">
      <c r="A10" s="1593" t="s">
        <v>1685</v>
      </c>
      <c r="B10" s="1593"/>
      <c r="C10" s="1593"/>
      <c r="D10" s="1593"/>
      <c r="E10" s="1593"/>
      <c r="F10" s="1593"/>
      <c r="G10" s="1593"/>
    </row>
    <row r="11" spans="1:9" ht="13.1">
      <c r="A11" s="414"/>
      <c r="B11" s="414"/>
      <c r="C11" s="14"/>
      <c r="D11" s="282"/>
      <c r="E11" s="282"/>
      <c r="F11" s="282"/>
    </row>
    <row r="12" spans="1:9" ht="13.75" customHeight="1">
      <c r="A12" s="140"/>
      <c r="B12" s="140"/>
      <c r="C12" s="298"/>
      <c r="D12" s="1594" t="s">
        <v>1684</v>
      </c>
      <c r="E12" s="1594"/>
      <c r="F12" s="1594"/>
      <c r="G12" s="925"/>
    </row>
    <row r="13" spans="1:9" ht="13.1">
      <c r="A13" s="140"/>
      <c r="B13" s="140"/>
      <c r="C13" s="298"/>
      <c r="D13" s="1594"/>
      <c r="E13" s="1594"/>
      <c r="F13" s="1594"/>
      <c r="G13" s="925"/>
    </row>
    <row r="14" spans="1:9" ht="13.1">
      <c r="A14" s="415"/>
      <c r="B14" s="415"/>
      <c r="C14" s="299"/>
      <c r="D14" s="1554" t="s">
        <v>1538</v>
      </c>
      <c r="E14" s="1554"/>
      <c r="F14" s="1554"/>
      <c r="G14" s="467"/>
    </row>
    <row r="15" spans="1:9" ht="13.1">
      <c r="A15" s="415"/>
      <c r="B15" s="415"/>
      <c r="C15" s="299"/>
      <c r="D15" s="282"/>
      <c r="E15" s="282"/>
      <c r="F15" s="282"/>
    </row>
    <row r="16" spans="1:9" ht="14.5" customHeight="1">
      <c r="A16" s="413"/>
      <c r="B16" s="924" t="s">
        <v>1498</v>
      </c>
      <c r="C16" s="299"/>
      <c r="D16" s="1586" t="s">
        <v>2298</v>
      </c>
      <c r="E16" s="1552"/>
      <c r="F16" s="1552"/>
      <c r="G16" s="550"/>
    </row>
    <row r="17" spans="1:7" ht="14.5" customHeight="1">
      <c r="A17" s="413"/>
      <c r="B17" s="14"/>
      <c r="C17" s="299"/>
      <c r="D17" s="1552"/>
      <c r="E17" s="1552"/>
      <c r="F17" s="1552"/>
      <c r="G17" s="550"/>
    </row>
    <row r="18" spans="1:7" ht="13.1">
      <c r="A18" s="415"/>
      <c r="B18" s="14"/>
      <c r="C18" s="299"/>
      <c r="D18" s="1552"/>
      <c r="E18" s="1552"/>
      <c r="F18" s="1552"/>
      <c r="G18" s="550"/>
    </row>
    <row r="19" spans="1:7" ht="13.1">
      <c r="A19" s="415"/>
      <c r="B19" s="14"/>
      <c r="C19" s="299"/>
      <c r="D19" s="1501"/>
      <c r="E19" s="1503" t="s">
        <v>2299</v>
      </c>
      <c r="F19" s="1501"/>
      <c r="G19" s="550"/>
    </row>
    <row r="20" spans="1:7" ht="13.1">
      <c r="A20" s="415"/>
      <c r="B20" s="415"/>
      <c r="C20" s="299"/>
      <c r="D20" s="282"/>
      <c r="E20" s="282"/>
      <c r="F20" s="282"/>
    </row>
    <row r="21" spans="1:7" ht="13.1">
      <c r="A21" s="413"/>
      <c r="B21" s="924" t="s">
        <v>1498</v>
      </c>
      <c r="C21" s="14"/>
      <c r="D21" s="1586" t="s">
        <v>2300</v>
      </c>
      <c r="E21" s="1552"/>
      <c r="F21" s="1552"/>
    </row>
    <row r="22" spans="1:7" ht="12.6">
      <c r="A22" s="14"/>
      <c r="B22" s="14"/>
      <c r="C22" s="14"/>
      <c r="D22" s="1552"/>
      <c r="E22" s="1552"/>
      <c r="F22" s="1552"/>
    </row>
    <row r="23" spans="1:7" ht="13.1">
      <c r="A23" s="14"/>
      <c r="B23" s="14"/>
      <c r="C23" s="14"/>
      <c r="D23" s="1502"/>
      <c r="E23" s="930" t="s">
        <v>2301</v>
      </c>
      <c r="F23" s="1502"/>
    </row>
    <row r="24" spans="1:7" ht="13.1">
      <c r="A24" s="413"/>
      <c r="B24" s="413"/>
      <c r="C24" s="14"/>
      <c r="D24" s="287"/>
      <c r="E24" s="282"/>
      <c r="F24" s="282"/>
    </row>
    <row r="25" spans="1:7" ht="13.1">
      <c r="A25" s="413"/>
      <c r="B25" s="924" t="s">
        <v>135</v>
      </c>
      <c r="C25" s="14"/>
      <c r="D25" s="1552" t="s">
        <v>1530</v>
      </c>
      <c r="E25" s="1552"/>
      <c r="F25" s="1552"/>
    </row>
    <row r="26" spans="1:7" ht="13.1">
      <c r="A26" s="413"/>
      <c r="B26" s="413"/>
      <c r="C26" s="14"/>
      <c r="D26" s="1552"/>
      <c r="E26" s="1552"/>
      <c r="F26" s="1552"/>
    </row>
    <row r="27" spans="1:7" ht="13.1">
      <c r="A27" s="413"/>
      <c r="B27" s="413"/>
      <c r="C27" s="14"/>
      <c r="D27" s="287"/>
      <c r="E27" s="282"/>
      <c r="F27" s="282"/>
    </row>
    <row r="28" spans="1:7" ht="14.25" customHeight="1">
      <c r="A28" s="552"/>
      <c r="B28" s="924" t="s">
        <v>1498</v>
      </c>
      <c r="D28" s="1584" t="s">
        <v>1532</v>
      </c>
      <c r="E28" s="1584"/>
      <c r="F28" s="1584"/>
    </row>
    <row r="29" spans="1:7" ht="13.1">
      <c r="A29" s="552"/>
      <c r="B29" s="552"/>
      <c r="D29" s="1584"/>
      <c r="E29" s="1584"/>
      <c r="F29" s="1584"/>
    </row>
    <row r="30" spans="1:7" ht="13.1">
      <c r="A30" s="552"/>
      <c r="B30" s="552"/>
      <c r="D30" s="1584"/>
      <c r="E30" s="1584"/>
      <c r="F30" s="1584"/>
    </row>
    <row r="31" spans="1:7" ht="13.1">
      <c r="A31" s="552"/>
      <c r="B31" s="552"/>
      <c r="D31" s="1584"/>
      <c r="E31" s="1584"/>
      <c r="F31" s="1584"/>
    </row>
    <row r="32" spans="1:7" ht="13.1">
      <c r="A32" s="552"/>
      <c r="B32" s="552"/>
      <c r="D32" s="1584"/>
      <c r="E32" s="1584"/>
      <c r="F32" s="1584"/>
    </row>
    <row r="33" spans="1:6" ht="13.1">
      <c r="A33" s="552"/>
      <c r="B33" s="552"/>
      <c r="D33" s="884"/>
      <c r="F33" s="929"/>
    </row>
    <row r="34" spans="1:6" ht="14.5" customHeight="1">
      <c r="A34" s="552"/>
      <c r="B34" s="924" t="s">
        <v>135</v>
      </c>
      <c r="D34" s="1595" t="s">
        <v>1531</v>
      </c>
      <c r="E34" s="1595"/>
      <c r="F34" s="1595"/>
    </row>
    <row r="35" spans="1:6" ht="13.1">
      <c r="A35" s="552"/>
      <c r="B35" s="552"/>
      <c r="D35" s="1595"/>
      <c r="E35" s="1595"/>
      <c r="F35" s="1595"/>
    </row>
    <row r="36" spans="1:6" ht="13.1">
      <c r="A36" s="413"/>
      <c r="B36" s="413"/>
      <c r="C36" s="14"/>
      <c r="D36" s="928"/>
      <c r="E36" s="928"/>
      <c r="F36" s="928"/>
    </row>
    <row r="37" spans="1:6" ht="13.1">
      <c r="A37" s="413"/>
      <c r="B37" s="924" t="s">
        <v>135</v>
      </c>
      <c r="C37" s="14"/>
      <c r="D37" s="1562" t="s">
        <v>1918</v>
      </c>
      <c r="E37" s="1595"/>
      <c r="F37" s="1595"/>
    </row>
    <row r="38" spans="1:6" ht="13.1">
      <c r="A38" s="413"/>
      <c r="B38" s="413"/>
      <c r="C38" s="14"/>
      <c r="D38" s="1595"/>
      <c r="E38" s="1595"/>
      <c r="F38" s="1595"/>
    </row>
    <row r="39" spans="1:6" ht="13.1">
      <c r="A39" s="413"/>
      <c r="B39" s="413"/>
      <c r="C39" s="14"/>
      <c r="D39" s="1595"/>
      <c r="E39" s="1595"/>
      <c r="F39" s="1595"/>
    </row>
    <row r="40" spans="1:6" ht="13.1">
      <c r="A40" s="413"/>
      <c r="B40" s="413"/>
      <c r="C40" s="14"/>
      <c r="D40" s="1595"/>
      <c r="E40" s="1595"/>
      <c r="F40" s="1595"/>
    </row>
    <row r="41" spans="1:6" ht="13.1">
      <c r="A41" s="413"/>
      <c r="B41" s="413"/>
      <c r="C41" s="14"/>
      <c r="D41" s="1595"/>
      <c r="E41" s="1595"/>
      <c r="F41" s="1595"/>
    </row>
    <row r="42" spans="1:6" ht="13.1">
      <c r="A42" s="413"/>
      <c r="B42" s="413"/>
      <c r="C42" s="14"/>
      <c r="D42" s="1595"/>
      <c r="E42" s="1595"/>
      <c r="F42" s="1595"/>
    </row>
    <row r="43" spans="1:6" ht="13.1">
      <c r="A43" s="413"/>
      <c r="B43" s="413"/>
      <c r="C43" s="14"/>
      <c r="D43" s="1595"/>
      <c r="E43" s="1595"/>
      <c r="F43" s="1595"/>
    </row>
    <row r="44" spans="1:6" ht="13.1">
      <c r="A44" s="413"/>
      <c r="B44" s="413"/>
      <c r="C44" s="14"/>
      <c r="D44" s="1595"/>
      <c r="E44" s="1595"/>
      <c r="F44" s="1595"/>
    </row>
    <row r="45" spans="1:6" ht="13.1">
      <c r="A45" s="413"/>
      <c r="B45" s="413"/>
      <c r="C45" s="14"/>
      <c r="D45" s="931"/>
      <c r="E45" s="931"/>
      <c r="F45" s="931"/>
    </row>
    <row r="46" spans="1:6" ht="14.5" customHeight="1">
      <c r="A46" s="413"/>
      <c r="B46" s="924" t="s">
        <v>135</v>
      </c>
      <c r="C46" s="14"/>
      <c r="D46" s="1595" t="s">
        <v>1569</v>
      </c>
      <c r="E46" s="1595"/>
      <c r="F46" s="1595"/>
    </row>
    <row r="47" spans="1:6" ht="13.1">
      <c r="A47" s="413"/>
      <c r="B47" s="413"/>
      <c r="C47" s="14"/>
      <c r="D47" s="1595"/>
      <c r="E47" s="1595"/>
      <c r="F47" s="1595"/>
    </row>
    <row r="48" spans="1:6" ht="13.1">
      <c r="A48" s="413"/>
      <c r="B48" s="413"/>
      <c r="C48" s="14"/>
      <c r="D48" s="1595"/>
      <c r="E48" s="1595"/>
      <c r="F48" s="1595"/>
    </row>
    <row r="49" spans="1:6" ht="13.1">
      <c r="A49" s="413"/>
      <c r="B49" s="413"/>
      <c r="C49" s="14"/>
      <c r="D49" s="1595"/>
      <c r="E49" s="1595"/>
      <c r="F49" s="1595"/>
    </row>
    <row r="50" spans="1:6" ht="13.1">
      <c r="A50" s="413"/>
      <c r="B50" s="413"/>
      <c r="C50" s="14"/>
      <c r="D50" s="1595"/>
      <c r="E50" s="1595"/>
      <c r="F50" s="1595"/>
    </row>
    <row r="51" spans="1:6" ht="13.1">
      <c r="A51" s="413"/>
      <c r="B51" s="413"/>
      <c r="C51" s="14"/>
      <c r="D51" s="403"/>
    </row>
    <row r="52" spans="1:6" ht="13.1">
      <c r="A52" s="413"/>
      <c r="B52" s="924" t="s">
        <v>135</v>
      </c>
      <c r="C52" s="14"/>
      <c r="D52" s="1562" t="s">
        <v>2079</v>
      </c>
      <c r="E52" s="1595"/>
      <c r="F52" s="1595"/>
    </row>
    <row r="53" spans="1:6" ht="13.1">
      <c r="A53" s="413"/>
      <c r="B53" s="413"/>
      <c r="C53" s="14"/>
      <c r="D53" s="1595"/>
      <c r="E53" s="1595"/>
      <c r="F53" s="1595"/>
    </row>
    <row r="54" spans="1:6" ht="13.1">
      <c r="A54" s="413"/>
      <c r="B54" s="413"/>
      <c r="C54" s="14"/>
      <c r="D54" s="1595"/>
      <c r="E54" s="1595"/>
      <c r="F54" s="1595"/>
    </row>
    <row r="55" spans="1:6" ht="13.1">
      <c r="A55" s="413"/>
      <c r="B55" s="413"/>
      <c r="C55" s="14"/>
      <c r="D55" s="1595"/>
      <c r="E55" s="1595"/>
      <c r="F55" s="1595"/>
    </row>
    <row r="56" spans="1:6" ht="13.1">
      <c r="A56" s="413"/>
      <c r="B56" s="413"/>
      <c r="C56" s="14"/>
      <c r="D56" s="1595"/>
      <c r="E56" s="1595"/>
      <c r="F56" s="1595"/>
    </row>
    <row r="57" spans="1:6" ht="15" customHeight="1">
      <c r="A57" s="413"/>
      <c r="B57" s="413"/>
      <c r="C57" s="14"/>
      <c r="D57" s="1595"/>
      <c r="E57" s="1595"/>
      <c r="F57" s="1595"/>
    </row>
    <row r="58" spans="1:6" ht="13.1">
      <c r="A58" s="413"/>
      <c r="B58" s="413"/>
      <c r="C58" s="14"/>
      <c r="D58" s="2"/>
    </row>
    <row r="59" spans="1:6" ht="13.1">
      <c r="A59" s="413"/>
      <c r="B59" s="924" t="s">
        <v>135</v>
      </c>
      <c r="C59" s="14"/>
      <c r="D59" s="1562" t="s">
        <v>2130</v>
      </c>
      <c r="E59" s="1595"/>
      <c r="F59" s="1595"/>
    </row>
    <row r="60" spans="1:6" ht="13.1">
      <c r="A60" s="413"/>
      <c r="B60" s="413"/>
      <c r="C60" s="14"/>
      <c r="D60" s="1595"/>
      <c r="E60" s="1595"/>
      <c r="F60" s="1595"/>
    </row>
    <row r="61" spans="1:6" ht="13.1">
      <c r="A61" s="413"/>
      <c r="B61" s="413"/>
      <c r="C61" s="14"/>
      <c r="D61" s="1595"/>
      <c r="E61" s="1595"/>
      <c r="F61" s="1595"/>
    </row>
    <row r="62" spans="1:6" ht="13.1">
      <c r="A62" s="413"/>
      <c r="B62" s="413"/>
      <c r="C62" s="14"/>
      <c r="D62" s="1595"/>
      <c r="E62" s="1595"/>
      <c r="F62" s="1595"/>
    </row>
    <row r="63" spans="1:6" ht="17.25" customHeight="1">
      <c r="A63" s="413"/>
      <c r="B63" s="413"/>
      <c r="C63" s="14"/>
      <c r="D63" s="1595"/>
      <c r="E63" s="1595"/>
      <c r="F63" s="1595"/>
    </row>
    <row r="64" spans="1:6" ht="14.25" customHeight="1">
      <c r="A64" s="413"/>
      <c r="B64" s="924" t="s">
        <v>135</v>
      </c>
      <c r="C64" s="14"/>
      <c r="D64" s="1550" t="s">
        <v>1574</v>
      </c>
      <c r="E64" s="1550"/>
      <c r="F64" s="1550"/>
    </row>
    <row r="65" spans="1:6" ht="15" customHeight="1">
      <c r="A65" s="413"/>
      <c r="B65" s="413"/>
      <c r="C65" s="14"/>
      <c r="D65" s="1550"/>
      <c r="E65" s="1550"/>
      <c r="F65" s="1550"/>
    </row>
    <row r="66" spans="1:6" ht="21.65" customHeight="1">
      <c r="A66" s="413"/>
      <c r="B66" s="413"/>
      <c r="C66" s="14"/>
      <c r="D66" s="1550"/>
      <c r="E66" s="1550"/>
      <c r="F66" s="1550"/>
    </row>
    <row r="67" spans="1:6" ht="13.1">
      <c r="A67" s="413"/>
      <c r="B67" s="413"/>
      <c r="C67" s="14"/>
      <c r="D67" s="136"/>
    </row>
    <row r="68" spans="1:6" ht="14.25" customHeight="1">
      <c r="A68" s="552"/>
      <c r="B68" s="924" t="s">
        <v>1498</v>
      </c>
      <c r="D68" s="1562" t="s">
        <v>2302</v>
      </c>
      <c r="E68" s="1595"/>
      <c r="F68" s="1595"/>
    </row>
    <row r="69" spans="1:6" ht="12.6">
      <c r="D69" s="1595"/>
      <c r="E69" s="1595"/>
      <c r="F69" s="1595"/>
    </row>
    <row r="70" spans="1:6" ht="12.6">
      <c r="D70" s="1595"/>
      <c r="E70" s="1595"/>
      <c r="F70" s="1595"/>
    </row>
    <row r="71" spans="1:6" ht="13.1">
      <c r="A71" s="552"/>
      <c r="B71" s="552"/>
      <c r="D71" s="928"/>
      <c r="E71" s="1503" t="s">
        <v>2299</v>
      </c>
      <c r="F71" s="928"/>
    </row>
    <row r="72" spans="1:6" ht="13.1">
      <c r="A72" s="413"/>
      <c r="B72" s="413"/>
      <c r="C72" s="14"/>
      <c r="D72" s="136"/>
    </row>
    <row r="73" spans="1:6" ht="13.1">
      <c r="A73" s="413"/>
      <c r="B73" s="924" t="s">
        <v>135</v>
      </c>
      <c r="C73" s="14"/>
      <c r="D73" s="1595" t="s">
        <v>1683</v>
      </c>
      <c r="E73" s="1595"/>
      <c r="F73" s="1595"/>
    </row>
    <row r="74" spans="1:6" ht="12.6">
      <c r="A74" s="140"/>
      <c r="B74" s="140"/>
      <c r="C74" s="14"/>
      <c r="D74" s="1595"/>
      <c r="E74" s="1595"/>
      <c r="F74" s="1595"/>
    </row>
    <row r="75" spans="1:6" ht="12.6">
      <c r="A75" s="140"/>
      <c r="B75" s="140"/>
      <c r="C75" s="14"/>
      <c r="D75" s="1595"/>
      <c r="E75" s="1595"/>
      <c r="F75" s="1595"/>
    </row>
    <row r="76" spans="1:6" ht="12.6">
      <c r="A76" s="140"/>
      <c r="B76" s="140"/>
      <c r="C76" s="14"/>
      <c r="D76" s="282"/>
      <c r="E76" s="282"/>
      <c r="F76" s="282"/>
    </row>
    <row r="77" spans="1:6" ht="13.1">
      <c r="A77" s="413" t="s">
        <v>254</v>
      </c>
      <c r="B77" s="924" t="s">
        <v>135</v>
      </c>
      <c r="C77" s="14"/>
      <c r="D77" s="1595" t="s">
        <v>1575</v>
      </c>
      <c r="E77" s="1595"/>
      <c r="F77" s="1595"/>
    </row>
    <row r="78" spans="1:6" ht="12.6">
      <c r="A78" s="140"/>
      <c r="B78" s="140"/>
      <c r="C78" s="14"/>
      <c r="D78" s="1595"/>
      <c r="E78" s="1595"/>
      <c r="F78" s="1595"/>
    </row>
    <row r="79" spans="1:6" ht="12.6">
      <c r="A79" s="140"/>
      <c r="B79" s="140"/>
      <c r="C79" s="14"/>
      <c r="D79" s="282"/>
      <c r="E79" s="282"/>
      <c r="F79" s="282"/>
    </row>
    <row r="80" spans="1:6" ht="13.1">
      <c r="A80" s="413" t="s">
        <v>254</v>
      </c>
      <c r="B80" s="924" t="s">
        <v>1498</v>
      </c>
      <c r="C80" s="14"/>
      <c r="D80" s="1595" t="s">
        <v>1576</v>
      </c>
      <c r="E80" s="1595"/>
      <c r="F80" s="1595"/>
    </row>
    <row r="81" spans="1:7" ht="12.6">
      <c r="A81" s="140"/>
      <c r="B81" s="140"/>
      <c r="C81" s="14"/>
      <c r="D81" s="1595"/>
      <c r="E81" s="1595"/>
      <c r="F81" s="1595"/>
    </row>
    <row r="82" spans="1:7" ht="12.6">
      <c r="A82" s="140"/>
      <c r="B82" s="140"/>
      <c r="C82" s="14"/>
      <c r="D82" s="1595"/>
      <c r="E82" s="1595"/>
      <c r="F82" s="1595"/>
    </row>
    <row r="83" spans="1:7" ht="12.6">
      <c r="A83" s="140"/>
      <c r="B83" s="140"/>
      <c r="C83" s="14"/>
      <c r="D83" s="403"/>
      <c r="E83" s="282"/>
      <c r="F83" s="282"/>
    </row>
    <row r="84" spans="1:7" ht="13.1">
      <c r="A84" s="413" t="s">
        <v>254</v>
      </c>
      <c r="B84" s="924" t="s">
        <v>135</v>
      </c>
      <c r="C84" s="14"/>
      <c r="D84" s="1552" t="s">
        <v>1577</v>
      </c>
      <c r="E84" s="1552"/>
      <c r="F84" s="1552"/>
    </row>
    <row r="85" spans="1:7" ht="12.6">
      <c r="A85" s="140"/>
      <c r="B85" s="140"/>
      <c r="C85" s="14"/>
      <c r="D85" s="1552"/>
      <c r="E85" s="1552"/>
      <c r="F85" s="1552"/>
    </row>
    <row r="86" spans="1:7" ht="12.6">
      <c r="A86" s="140"/>
      <c r="B86" s="140"/>
      <c r="C86" s="14"/>
      <c r="D86" s="282"/>
      <c r="E86" s="282"/>
      <c r="F86" s="282"/>
    </row>
    <row r="87" spans="1:7" ht="13.1">
      <c r="A87" s="1560" t="s">
        <v>1502</v>
      </c>
      <c r="B87" s="1560"/>
      <c r="C87" s="1560"/>
      <c r="D87" s="1560"/>
      <c r="E87" s="1560"/>
      <c r="F87" s="1560"/>
      <c r="G87" s="1560"/>
    </row>
    <row r="88" spans="1:7" ht="12.6">
      <c r="A88" s="140"/>
      <c r="B88" s="140"/>
      <c r="C88" s="14"/>
      <c r="D88" s="282"/>
      <c r="E88" s="2"/>
      <c r="F88" s="2"/>
      <c r="G88" s="2"/>
    </row>
    <row r="89" spans="1:7" ht="13.75" customHeight="1">
      <c r="A89" s="140"/>
      <c r="B89" s="140"/>
      <c r="C89" s="900"/>
      <c r="D89" s="1563" t="s">
        <v>1503</v>
      </c>
      <c r="E89" s="1563"/>
      <c r="F89" s="1563"/>
      <c r="G89" s="2"/>
    </row>
    <row r="90" spans="1:7" ht="13.75" customHeight="1">
      <c r="A90" s="143"/>
      <c r="B90" s="143"/>
      <c r="C90" s="14"/>
      <c r="D90" s="1552" t="s">
        <v>1686</v>
      </c>
      <c r="E90" s="1552"/>
      <c r="F90" s="1552"/>
      <c r="G90" s="2"/>
    </row>
    <row r="91" spans="1:7" ht="12.6">
      <c r="A91" s="143"/>
      <c r="B91" s="143"/>
      <c r="C91" s="14"/>
      <c r="D91" s="282"/>
      <c r="E91" s="2"/>
      <c r="F91" s="2"/>
      <c r="G91" s="2"/>
    </row>
    <row r="92" spans="1:7" ht="14.25" customHeight="1">
      <c r="A92" s="413"/>
      <c r="B92" s="924" t="s">
        <v>1498</v>
      </c>
      <c r="C92" s="14"/>
      <c r="D92" s="1586" t="s">
        <v>2049</v>
      </c>
      <c r="E92" s="1586"/>
      <c r="F92" s="1586"/>
      <c r="G92" s="2"/>
    </row>
    <row r="93" spans="1:7" ht="14.5" customHeight="1">
      <c r="A93" s="413"/>
      <c r="B93" s="14"/>
      <c r="C93" s="14"/>
      <c r="D93" s="1586"/>
      <c r="E93" s="1586"/>
      <c r="F93" s="1586"/>
      <c r="G93" s="2"/>
    </row>
    <row r="94" spans="1:7" ht="13.1">
      <c r="A94" s="413"/>
      <c r="B94" s="413"/>
      <c r="C94" s="14"/>
      <c r="D94" s="1586"/>
      <c r="E94" s="1586"/>
      <c r="F94" s="1586"/>
      <c r="G94" s="2"/>
    </row>
    <row r="95" spans="1:7" ht="13.1">
      <c r="A95" s="413"/>
      <c r="B95" s="413"/>
      <c r="C95" s="14"/>
      <c r="D95" s="1586"/>
      <c r="E95" s="1586"/>
      <c r="F95" s="1586"/>
      <c r="G95" s="2"/>
    </row>
    <row r="96" spans="1:7" ht="13.1">
      <c r="A96" s="413"/>
      <c r="B96" s="413"/>
      <c r="C96" s="14"/>
      <c r="D96" s="1586"/>
      <c r="E96" s="1586"/>
      <c r="F96" s="1586"/>
      <c r="G96" s="2"/>
    </row>
    <row r="97" spans="1:7" ht="13.1">
      <c r="A97" s="413"/>
      <c r="B97" s="413"/>
      <c r="C97" s="14"/>
      <c r="D97" s="1586"/>
      <c r="E97" s="1586"/>
      <c r="F97" s="1586"/>
      <c r="G97" s="2"/>
    </row>
    <row r="98" spans="1:7" ht="13.1">
      <c r="A98" s="413"/>
      <c r="B98" s="413"/>
      <c r="C98" s="14"/>
      <c r="D98" s="1586"/>
      <c r="E98" s="1586"/>
      <c r="F98" s="1586"/>
      <c r="G98" s="2"/>
    </row>
    <row r="99" spans="1:7" ht="13.1">
      <c r="A99" s="413"/>
      <c r="B99" s="413"/>
      <c r="C99" s="14"/>
      <c r="D99" s="1586"/>
      <c r="E99" s="1586"/>
      <c r="F99" s="1586"/>
      <c r="G99" s="2"/>
    </row>
    <row r="100" spans="1:7" ht="13.1">
      <c r="A100" s="413"/>
      <c r="B100" s="413"/>
      <c r="C100" s="14"/>
      <c r="D100" s="1586"/>
      <c r="E100" s="1586"/>
      <c r="F100" s="1586"/>
      <c r="G100" s="2"/>
    </row>
    <row r="101" spans="1:7" ht="14.5" customHeight="1">
      <c r="A101" s="413"/>
      <c r="B101" s="957" t="s">
        <v>135</v>
      </c>
      <c r="C101" s="14"/>
      <c r="D101" s="1556" t="s">
        <v>2050</v>
      </c>
      <c r="E101" s="1556"/>
      <c r="F101" s="1556"/>
      <c r="G101" s="2"/>
    </row>
    <row r="102" spans="1:7" ht="13.1">
      <c r="A102" s="413"/>
      <c r="B102" s="413"/>
      <c r="C102" s="14"/>
      <c r="D102" s="1556"/>
      <c r="E102" s="1556"/>
      <c r="F102" s="1556"/>
      <c r="G102" s="2"/>
    </row>
    <row r="103" spans="1:7" ht="13.1">
      <c r="A103" s="413"/>
      <c r="B103" s="413"/>
      <c r="C103" s="14"/>
      <c r="D103" s="1556"/>
      <c r="E103" s="1556"/>
      <c r="F103" s="1556"/>
      <c r="G103" s="2"/>
    </row>
    <row r="104" spans="1:7" ht="13.1">
      <c r="A104" s="413"/>
      <c r="B104" s="413"/>
      <c r="C104" s="14"/>
      <c r="D104" s="1556"/>
      <c r="E104" s="1556"/>
      <c r="F104" s="1556"/>
      <c r="G104" s="2"/>
    </row>
    <row r="105" spans="1:7" ht="13.1">
      <c r="A105" s="413"/>
      <c r="B105" s="413"/>
      <c r="C105" s="14"/>
      <c r="D105" s="1556"/>
      <c r="E105" s="1556"/>
      <c r="F105" s="1556"/>
      <c r="G105" s="2"/>
    </row>
    <row r="106" spans="1:7" ht="13.1">
      <c r="A106" s="413"/>
      <c r="B106" s="413"/>
      <c r="C106" s="14"/>
      <c r="D106" s="1556"/>
      <c r="E106" s="1556"/>
      <c r="F106" s="1556"/>
      <c r="G106" s="2"/>
    </row>
    <row r="107" spans="1:7" ht="13.1">
      <c r="A107" s="413"/>
      <c r="B107" s="413"/>
      <c r="C107" s="14"/>
      <c r="D107" s="1556"/>
      <c r="E107" s="1556"/>
      <c r="F107" s="1556"/>
      <c r="G107" s="2"/>
    </row>
    <row r="108" spans="1:7" ht="13.1">
      <c r="A108" s="413"/>
      <c r="B108" s="413"/>
      <c r="C108" s="14"/>
      <c r="D108" s="1556"/>
      <c r="E108" s="1556"/>
      <c r="F108" s="1556"/>
      <c r="G108" s="2"/>
    </row>
    <row r="109" spans="1:7" ht="13.1">
      <c r="A109" s="413"/>
      <c r="B109" s="413"/>
      <c r="C109" s="14"/>
      <c r="D109" s="1556"/>
      <c r="E109" s="1556"/>
      <c r="F109" s="1556"/>
      <c r="G109" s="2"/>
    </row>
    <row r="110" spans="1:7" ht="13.1">
      <c r="A110" s="413"/>
      <c r="B110" s="413"/>
      <c r="C110" s="14"/>
      <c r="D110" s="1556"/>
      <c r="E110" s="1556"/>
      <c r="F110" s="1556"/>
      <c r="G110" s="2"/>
    </row>
    <row r="111" spans="1:7" ht="13.1">
      <c r="A111" s="413"/>
      <c r="B111" s="413"/>
      <c r="C111" s="14"/>
      <c r="D111" s="1556"/>
      <c r="E111" s="1556"/>
      <c r="F111" s="1556"/>
      <c r="G111" s="2"/>
    </row>
    <row r="112" spans="1:7" ht="13.1">
      <c r="A112" s="413"/>
      <c r="B112" s="413"/>
      <c r="C112" s="14"/>
      <c r="D112" s="1556"/>
      <c r="E112" s="1556"/>
      <c r="F112" s="1556"/>
      <c r="G112" s="2"/>
    </row>
    <row r="113" spans="1:7" ht="13.1">
      <c r="A113" s="413"/>
      <c r="B113" s="413"/>
      <c r="C113" s="14"/>
      <c r="D113" s="1556"/>
      <c r="E113" s="1556"/>
      <c r="F113" s="1556"/>
      <c r="G113" s="2"/>
    </row>
    <row r="114" spans="1:7" ht="13.1">
      <c r="A114" s="413"/>
      <c r="B114" s="957" t="s">
        <v>135</v>
      </c>
      <c r="C114" s="14"/>
      <c r="D114" s="1552" t="s">
        <v>1687</v>
      </c>
      <c r="E114" s="1552"/>
      <c r="F114" s="1552"/>
      <c r="G114" s="2"/>
    </row>
    <row r="115" spans="1:7" ht="13.1">
      <c r="A115" s="413"/>
      <c r="B115" s="413"/>
      <c r="C115" s="14"/>
      <c r="D115" s="1552"/>
      <c r="E115" s="1552"/>
      <c r="F115" s="1552"/>
      <c r="G115" s="2"/>
    </row>
    <row r="116" spans="1:7" ht="13.1">
      <c r="A116" s="413"/>
      <c r="B116" s="413"/>
      <c r="C116" s="14"/>
      <c r="D116" s="1552"/>
      <c r="E116" s="1552"/>
      <c r="F116" s="1552"/>
      <c r="G116" s="2"/>
    </row>
    <row r="117" spans="1:7" ht="13.1">
      <c r="A117" s="413"/>
      <c r="B117" s="413"/>
      <c r="C117" s="14"/>
      <c r="D117" s="1552"/>
      <c r="E117" s="1552"/>
      <c r="F117" s="1552"/>
      <c r="G117" s="2"/>
    </row>
    <row r="118" spans="1:7" ht="13.1">
      <c r="A118" s="413"/>
      <c r="B118" s="413"/>
      <c r="C118" s="14"/>
      <c r="D118" s="1552"/>
      <c r="E118" s="1552"/>
      <c r="F118" s="1552"/>
      <c r="G118" s="2"/>
    </row>
    <row r="119" spans="1:7" ht="13.1">
      <c r="A119" s="413"/>
      <c r="B119" s="413"/>
      <c r="C119" s="14"/>
      <c r="D119" s="1552"/>
      <c r="E119" s="1552"/>
      <c r="F119" s="1552"/>
      <c r="G119" s="2"/>
    </row>
    <row r="120" spans="1:7" ht="13.1">
      <c r="A120" s="413"/>
      <c r="B120" s="413"/>
      <c r="C120" s="14"/>
      <c r="D120" s="1552"/>
      <c r="E120" s="1552"/>
      <c r="F120" s="1552"/>
      <c r="G120" s="2"/>
    </row>
    <row r="121" spans="1:7" ht="13.1">
      <c r="A121" s="413"/>
      <c r="B121" s="413"/>
      <c r="C121" s="14"/>
      <c r="D121" s="1552"/>
      <c r="E121" s="1552"/>
      <c r="F121" s="1552"/>
      <c r="G121" s="2"/>
    </row>
    <row r="122" spans="1:7" ht="12.75" customHeight="1">
      <c r="A122" s="413"/>
      <c r="B122" s="924" t="s">
        <v>1498</v>
      </c>
      <c r="C122" s="14"/>
      <c r="D122" s="1552" t="s">
        <v>1688</v>
      </c>
      <c r="E122" s="1552"/>
      <c r="F122" s="1552"/>
    </row>
    <row r="123" spans="1:7" ht="12.6">
      <c r="A123" s="140"/>
      <c r="B123" s="140"/>
      <c r="C123" s="14"/>
      <c r="D123" s="1552"/>
      <c r="E123" s="1552"/>
      <c r="F123" s="1552"/>
    </row>
    <row r="124" spans="1:7" ht="12.6">
      <c r="A124" s="140"/>
      <c r="B124" s="140"/>
      <c r="C124" s="14"/>
      <c r="D124" s="1552"/>
      <c r="E124" s="1552"/>
      <c r="F124" s="1552"/>
    </row>
    <row r="125" spans="1:7" ht="12.6">
      <c r="A125" s="140"/>
      <c r="B125" s="140"/>
      <c r="C125" s="14"/>
      <c r="D125" s="1552"/>
      <c r="E125" s="1552"/>
      <c r="F125" s="1552"/>
    </row>
    <row r="126" spans="1:7" ht="26.85" customHeight="1">
      <c r="A126" s="140"/>
      <c r="B126" s="140"/>
      <c r="C126" s="14"/>
      <c r="D126" s="1552"/>
      <c r="E126" s="1552"/>
      <c r="F126" s="1552"/>
    </row>
    <row r="127" spans="1:7" ht="12.6">
      <c r="A127" s="140"/>
      <c r="B127" s="140"/>
      <c r="C127" s="14"/>
      <c r="D127" s="282"/>
      <c r="E127" s="282"/>
      <c r="F127" s="282"/>
    </row>
    <row r="128" spans="1:7" ht="13.1">
      <c r="A128" s="413"/>
      <c r="B128" s="924" t="s">
        <v>1498</v>
      </c>
      <c r="C128" s="14"/>
      <c r="D128" s="1595" t="s">
        <v>1689</v>
      </c>
      <c r="E128" s="1595"/>
      <c r="F128" s="1595"/>
    </row>
    <row r="129" spans="1:7" s="497" customFormat="1" ht="13.85" customHeight="1">
      <c r="A129" s="487"/>
      <c r="B129" s="487"/>
      <c r="C129" s="488"/>
      <c r="D129" s="1595"/>
      <c r="E129" s="1595"/>
      <c r="F129" s="1595"/>
      <c r="G129" s="558"/>
    </row>
    <row r="130" spans="1:7" ht="13.85" customHeight="1">
      <c r="A130" s="140"/>
      <c r="B130" s="140"/>
      <c r="C130" s="14"/>
      <c r="D130" s="1595"/>
      <c r="E130" s="1595"/>
      <c r="F130" s="1595"/>
    </row>
    <row r="131" spans="1:7" ht="13.85" customHeight="1">
      <c r="A131" s="140"/>
      <c r="B131" s="140"/>
      <c r="C131" s="14"/>
      <c r="D131" s="1595"/>
      <c r="E131" s="1595"/>
      <c r="F131" s="1595"/>
    </row>
    <row r="132" spans="1:7" ht="13.85" customHeight="1">
      <c r="A132" s="140"/>
      <c r="B132" s="140"/>
      <c r="C132" s="14"/>
      <c r="D132" s="1595"/>
      <c r="E132" s="1595"/>
      <c r="F132" s="1595"/>
    </row>
    <row r="133" spans="1:7" ht="13.85" customHeight="1">
      <c r="A133" s="140"/>
      <c r="B133" s="140"/>
      <c r="C133" s="14"/>
      <c r="D133" s="1595"/>
      <c r="E133" s="1595"/>
      <c r="F133" s="1595"/>
    </row>
    <row r="134" spans="1:7" ht="13.85" customHeight="1">
      <c r="A134" s="958"/>
      <c r="B134" s="958"/>
      <c r="C134" s="14"/>
      <c r="D134" s="1595"/>
      <c r="E134" s="1595"/>
      <c r="F134" s="1595"/>
      <c r="G134" s="2"/>
    </row>
    <row r="135" spans="1:7" ht="13.85" customHeight="1">
      <c r="A135" s="958"/>
      <c r="B135" s="958"/>
      <c r="C135" s="14"/>
      <c r="D135" s="1595"/>
      <c r="E135" s="1595"/>
      <c r="F135" s="1595"/>
      <c r="G135" s="2"/>
    </row>
    <row r="136" spans="1:7" ht="13.85" customHeight="1">
      <c r="A136" s="958"/>
      <c r="B136" s="958"/>
      <c r="C136" s="14"/>
      <c r="D136" s="1595"/>
      <c r="E136" s="1595"/>
      <c r="F136" s="1595"/>
      <c r="G136" s="2"/>
    </row>
    <row r="137" spans="1:7" ht="13.85" customHeight="1">
      <c r="A137" s="958"/>
      <c r="B137" s="958"/>
      <c r="C137" s="14"/>
      <c r="D137" s="1595"/>
      <c r="E137" s="1595"/>
      <c r="F137" s="1595"/>
      <c r="G137" s="2"/>
    </row>
    <row r="138" spans="1:7" ht="17.25" customHeight="1">
      <c r="A138" s="958"/>
      <c r="B138" s="958"/>
      <c r="C138" s="14"/>
      <c r="D138" s="1595"/>
      <c r="E138" s="1595"/>
      <c r="F138" s="1595"/>
      <c r="G138" s="2"/>
    </row>
    <row r="139" spans="1:7" ht="25.55" hidden="1" customHeight="1">
      <c r="A139" s="958"/>
      <c r="B139" s="958"/>
      <c r="C139" s="14"/>
      <c r="D139" s="1595"/>
      <c r="E139" s="1595"/>
      <c r="F139" s="1595"/>
      <c r="G139" s="2"/>
    </row>
    <row r="140" spans="1:7" ht="13.85" customHeight="1">
      <c r="A140" s="958"/>
      <c r="B140" s="958"/>
      <c r="C140" s="14"/>
      <c r="D140" s="282"/>
      <c r="E140" s="282"/>
      <c r="F140" s="282"/>
      <c r="G140" s="2"/>
    </row>
    <row r="141" spans="1:7" ht="13.85" customHeight="1">
      <c r="A141" s="140"/>
      <c r="B141" s="924" t="s">
        <v>135</v>
      </c>
      <c r="C141" s="14"/>
      <c r="D141" s="1586" t="s">
        <v>1894</v>
      </c>
      <c r="E141" s="1552"/>
      <c r="F141" s="1552"/>
      <c r="G141" s="2"/>
    </row>
    <row r="142" spans="1:7" ht="13.85" customHeight="1">
      <c r="A142" s="140"/>
      <c r="B142" s="140"/>
      <c r="C142" s="14"/>
      <c r="D142" s="1552"/>
      <c r="E142" s="1552"/>
      <c r="F142" s="1552"/>
      <c r="G142" s="2"/>
    </row>
    <row r="143" spans="1:7" ht="13.85" customHeight="1">
      <c r="A143" s="140"/>
      <c r="B143" s="140"/>
      <c r="C143" s="14"/>
      <c r="D143" s="1552"/>
      <c r="E143" s="1552"/>
      <c r="F143" s="1552"/>
      <c r="G143" s="2"/>
    </row>
    <row r="144" spans="1:7" ht="13.85" customHeight="1">
      <c r="A144" s="150"/>
      <c r="B144" s="150"/>
      <c r="D144" s="1552"/>
      <c r="E144" s="1552"/>
      <c r="F144" s="1552"/>
      <c r="G144" s="2"/>
    </row>
    <row r="145" spans="1:7" ht="13.85" customHeight="1">
      <c r="A145" s="140"/>
      <c r="B145" s="140"/>
      <c r="C145" s="14"/>
      <c r="D145" s="1552"/>
      <c r="E145" s="1552"/>
      <c r="F145" s="1552"/>
      <c r="G145" s="2"/>
    </row>
    <row r="146" spans="1:7" ht="13.85" customHeight="1">
      <c r="A146" s="33"/>
      <c r="B146" s="33"/>
      <c r="C146" s="14"/>
      <c r="D146" s="1552"/>
      <c r="E146" s="1552"/>
      <c r="F146" s="1552"/>
      <c r="G146" s="2"/>
    </row>
    <row r="147" spans="1:7" ht="13.85" customHeight="1">
      <c r="A147" s="33"/>
      <c r="B147" s="33"/>
      <c r="C147" s="14"/>
      <c r="D147" s="1552"/>
      <c r="E147" s="1552"/>
      <c r="F147" s="1552"/>
      <c r="G147" s="2"/>
    </row>
    <row r="148" spans="1:7" ht="13.85" customHeight="1">
      <c r="A148" s="959"/>
      <c r="B148" s="959"/>
      <c r="C148" s="14"/>
      <c r="D148" s="1552"/>
      <c r="E148" s="1552"/>
      <c r="F148" s="1552"/>
      <c r="G148" s="2"/>
    </row>
    <row r="149" spans="1:7" ht="13.85" customHeight="1">
      <c r="A149" s="959"/>
      <c r="B149" s="959"/>
      <c r="C149" s="14"/>
      <c r="D149" s="1552"/>
      <c r="E149" s="1552"/>
      <c r="F149" s="1552"/>
      <c r="G149" s="2"/>
    </row>
    <row r="150" spans="1:7" ht="13.85" customHeight="1">
      <c r="A150" s="959"/>
      <c r="B150" s="959"/>
      <c r="C150" s="14"/>
      <c r="D150" s="1552"/>
      <c r="E150" s="1552"/>
      <c r="F150" s="1552"/>
      <c r="G150" s="2"/>
    </row>
    <row r="151" spans="1:7" ht="13.85" customHeight="1">
      <c r="A151" s="1063"/>
      <c r="B151" s="1063"/>
      <c r="C151" s="14"/>
      <c r="D151" s="1552"/>
      <c r="E151" s="1552"/>
      <c r="F151" s="1552"/>
      <c r="G151" s="2"/>
    </row>
    <row r="152" spans="1:7" ht="13.85" customHeight="1">
      <c r="A152" s="1063"/>
      <c r="B152" s="1063"/>
      <c r="C152" s="14"/>
      <c r="D152" s="1552"/>
      <c r="E152" s="1552"/>
      <c r="F152" s="1552"/>
      <c r="G152" s="2"/>
    </row>
    <row r="153" spans="1:7" ht="13.85" customHeight="1">
      <c r="A153" s="959"/>
      <c r="B153" s="959"/>
      <c r="C153" s="14"/>
      <c r="D153" s="1552"/>
      <c r="E153" s="1552"/>
      <c r="F153" s="1552"/>
      <c r="G153" s="2"/>
    </row>
    <row r="154" spans="1:7" ht="13.85" customHeight="1">
      <c r="A154" s="959"/>
      <c r="B154" s="959"/>
      <c r="C154" s="14"/>
      <c r="D154" s="1552"/>
      <c r="E154" s="1552"/>
      <c r="F154" s="1552"/>
      <c r="G154" s="2"/>
    </row>
    <row r="155" spans="1:7" ht="13.85" customHeight="1">
      <c r="A155" s="959"/>
      <c r="B155" s="959"/>
      <c r="C155" s="14"/>
      <c r="D155" s="1552"/>
      <c r="E155" s="1552"/>
      <c r="F155" s="1552"/>
      <c r="G155" s="2"/>
    </row>
    <row r="156" spans="1:7" ht="13.85" customHeight="1">
      <c r="A156" s="959"/>
      <c r="B156" s="959"/>
      <c r="C156" s="14"/>
      <c r="D156" s="1552"/>
      <c r="E156" s="1552"/>
      <c r="F156" s="1552"/>
      <c r="G156" s="2"/>
    </row>
    <row r="157" spans="1:7" ht="13.85" customHeight="1">
      <c r="A157" s="959"/>
      <c r="B157" s="959"/>
      <c r="C157" s="14"/>
      <c r="D157" s="1552"/>
      <c r="E157" s="1552"/>
      <c r="F157" s="1552"/>
      <c r="G157" s="2"/>
    </row>
    <row r="158" spans="1:7" ht="13.85" customHeight="1">
      <c r="A158" s="959"/>
      <c r="B158" s="959"/>
      <c r="C158" s="14"/>
      <c r="D158" s="1552"/>
      <c r="E158" s="1552"/>
      <c r="F158" s="1552"/>
      <c r="G158" s="2"/>
    </row>
    <row r="159" spans="1:7" ht="13.85" customHeight="1">
      <c r="A159" s="1069"/>
      <c r="B159" s="1069"/>
      <c r="C159" s="14"/>
      <c r="D159" s="1625" t="s">
        <v>1895</v>
      </c>
      <c r="E159" s="1625"/>
      <c r="F159" s="1625"/>
      <c r="G159" s="2"/>
    </row>
    <row r="160" spans="1:7" ht="13.85" customHeight="1">
      <c r="A160" s="959"/>
      <c r="B160" s="959"/>
      <c r="C160" s="14"/>
      <c r="D160" s="955"/>
      <c r="E160" s="282"/>
      <c r="F160" s="282"/>
      <c r="G160" s="2"/>
    </row>
    <row r="161" spans="1:7" ht="13.85" customHeight="1">
      <c r="A161" s="413"/>
      <c r="B161" s="924" t="s">
        <v>135</v>
      </c>
      <c r="C161" s="14"/>
      <c r="D161" s="1627" t="s">
        <v>1925</v>
      </c>
      <c r="E161" s="1628"/>
      <c r="F161" s="1628"/>
      <c r="G161" s="2"/>
    </row>
    <row r="162" spans="1:7" ht="13.85" customHeight="1">
      <c r="A162" s="413"/>
      <c r="B162" s="1080"/>
      <c r="C162" s="14"/>
      <c r="D162" s="1628"/>
      <c r="E162" s="1628"/>
      <c r="F162" s="1628"/>
      <c r="G162" s="2"/>
    </row>
    <row r="163" spans="1:7" ht="13.85" customHeight="1">
      <c r="A163" s="33"/>
      <c r="B163" s="33"/>
      <c r="C163" s="14"/>
      <c r="D163" s="1628"/>
      <c r="E163" s="1628"/>
      <c r="F163" s="1628"/>
      <c r="G163" s="2"/>
    </row>
    <row r="164" spans="1:7" ht="13.85" customHeight="1">
      <c r="A164" s="33"/>
      <c r="B164" s="33"/>
      <c r="C164" s="14"/>
      <c r="D164" s="287"/>
      <c r="E164" s="282"/>
      <c r="F164" s="282"/>
      <c r="G164" s="2"/>
    </row>
    <row r="165" spans="1:7" ht="13.85" customHeight="1">
      <c r="A165" s="413"/>
      <c r="B165" s="924" t="s">
        <v>1498</v>
      </c>
      <c r="C165" s="14"/>
      <c r="D165" s="1629" t="s">
        <v>1690</v>
      </c>
      <c r="E165" s="1629"/>
      <c r="F165" s="1629"/>
      <c r="G165" s="2"/>
    </row>
    <row r="166" spans="1:7" ht="13.85" customHeight="1">
      <c r="A166" s="33"/>
      <c r="B166" s="33"/>
      <c r="C166" s="14"/>
      <c r="D166" s="1629"/>
      <c r="E166" s="1629"/>
      <c r="F166" s="1629"/>
    </row>
    <row r="167" spans="1:7" ht="13.85" customHeight="1">
      <c r="A167" s="33"/>
      <c r="B167" s="33"/>
      <c r="C167" s="14"/>
      <c r="D167" s="1629"/>
      <c r="E167" s="1629"/>
      <c r="F167" s="1629"/>
    </row>
    <row r="168" spans="1:7" ht="13.85" customHeight="1">
      <c r="A168" s="33"/>
      <c r="B168" s="33"/>
      <c r="C168" s="14"/>
      <c r="D168" s="1629"/>
      <c r="E168" s="1629"/>
      <c r="F168" s="1629"/>
    </row>
    <row r="169" spans="1:7" ht="13.85" customHeight="1">
      <c r="A169" s="33"/>
      <c r="B169" s="33"/>
      <c r="C169" s="14"/>
      <c r="D169" s="287"/>
      <c r="E169" s="282"/>
      <c r="F169" s="282"/>
    </row>
    <row r="170" spans="1:7" ht="13.85" customHeight="1">
      <c r="A170" s="574"/>
      <c r="B170" s="924" t="s">
        <v>135</v>
      </c>
      <c r="C170" s="573"/>
      <c r="D170" s="1621" t="s">
        <v>1691</v>
      </c>
      <c r="E170" s="1621"/>
      <c r="F170" s="1621"/>
      <c r="G170" s="692"/>
    </row>
    <row r="171" spans="1:7" ht="13.85" customHeight="1">
      <c r="A171" s="574"/>
      <c r="B171" s="574"/>
      <c r="C171" s="573"/>
      <c r="D171" s="1621"/>
      <c r="E171" s="1621"/>
      <c r="F171" s="1621"/>
      <c r="G171" s="692"/>
    </row>
    <row r="172" spans="1:7" ht="13.85" customHeight="1">
      <c r="A172" s="574"/>
      <c r="B172" s="574"/>
      <c r="C172" s="573"/>
      <c r="D172" s="1621"/>
      <c r="E172" s="1621"/>
      <c r="F172" s="1621"/>
      <c r="G172" s="692"/>
    </row>
    <row r="173" spans="1:7" ht="12.6">
      <c r="A173" s="574"/>
      <c r="B173" s="574"/>
      <c r="C173" s="573"/>
      <c r="D173" s="576"/>
      <c r="E173" s="564"/>
      <c r="F173" s="564"/>
      <c r="G173" s="692"/>
    </row>
    <row r="174" spans="1:7" ht="13.1">
      <c r="A174" s="1560" t="s">
        <v>1505</v>
      </c>
      <c r="B174" s="1560"/>
      <c r="C174" s="1560"/>
      <c r="D174" s="1560"/>
      <c r="E174" s="1560"/>
      <c r="F174" s="1560"/>
      <c r="G174" s="1560"/>
    </row>
    <row r="175" spans="1:7" ht="12.6">
      <c r="A175" s="140"/>
      <c r="B175" s="140"/>
      <c r="C175" s="14"/>
      <c r="D175" s="287"/>
      <c r="E175" s="282"/>
      <c r="F175" s="282"/>
    </row>
    <row r="176" spans="1:7" ht="13.1">
      <c r="A176" s="140"/>
      <c r="B176" s="140"/>
      <c r="C176" s="900"/>
      <c r="D176" s="1616" t="s">
        <v>1504</v>
      </c>
      <c r="E176" s="1616"/>
      <c r="F176" s="1616"/>
    </row>
    <row r="177" spans="1:7" ht="13.1">
      <c r="A177" s="414"/>
      <c r="B177" s="414"/>
      <c r="C177" s="298"/>
      <c r="D177" s="1622" t="s">
        <v>1539</v>
      </c>
      <c r="E177" s="1622"/>
      <c r="F177" s="1622"/>
    </row>
    <row r="178" spans="1:7" ht="13.1">
      <c r="A178" s="415"/>
      <c r="B178" s="415"/>
      <c r="C178" s="299"/>
      <c r="D178" s="282"/>
      <c r="E178" s="282"/>
      <c r="F178" s="282"/>
    </row>
    <row r="179" spans="1:7" ht="13.1">
      <c r="A179" s="413"/>
      <c r="B179" s="924" t="s">
        <v>135</v>
      </c>
      <c r="C179" s="302"/>
      <c r="D179" s="1623" t="s">
        <v>1897</v>
      </c>
      <c r="E179" s="1607"/>
      <c r="F179" s="1607"/>
      <c r="G179" s="288"/>
    </row>
    <row r="180" spans="1:7" ht="13.1">
      <c r="A180" s="413"/>
      <c r="B180" s="417"/>
      <c r="C180" s="302"/>
      <c r="D180" s="1243"/>
      <c r="E180" s="1242"/>
      <c r="F180" s="1242"/>
      <c r="G180" s="288"/>
    </row>
    <row r="181" spans="1:7" ht="13.1">
      <c r="A181" s="413"/>
      <c r="B181" s="924" t="s">
        <v>135</v>
      </c>
      <c r="C181" s="302"/>
      <c r="D181" s="1607" t="s">
        <v>1692</v>
      </c>
      <c r="E181" s="1607"/>
      <c r="F181" s="1607"/>
      <c r="G181" s="288"/>
    </row>
    <row r="182" spans="1:7" ht="13.1">
      <c r="A182" s="413"/>
      <c r="B182" s="417"/>
      <c r="C182" s="302"/>
      <c r="D182" s="1242"/>
      <c r="E182" s="1242"/>
      <c r="F182" s="1242"/>
      <c r="G182" s="288"/>
    </row>
    <row r="183" spans="1:7" ht="13.1">
      <c r="A183" s="413"/>
      <c r="B183" s="1244" t="s">
        <v>135</v>
      </c>
      <c r="C183" s="302"/>
      <c r="D183" s="1626" t="s">
        <v>1981</v>
      </c>
      <c r="E183" s="1626"/>
      <c r="F183" s="1626"/>
      <c r="G183" s="288"/>
    </row>
    <row r="184" spans="1:7" ht="13.75" customHeight="1">
      <c r="A184" s="413"/>
      <c r="B184" s="417"/>
      <c r="C184" s="302"/>
      <c r="D184" s="1246" t="s">
        <v>983</v>
      </c>
      <c r="E184" s="1521" t="s">
        <v>1983</v>
      </c>
      <c r="F184" s="1521"/>
      <c r="G184" s="288"/>
    </row>
    <row r="185" spans="1:7" ht="13.1">
      <c r="A185" s="413"/>
      <c r="B185" s="417"/>
      <c r="C185" s="302"/>
      <c r="D185" s="1245"/>
      <c r="E185" s="1521"/>
      <c r="F185" s="1521"/>
      <c r="G185" s="288"/>
    </row>
    <row r="186" spans="1:7" ht="13.1">
      <c r="A186" s="413"/>
      <c r="B186" s="417"/>
      <c r="C186" s="302"/>
      <c r="D186" s="1245"/>
      <c r="E186" s="1521"/>
      <c r="F186" s="1521"/>
      <c r="G186" s="288"/>
    </row>
    <row r="187" spans="1:7" ht="13.1">
      <c r="A187" s="413"/>
      <c r="B187" s="417"/>
      <c r="C187" s="302"/>
      <c r="D187" s="2"/>
      <c r="E187" s="1521"/>
      <c r="F187" s="1521"/>
      <c r="G187" s="288"/>
    </row>
    <row r="188" spans="1:7" ht="13.75" customHeight="1">
      <c r="A188" s="413"/>
      <c r="B188" s="417"/>
      <c r="C188" s="302"/>
      <c r="D188" s="1245" t="s">
        <v>984</v>
      </c>
      <c r="E188" s="1586" t="s">
        <v>1982</v>
      </c>
      <c r="F188" s="1586"/>
      <c r="G188" s="288"/>
    </row>
    <row r="189" spans="1:7" ht="13.75" customHeight="1">
      <c r="A189" s="413"/>
      <c r="B189" s="417"/>
      <c r="C189" s="302"/>
      <c r="D189" s="1245"/>
      <c r="E189" s="1586"/>
      <c r="F189" s="1586"/>
      <c r="G189" s="288"/>
    </row>
    <row r="190" spans="1:7" ht="13.75" customHeight="1">
      <c r="A190" s="413"/>
      <c r="B190" s="417"/>
      <c r="C190" s="302"/>
      <c r="D190" s="1245"/>
      <c r="E190" s="1586"/>
      <c r="F190" s="1586"/>
      <c r="G190" s="288"/>
    </row>
    <row r="191" spans="1:7" ht="13.75" customHeight="1">
      <c r="A191" s="413"/>
      <c r="B191" s="417"/>
      <c r="C191" s="302"/>
      <c r="D191" s="1245"/>
      <c r="E191" s="1586"/>
      <c r="F191" s="1586"/>
      <c r="G191" s="288"/>
    </row>
    <row r="192" spans="1:7" ht="13.75" customHeight="1">
      <c r="A192" s="413"/>
      <c r="B192" s="417"/>
      <c r="C192" s="302"/>
      <c r="D192" s="1245"/>
      <c r="E192" s="1586"/>
      <c r="F192" s="1586"/>
      <c r="G192" s="288"/>
    </row>
    <row r="193" spans="1:7" ht="13.1">
      <c r="A193" s="413"/>
      <c r="B193" s="417"/>
      <c r="C193" s="302"/>
      <c r="D193" s="2"/>
      <c r="E193" s="1586"/>
      <c r="F193" s="1586"/>
      <c r="G193" s="288"/>
    </row>
    <row r="194" spans="1:7" ht="13.1">
      <c r="A194" s="413"/>
      <c r="B194" s="417"/>
      <c r="C194" s="302"/>
      <c r="D194" s="2"/>
      <c r="E194" s="1586"/>
      <c r="F194" s="1586"/>
      <c r="G194" s="288"/>
    </row>
    <row r="195" spans="1:7" ht="12.6">
      <c r="A195" s="417"/>
      <c r="B195" s="417"/>
      <c r="C195" s="302"/>
      <c r="D195" s="282"/>
      <c r="E195" s="283"/>
      <c r="F195" s="283"/>
      <c r="G195" s="288"/>
    </row>
    <row r="196" spans="1:7" ht="13.1">
      <c r="A196" s="413"/>
      <c r="B196" s="924" t="s">
        <v>1498</v>
      </c>
      <c r="C196" s="302"/>
      <c r="D196" s="1528" t="s">
        <v>1693</v>
      </c>
      <c r="E196" s="1528"/>
      <c r="F196" s="1528"/>
      <c r="G196" s="288"/>
    </row>
    <row r="197" spans="1:7" ht="13.1">
      <c r="A197" s="413"/>
      <c r="B197" s="413"/>
      <c r="C197" s="302"/>
      <c r="D197" s="1528"/>
      <c r="E197" s="1528"/>
      <c r="F197" s="1528"/>
      <c r="G197" s="288"/>
    </row>
    <row r="198" spans="1:7" ht="13.1">
      <c r="A198" s="413"/>
      <c r="B198" s="413"/>
      <c r="C198" s="302"/>
      <c r="D198" s="1528"/>
      <c r="E198" s="1528"/>
      <c r="F198" s="1528"/>
      <c r="G198" s="288"/>
    </row>
    <row r="199" spans="1:7" ht="13.1">
      <c r="A199" s="413"/>
      <c r="B199" s="413"/>
      <c r="C199" s="302"/>
      <c r="D199" s="1528"/>
      <c r="E199" s="1528"/>
      <c r="F199" s="1528"/>
      <c r="G199" s="288"/>
    </row>
    <row r="200" spans="1:7" ht="12.6">
      <c r="A200" s="417"/>
      <c r="B200" s="417"/>
      <c r="C200" s="302"/>
      <c r="D200" s="1625" t="s">
        <v>1980</v>
      </c>
      <c r="E200" s="1625"/>
      <c r="F200" s="1625"/>
      <c r="G200" s="288"/>
    </row>
    <row r="201" spans="1:7" ht="12.6">
      <c r="A201" s="417"/>
      <c r="B201" s="417"/>
      <c r="C201" s="302"/>
      <c r="D201" s="961"/>
      <c r="E201" s="961"/>
      <c r="F201" s="961"/>
      <c r="G201" s="288"/>
    </row>
    <row r="202" spans="1:7" ht="13.1">
      <c r="A202" s="413"/>
      <c r="B202" s="924" t="s">
        <v>135</v>
      </c>
      <c r="C202" s="302"/>
      <c r="D202" s="1624" t="s">
        <v>1694</v>
      </c>
      <c r="E202" s="1624"/>
      <c r="F202" s="1624"/>
      <c r="G202" s="288"/>
    </row>
    <row r="203" spans="1:7" ht="12.6">
      <c r="A203" s="417"/>
      <c r="B203" s="417"/>
      <c r="C203" s="302"/>
      <c r="D203" s="283"/>
      <c r="E203" s="283"/>
      <c r="F203" s="283"/>
      <c r="G203" s="288"/>
    </row>
    <row r="204" spans="1:7" ht="13.1">
      <c r="A204" s="1560" t="s">
        <v>1507</v>
      </c>
      <c r="B204" s="1560"/>
      <c r="C204" s="1560"/>
      <c r="D204" s="1560"/>
      <c r="E204" s="1560"/>
      <c r="F204" s="1560"/>
      <c r="G204" s="1560"/>
    </row>
    <row r="205" spans="1:7" ht="12.6">
      <c r="A205" s="417"/>
      <c r="B205" s="417"/>
      <c r="C205" s="302"/>
      <c r="D205" s="282"/>
      <c r="E205" s="283"/>
      <c r="F205" s="283"/>
      <c r="G205" s="288"/>
    </row>
    <row r="206" spans="1:7" ht="13.1">
      <c r="A206" s="140"/>
      <c r="B206" s="140"/>
      <c r="C206" s="901"/>
      <c r="D206" s="1576" t="s">
        <v>1506</v>
      </c>
      <c r="E206" s="1576"/>
      <c r="F206" s="1576"/>
      <c r="G206" s="288"/>
    </row>
    <row r="207" spans="1:7" ht="13.1">
      <c r="A207" s="902"/>
      <c r="B207" s="902"/>
      <c r="C207" s="901"/>
      <c r="D207" s="1576" t="s">
        <v>758</v>
      </c>
      <c r="E207" s="1576"/>
      <c r="F207" s="1576"/>
      <c r="G207" s="288"/>
    </row>
    <row r="208" spans="1:7" ht="13.1">
      <c r="A208" s="414"/>
      <c r="B208" s="414"/>
      <c r="C208" s="298"/>
      <c r="D208" s="1607" t="s">
        <v>1540</v>
      </c>
      <c r="E208" s="1607"/>
      <c r="F208" s="1607"/>
      <c r="G208" s="288"/>
    </row>
    <row r="209" spans="1:7" ht="13.1">
      <c r="A209" s="414"/>
      <c r="B209" s="414"/>
      <c r="C209" s="298"/>
      <c r="D209" s="283"/>
      <c r="E209" s="283"/>
      <c r="F209" s="283"/>
      <c r="G209" s="288"/>
    </row>
    <row r="210" spans="1:7" ht="13.1">
      <c r="A210" s="414"/>
      <c r="B210" s="414"/>
      <c r="C210" s="298"/>
      <c r="D210" s="1583" t="s">
        <v>1550</v>
      </c>
      <c r="E210" s="1583"/>
      <c r="F210" s="1583"/>
      <c r="G210" s="288"/>
    </row>
    <row r="211" spans="1:7" ht="13.1">
      <c r="A211" s="414"/>
      <c r="B211" s="414"/>
      <c r="C211" s="298"/>
      <c r="D211" s="1583"/>
      <c r="E211" s="1583"/>
      <c r="F211" s="1583"/>
      <c r="G211" s="288"/>
    </row>
    <row r="212" spans="1:7" ht="13.1">
      <c r="A212" s="414"/>
      <c r="B212" s="414"/>
      <c r="C212" s="298"/>
      <c r="D212" s="1583"/>
      <c r="E212" s="1583"/>
      <c r="F212" s="1583"/>
      <c r="G212" s="288"/>
    </row>
    <row r="213" spans="1:7" ht="13.1">
      <c r="A213" s="414"/>
      <c r="B213" s="414"/>
      <c r="C213" s="298"/>
      <c r="D213" s="1583"/>
      <c r="E213" s="1583"/>
      <c r="F213" s="1583"/>
      <c r="G213" s="288"/>
    </row>
    <row r="214" spans="1:7" ht="13.1">
      <c r="A214" s="414"/>
      <c r="B214" s="414"/>
      <c r="C214" s="298"/>
      <c r="D214" s="288"/>
      <c r="E214" s="283"/>
      <c r="F214" s="283"/>
      <c r="G214" s="288"/>
    </row>
    <row r="215" spans="1:7" ht="13.1">
      <c r="A215" s="414"/>
      <c r="B215" s="414"/>
      <c r="C215" s="298"/>
      <c r="D215" s="1582" t="s">
        <v>1985</v>
      </c>
      <c r="E215" s="1583"/>
      <c r="F215" s="1583"/>
      <c r="G215" s="288"/>
    </row>
    <row r="216" spans="1:7" ht="13.1">
      <c r="A216" s="414"/>
      <c r="B216" s="414"/>
      <c r="C216" s="298"/>
      <c r="D216" s="1583"/>
      <c r="E216" s="1583"/>
      <c r="F216" s="1583"/>
      <c r="G216" s="288"/>
    </row>
    <row r="217" spans="1:7" ht="13.1">
      <c r="A217" s="414"/>
      <c r="B217" s="414"/>
      <c r="C217" s="298"/>
      <c r="D217" s="1583"/>
      <c r="E217" s="1583"/>
      <c r="F217" s="1583"/>
      <c r="G217" s="288"/>
    </row>
    <row r="218" spans="1:7" ht="13.1">
      <c r="A218" s="414"/>
      <c r="B218" s="414"/>
      <c r="C218" s="298"/>
      <c r="D218" s="1583"/>
      <c r="E218" s="1583"/>
      <c r="F218" s="1583"/>
      <c r="G218" s="288"/>
    </row>
    <row r="219" spans="1:7" ht="13.1">
      <c r="A219" s="414"/>
      <c r="B219" s="414"/>
      <c r="C219" s="298"/>
      <c r="D219" s="1583"/>
      <c r="E219" s="1583"/>
      <c r="F219" s="1583"/>
      <c r="G219" s="288"/>
    </row>
    <row r="220" spans="1:7" ht="13.1">
      <c r="A220" s="414"/>
      <c r="B220" s="414"/>
      <c r="C220" s="298"/>
      <c r="D220" s="1583"/>
      <c r="E220" s="1583"/>
      <c r="F220" s="1583"/>
      <c r="G220" s="288"/>
    </row>
    <row r="221" spans="1:7" ht="13.1">
      <c r="A221" s="415"/>
      <c r="B221" s="415"/>
      <c r="C221" s="299"/>
      <c r="D221" s="282"/>
      <c r="E221" s="283"/>
      <c r="F221" s="283"/>
      <c r="G221" s="288"/>
    </row>
    <row r="222" spans="1:7" ht="14.5" customHeight="1">
      <c r="A222" s="413"/>
      <c r="B222" s="924" t="s">
        <v>1498</v>
      </c>
      <c r="C222" s="299"/>
      <c r="D222" s="1554" t="s">
        <v>321</v>
      </c>
      <c r="E222" s="1554"/>
      <c r="F222" s="1554"/>
      <c r="G222" s="288"/>
    </row>
    <row r="223" spans="1:7" ht="13.1">
      <c r="A223" s="413"/>
      <c r="B223" s="14"/>
      <c r="C223" s="299"/>
      <c r="D223" s="1559" t="s">
        <v>1199</v>
      </c>
      <c r="E223" s="1559"/>
      <c r="F223" s="1559"/>
      <c r="G223" s="288"/>
    </row>
    <row r="224" spans="1:7" ht="13.1">
      <c r="A224" s="413"/>
      <c r="B224" s="413"/>
      <c r="C224" s="299"/>
      <c r="D224" s="930" t="s">
        <v>1557</v>
      </c>
      <c r="E224" s="1571" t="s">
        <v>2303</v>
      </c>
      <c r="F224" s="1571"/>
      <c r="G224" s="288"/>
    </row>
    <row r="225" spans="1:7" ht="12.6">
      <c r="A225" s="417"/>
      <c r="B225" s="417"/>
      <c r="C225" s="302"/>
      <c r="D225" s="1558" t="s">
        <v>1533</v>
      </c>
      <c r="E225" s="1559"/>
      <c r="F225" s="1559"/>
      <c r="G225" s="288"/>
    </row>
    <row r="226" spans="1:7" ht="12.6">
      <c r="A226" s="417"/>
      <c r="B226" s="417"/>
      <c r="C226" s="302"/>
      <c r="D226" s="283"/>
      <c r="E226" s="283"/>
      <c r="F226" s="283"/>
      <c r="G226" s="288"/>
    </row>
    <row r="227" spans="1:7" ht="13.1">
      <c r="A227" s="413"/>
      <c r="B227" s="924" t="s">
        <v>135</v>
      </c>
      <c r="C227" s="302"/>
      <c r="D227" s="1559" t="s">
        <v>322</v>
      </c>
      <c r="E227" s="1559"/>
      <c r="F227" s="1559"/>
      <c r="G227" s="288"/>
    </row>
    <row r="228" spans="1:7" ht="13.1">
      <c r="A228" s="413"/>
      <c r="B228" s="14"/>
      <c r="C228" s="302"/>
      <c r="D228" s="1554" t="s">
        <v>1199</v>
      </c>
      <c r="E228" s="1554"/>
      <c r="F228" s="1554"/>
      <c r="G228" s="288"/>
    </row>
    <row r="229" spans="1:7" ht="13.1">
      <c r="A229" s="413"/>
      <c r="B229" s="413"/>
      <c r="C229" s="302"/>
      <c r="D229" s="300" t="s">
        <v>1558</v>
      </c>
      <c r="E229" s="1571" t="s">
        <v>2304</v>
      </c>
      <c r="F229" s="1571"/>
      <c r="G229" s="288"/>
    </row>
    <row r="230" spans="1:7" ht="12.6">
      <c r="A230" s="417"/>
      <c r="B230" s="417"/>
      <c r="C230" s="302"/>
      <c r="D230" s="1559" t="s">
        <v>1534</v>
      </c>
      <c r="E230" s="1559"/>
      <c r="F230" s="1559"/>
      <c r="G230" s="288"/>
    </row>
    <row r="231" spans="1:7" ht="12.6">
      <c r="A231" s="417"/>
      <c r="B231" s="417"/>
      <c r="C231" s="302"/>
      <c r="D231" s="283"/>
      <c r="E231" s="283"/>
      <c r="F231" s="283"/>
      <c r="G231" s="288"/>
    </row>
    <row r="232" spans="1:7" ht="13.1">
      <c r="A232" s="413"/>
      <c r="B232" s="924" t="s">
        <v>135</v>
      </c>
      <c r="C232" s="302"/>
      <c r="D232" s="1559" t="s">
        <v>702</v>
      </c>
      <c r="E232" s="1559"/>
      <c r="F232" s="1559"/>
      <c r="G232" s="288"/>
    </row>
    <row r="233" spans="1:7" ht="13.1">
      <c r="A233" s="413"/>
      <c r="B233" s="14"/>
      <c r="C233" s="302"/>
      <c r="D233" s="287" t="s">
        <v>1199</v>
      </c>
      <c r="E233" s="283"/>
      <c r="F233" s="283"/>
      <c r="G233" s="288"/>
    </row>
    <row r="234" spans="1:7" ht="13.1">
      <c r="A234" s="413"/>
      <c r="B234" s="413"/>
      <c r="C234" s="302"/>
      <c r="D234" s="300" t="s">
        <v>1557</v>
      </c>
      <c r="E234" s="1571" t="s">
        <v>2305</v>
      </c>
      <c r="F234" s="1571"/>
      <c r="G234" s="288"/>
    </row>
    <row r="235" spans="1:7" ht="13.1">
      <c r="A235" s="413"/>
      <c r="B235" s="413"/>
      <c r="C235" s="302"/>
      <c r="D235" s="1552" t="s">
        <v>1560</v>
      </c>
      <c r="E235" s="1552"/>
      <c r="F235" s="1552"/>
      <c r="G235" s="288"/>
    </row>
    <row r="236" spans="1:7" ht="12.6">
      <c r="A236" s="417"/>
      <c r="B236" s="417"/>
      <c r="C236" s="302"/>
      <c r="D236" s="1552"/>
      <c r="E236" s="1552"/>
      <c r="F236" s="1552"/>
      <c r="G236" s="288"/>
    </row>
    <row r="237" spans="1:7" ht="12.6">
      <c r="A237" s="417"/>
      <c r="B237" s="417"/>
      <c r="C237" s="302"/>
      <c r="D237" s="1552"/>
      <c r="E237" s="1552"/>
      <c r="F237" s="1552"/>
      <c r="G237" s="288"/>
    </row>
    <row r="238" spans="1:7" ht="12.6">
      <c r="A238" s="417"/>
      <c r="B238" s="417"/>
      <c r="C238" s="302"/>
      <c r="D238" s="1552"/>
      <c r="E238" s="1552"/>
      <c r="F238" s="1552"/>
      <c r="G238" s="288"/>
    </row>
    <row r="239" spans="1:7" ht="12.6">
      <c r="A239" s="417"/>
      <c r="B239" s="417"/>
      <c r="C239" s="302"/>
      <c r="D239" s="1552"/>
      <c r="E239" s="1552"/>
      <c r="F239" s="1552"/>
      <c r="G239" s="288"/>
    </row>
    <row r="240" spans="1:7" ht="12.6">
      <c r="A240" s="417"/>
      <c r="B240" s="417"/>
      <c r="C240" s="302"/>
      <c r="D240" s="1552" t="s">
        <v>1535</v>
      </c>
      <c r="E240" s="1552"/>
      <c r="F240" s="1552"/>
      <c r="G240" s="288"/>
    </row>
    <row r="241" spans="1:7" ht="12.6">
      <c r="A241" s="417"/>
      <c r="B241" s="417"/>
      <c r="C241" s="302"/>
      <c r="D241" s="287"/>
      <c r="E241" s="283"/>
      <c r="F241" s="283"/>
      <c r="G241" s="288"/>
    </row>
    <row r="242" spans="1:7" ht="13.1">
      <c r="A242" s="413"/>
      <c r="B242" s="924" t="s">
        <v>135</v>
      </c>
      <c r="C242" s="302"/>
      <c r="D242" s="1559" t="s">
        <v>703</v>
      </c>
      <c r="E242" s="1559"/>
      <c r="F242" s="1559"/>
      <c r="G242" s="288"/>
    </row>
    <row r="243" spans="1:7" ht="13.1">
      <c r="A243" s="413"/>
      <c r="B243" s="14"/>
      <c r="C243" s="302"/>
      <c r="D243" s="1559" t="s">
        <v>1199</v>
      </c>
      <c r="E243" s="1559"/>
      <c r="F243" s="1559"/>
      <c r="G243" s="288"/>
    </row>
    <row r="244" spans="1:7" ht="13.1">
      <c r="A244" s="413"/>
      <c r="B244" s="413"/>
      <c r="C244" s="302"/>
      <c r="D244" s="300" t="s">
        <v>1557</v>
      </c>
      <c r="E244" s="1571" t="s">
        <v>2306</v>
      </c>
      <c r="F244" s="1571"/>
      <c r="G244" s="288"/>
    </row>
    <row r="245" spans="1:7" ht="12.6">
      <c r="A245" s="417"/>
      <c r="B245" s="417"/>
      <c r="C245" s="302"/>
      <c r="D245" s="1558" t="s">
        <v>2134</v>
      </c>
      <c r="E245" s="1559"/>
      <c r="F245" s="1559"/>
      <c r="G245" s="288"/>
    </row>
    <row r="246" spans="1:7" ht="12.6">
      <c r="A246" s="417"/>
      <c r="B246" s="417"/>
      <c r="C246" s="302"/>
      <c r="D246" s="1327"/>
      <c r="E246" s="1327"/>
      <c r="F246" s="1327"/>
      <c r="G246" s="288"/>
    </row>
    <row r="247" spans="1:7" ht="13.1">
      <c r="A247" s="413"/>
      <c r="B247" s="1329" t="s">
        <v>135</v>
      </c>
      <c r="C247" s="302"/>
      <c r="D247" s="1558" t="s">
        <v>2133</v>
      </c>
      <c r="E247" s="1559"/>
      <c r="F247" s="1559"/>
      <c r="G247" s="288"/>
    </row>
    <row r="248" spans="1:7" ht="13.1">
      <c r="A248" s="413"/>
      <c r="B248" s="14"/>
      <c r="C248" s="302"/>
      <c r="D248" s="1559" t="s">
        <v>1199</v>
      </c>
      <c r="E248" s="1559"/>
      <c r="F248" s="1559"/>
      <c r="G248" s="288"/>
    </row>
    <row r="249" spans="1:7" ht="13.1">
      <c r="A249" s="413"/>
      <c r="B249" s="413"/>
      <c r="C249" s="302"/>
      <c r="D249" s="1328" t="s">
        <v>1557</v>
      </c>
      <c r="E249" s="1571" t="s">
        <v>2307</v>
      </c>
      <c r="F249" s="1571"/>
      <c r="G249" s="288"/>
    </row>
    <row r="250" spans="1:7" ht="12.6">
      <c r="A250" s="417"/>
      <c r="B250" s="417"/>
      <c r="C250" s="302"/>
      <c r="D250" s="1558" t="s">
        <v>2135</v>
      </c>
      <c r="E250" s="1559"/>
      <c r="F250" s="1559"/>
      <c r="G250" s="288"/>
    </row>
    <row r="251" spans="1:7" ht="12.6">
      <c r="A251" s="417"/>
      <c r="B251" s="417"/>
      <c r="C251" s="302"/>
      <c r="D251" s="403"/>
      <c r="E251" s="288"/>
      <c r="F251" s="288"/>
      <c r="G251" s="288"/>
    </row>
    <row r="252" spans="1:7" ht="13.1">
      <c r="A252" s="413"/>
      <c r="B252" s="924" t="s">
        <v>135</v>
      </c>
      <c r="D252" s="934" t="s">
        <v>1584</v>
      </c>
      <c r="E252" s="934"/>
      <c r="F252" s="934"/>
    </row>
    <row r="253" spans="1:7" ht="13.1">
      <c r="A253" s="413"/>
      <c r="B253" s="2"/>
      <c r="D253" s="1586" t="s">
        <v>1919</v>
      </c>
      <c r="E253" s="1552"/>
      <c r="F253" s="1552"/>
    </row>
    <row r="254" spans="1:7" ht="13.1">
      <c r="A254" s="413"/>
      <c r="B254" s="417"/>
      <c r="D254" s="1552"/>
      <c r="E254" s="1552"/>
      <c r="F254" s="1552"/>
    </row>
    <row r="255" spans="1:7" ht="13.1">
      <c r="A255" s="413"/>
      <c r="B255" s="417"/>
      <c r="D255" s="1552"/>
      <c r="E255" s="1552"/>
      <c r="F255" s="1552"/>
    </row>
    <row r="256" spans="1:7" ht="13.1">
      <c r="A256" s="413"/>
      <c r="B256" s="417"/>
      <c r="D256" s="933"/>
      <c r="E256" s="933"/>
      <c r="F256" s="933"/>
    </row>
    <row r="257" spans="1:7" ht="13.1">
      <c r="A257" s="413"/>
      <c r="B257" s="924" t="s">
        <v>135</v>
      </c>
      <c r="D257" s="1608" t="s">
        <v>1106</v>
      </c>
      <c r="E257" s="1608"/>
      <c r="F257" s="1608"/>
    </row>
    <row r="258" spans="1:7" ht="13.1">
      <c r="A258" s="413"/>
      <c r="B258" s="417"/>
      <c r="D258" s="934"/>
      <c r="E258" s="934"/>
      <c r="F258" s="934"/>
    </row>
    <row r="259" spans="1:7" ht="13.1">
      <c r="A259" s="1560" t="s">
        <v>1509</v>
      </c>
      <c r="B259" s="1560"/>
      <c r="C259" s="1560"/>
      <c r="D259" s="1560"/>
      <c r="E259" s="1560"/>
      <c r="F259" s="1560"/>
      <c r="G259" s="1560"/>
    </row>
    <row r="260" spans="1:7" ht="12.6">
      <c r="A260" s="140"/>
      <c r="B260" s="140"/>
      <c r="C260" s="14"/>
      <c r="D260" s="287"/>
      <c r="E260" s="282"/>
      <c r="F260" s="282"/>
    </row>
    <row r="261" spans="1:7" ht="13.1">
      <c r="A261" s="140"/>
      <c r="B261" s="140"/>
      <c r="C261" s="900"/>
      <c r="D261" s="1561" t="s">
        <v>1508</v>
      </c>
      <c r="E261" s="1561"/>
      <c r="F261" s="1561"/>
    </row>
    <row r="262" spans="1:7" ht="13.1">
      <c r="A262" s="414"/>
      <c r="B262" s="414"/>
      <c r="C262" s="298"/>
      <c r="D262" s="1554" t="s">
        <v>1541</v>
      </c>
      <c r="E262" s="1554"/>
      <c r="F262" s="1554"/>
    </row>
    <row r="263" spans="1:7" ht="13.1">
      <c r="A263" s="33"/>
      <c r="B263" s="33"/>
      <c r="C263" s="320"/>
      <c r="D263" s="6"/>
      <c r="E263" s="282"/>
      <c r="F263" s="282"/>
    </row>
    <row r="264" spans="1:7" ht="13.1">
      <c r="A264" s="33"/>
      <c r="B264" s="14"/>
      <c r="C264" s="320"/>
      <c r="D264" s="1561" t="s">
        <v>231</v>
      </c>
      <c r="E264" s="1561"/>
      <c r="F264" s="1561"/>
      <c r="G264" s="2"/>
    </row>
    <row r="265" spans="1:7" ht="14.5" customHeight="1">
      <c r="A265" s="413"/>
      <c r="B265" s="1345" t="s">
        <v>1498</v>
      </c>
      <c r="C265" s="1439"/>
      <c r="D265" s="1578" t="s">
        <v>2227</v>
      </c>
      <c r="E265" s="1578"/>
      <c r="F265" s="1578"/>
      <c r="G265" s="2"/>
    </row>
    <row r="266" spans="1:7" ht="13.1">
      <c r="A266" s="413"/>
      <c r="B266" s="1440"/>
      <c r="C266" s="1439"/>
      <c r="D266" s="1578"/>
      <c r="E266" s="1578"/>
      <c r="F266" s="1578"/>
      <c r="G266" s="2"/>
    </row>
    <row r="267" spans="1:7" ht="13.1">
      <c r="A267" s="413"/>
      <c r="B267" s="1440"/>
      <c r="C267" s="1439"/>
      <c r="D267" s="1578"/>
      <c r="E267" s="1578"/>
      <c r="F267" s="1578"/>
      <c r="G267" s="2"/>
    </row>
    <row r="268" spans="1:7" ht="14.5" customHeight="1">
      <c r="A268" s="413"/>
      <c r="B268" s="1440"/>
      <c r="C268" s="1439"/>
      <c r="D268" s="1578"/>
      <c r="E268" s="1578"/>
      <c r="F268" s="1578"/>
      <c r="G268" s="2"/>
    </row>
    <row r="269" spans="1:7" ht="13.1">
      <c r="A269" s="413"/>
      <c r="B269" s="1440"/>
      <c r="C269" s="1439"/>
      <c r="D269" s="1441"/>
      <c r="E269" s="1441"/>
      <c r="F269" s="1441"/>
      <c r="G269" s="2"/>
    </row>
    <row r="270" spans="1:7" ht="13.1">
      <c r="A270" s="413"/>
      <c r="B270" s="1345" t="s">
        <v>1498</v>
      </c>
      <c r="C270" s="1439"/>
      <c r="D270" s="1578" t="s">
        <v>2228</v>
      </c>
      <c r="E270" s="1578"/>
      <c r="F270" s="1578"/>
      <c r="G270" s="2"/>
    </row>
    <row r="271" spans="1:7" ht="13.1">
      <c r="A271" s="413"/>
      <c r="B271" s="1440"/>
      <c r="C271" s="1439"/>
      <c r="D271" s="1578"/>
      <c r="E271" s="1578"/>
      <c r="F271" s="1578"/>
      <c r="G271" s="2"/>
    </row>
    <row r="272" spans="1:7" ht="13.1">
      <c r="A272" s="413"/>
      <c r="B272" s="1440"/>
      <c r="C272" s="1439"/>
      <c r="D272" s="1578"/>
      <c r="E272" s="1578"/>
      <c r="F272" s="1578"/>
      <c r="G272" s="2"/>
    </row>
    <row r="273" spans="1:7" ht="13.1">
      <c r="A273" s="413"/>
      <c r="B273" s="1440"/>
      <c r="C273" s="1439"/>
      <c r="D273" s="1578"/>
      <c r="E273" s="1578"/>
      <c r="F273" s="1578"/>
      <c r="G273" s="2"/>
    </row>
    <row r="274" spans="1:7" ht="13.1">
      <c r="A274" s="413"/>
      <c r="B274" s="1440"/>
      <c r="C274" s="1439"/>
      <c r="D274" s="1578"/>
      <c r="E274" s="1578"/>
      <c r="F274" s="1578"/>
      <c r="G274" s="2"/>
    </row>
    <row r="275" spans="1:7" ht="13.1">
      <c r="A275" s="413"/>
      <c r="B275" s="1440"/>
      <c r="C275" s="1439"/>
      <c r="D275" s="1441"/>
      <c r="E275" s="1441"/>
      <c r="F275" s="1441"/>
      <c r="G275" s="2"/>
    </row>
    <row r="276" spans="1:7" ht="13.1">
      <c r="A276" s="413"/>
      <c r="B276" s="1440"/>
      <c r="C276" s="1439"/>
      <c r="D276" s="1578" t="s">
        <v>1703</v>
      </c>
      <c r="E276" s="1578"/>
      <c r="F276" s="1578"/>
      <c r="G276" s="2"/>
    </row>
    <row r="277" spans="1:7" ht="13.1">
      <c r="A277" s="413"/>
      <c r="B277" s="1440"/>
      <c r="C277" s="1439"/>
      <c r="D277" s="1578"/>
      <c r="E277" s="1578"/>
      <c r="F277" s="1578"/>
      <c r="G277" s="2"/>
    </row>
    <row r="278" spans="1:7" ht="13.1">
      <c r="A278" s="413"/>
      <c r="B278" s="1440"/>
      <c r="C278" s="1439"/>
      <c r="D278" s="1578"/>
      <c r="E278" s="1578"/>
      <c r="F278" s="1578"/>
      <c r="G278" s="2"/>
    </row>
    <row r="279" spans="1:7" ht="13.1">
      <c r="A279" s="413"/>
      <c r="B279" s="1440"/>
      <c r="C279" s="1439"/>
      <c r="D279" s="1578"/>
      <c r="E279" s="1578"/>
      <c r="F279" s="1578"/>
      <c r="G279" s="2"/>
    </row>
    <row r="280" spans="1:7" ht="13.1">
      <c r="A280" s="413"/>
      <c r="B280" s="1440"/>
      <c r="C280" s="1439"/>
      <c r="D280" s="1578"/>
      <c r="E280" s="1578"/>
      <c r="F280" s="1578"/>
      <c r="G280" s="2"/>
    </row>
    <row r="281" spans="1:7" ht="13.1">
      <c r="A281" s="413"/>
      <c r="B281" s="413"/>
      <c r="C281" s="14"/>
      <c r="D281" s="954"/>
      <c r="E281" s="954"/>
      <c r="F281" s="954"/>
      <c r="G281" s="2"/>
    </row>
    <row r="282" spans="1:7" s="747" customFormat="1" ht="14.5" customHeight="1">
      <c r="A282" s="1315"/>
      <c r="B282" s="1314" t="s">
        <v>135</v>
      </c>
      <c r="C282" s="1316"/>
      <c r="D282" s="1572" t="s">
        <v>2128</v>
      </c>
      <c r="E282" s="1572"/>
      <c r="F282" s="1572"/>
      <c r="G282" s="1317"/>
    </row>
    <row r="283" spans="1:7" s="747" customFormat="1" ht="13.1">
      <c r="A283" s="1315"/>
      <c r="B283" s="1316"/>
      <c r="C283" s="1316"/>
      <c r="D283" s="1572"/>
      <c r="E283" s="1572"/>
      <c r="F283" s="1572"/>
      <c r="G283" s="1317"/>
    </row>
    <row r="284" spans="1:7" s="747" customFormat="1" ht="13.1">
      <c r="A284" s="1315"/>
      <c r="B284" s="1316"/>
      <c r="C284" s="1316"/>
      <c r="D284" s="1572"/>
      <c r="E284" s="1572"/>
      <c r="F284" s="1572"/>
      <c r="G284" s="1317"/>
    </row>
    <row r="285" spans="1:7" s="747" customFormat="1" ht="13.1">
      <c r="A285" s="1316"/>
      <c r="B285" s="1316"/>
      <c r="C285" s="1316"/>
      <c r="D285" s="1504"/>
      <c r="E285" s="1505" t="s">
        <v>2308</v>
      </c>
      <c r="F285" s="1504"/>
      <c r="G285" s="1317"/>
    </row>
    <row r="286" spans="1:7" ht="13.1">
      <c r="A286" s="413"/>
      <c r="B286" s="413"/>
      <c r="C286" s="14"/>
      <c r="D286" s="287"/>
      <c r="E286" s="2"/>
      <c r="F286" s="2"/>
      <c r="G286" s="2"/>
    </row>
    <row r="287" spans="1:7" ht="13.1">
      <c r="A287" s="413"/>
      <c r="B287" s="924" t="s">
        <v>1498</v>
      </c>
      <c r="C287" s="14"/>
      <c r="D287" s="1554" t="s">
        <v>1200</v>
      </c>
      <c r="E287" s="1554"/>
      <c r="F287" s="1554"/>
      <c r="G287" s="2"/>
    </row>
    <row r="288" spans="1:7" ht="13.1">
      <c r="A288" s="413"/>
      <c r="B288" s="413"/>
      <c r="C288" s="14"/>
      <c r="D288" s="1554" t="s">
        <v>1704</v>
      </c>
      <c r="E288" s="1554"/>
      <c r="F288" s="1554"/>
      <c r="G288" s="2"/>
    </row>
    <row r="289" spans="1:7" ht="13.1">
      <c r="A289" s="413"/>
      <c r="B289" s="413"/>
      <c r="C289" s="14"/>
      <c r="D289" s="963" t="s">
        <v>1130</v>
      </c>
      <c r="E289" s="1505" t="s">
        <v>2309</v>
      </c>
      <c r="F289" s="963"/>
    </row>
    <row r="290" spans="1:7" ht="12.6">
      <c r="A290" s="140"/>
      <c r="B290" s="140"/>
      <c r="C290" s="14"/>
      <c r="D290" s="321"/>
      <c r="E290" s="282"/>
      <c r="F290" s="282"/>
    </row>
    <row r="291" spans="1:7" ht="13.1">
      <c r="A291" s="413"/>
      <c r="B291" s="924" t="s">
        <v>1498</v>
      </c>
      <c r="C291" s="14"/>
      <c r="D291" s="1552" t="s">
        <v>1705</v>
      </c>
      <c r="E291" s="1552"/>
      <c r="F291" s="1552"/>
    </row>
    <row r="292" spans="1:7" ht="13.1">
      <c r="A292" s="413"/>
      <c r="B292" s="413"/>
      <c r="C292" s="14"/>
      <c r="D292" s="1552"/>
      <c r="E292" s="1552"/>
      <c r="F292" s="1552"/>
    </row>
    <row r="293" spans="1:7" ht="12.6">
      <c r="A293" s="140"/>
      <c r="B293" s="140"/>
      <c r="C293" s="14"/>
      <c r="D293" s="321"/>
      <c r="E293" s="282"/>
      <c r="F293" s="282"/>
    </row>
    <row r="294" spans="1:7" ht="13.1">
      <c r="A294" s="1560" t="s">
        <v>1511</v>
      </c>
      <c r="B294" s="1560"/>
      <c r="C294" s="1560"/>
      <c r="D294" s="1560"/>
      <c r="E294" s="1560"/>
      <c r="F294" s="1560"/>
      <c r="G294" s="1560"/>
    </row>
    <row r="295" spans="1:7" ht="12.6">
      <c r="A295" s="140"/>
      <c r="B295" s="140"/>
      <c r="C295" s="14"/>
      <c r="D295" s="321"/>
      <c r="E295" s="282"/>
      <c r="F295" s="282"/>
    </row>
    <row r="296" spans="1:7" ht="13.1">
      <c r="A296" s="140"/>
      <c r="B296" s="140"/>
      <c r="C296" s="900"/>
      <c r="D296" s="1561" t="s">
        <v>1510</v>
      </c>
      <c r="E296" s="1561"/>
      <c r="F296" s="1561"/>
    </row>
    <row r="297" spans="1:7" ht="13.1">
      <c r="A297" s="414"/>
      <c r="B297" s="414"/>
      <c r="C297" s="298"/>
      <c r="D297" s="287"/>
      <c r="E297" s="282"/>
      <c r="F297" s="282"/>
    </row>
    <row r="298" spans="1:7" ht="13.1">
      <c r="A298" s="415"/>
      <c r="B298" s="415"/>
      <c r="C298" s="299"/>
      <c r="D298" s="1561" t="s">
        <v>233</v>
      </c>
      <c r="E298" s="1561"/>
      <c r="F298" s="1561"/>
    </row>
    <row r="299" spans="1:7" ht="14.5" customHeight="1">
      <c r="A299" s="413"/>
      <c r="B299" s="924" t="s">
        <v>1498</v>
      </c>
      <c r="C299" s="14"/>
      <c r="D299" s="1586" t="s">
        <v>2076</v>
      </c>
      <c r="E299" s="1552"/>
      <c r="F299" s="1552"/>
    </row>
    <row r="300" spans="1:7" ht="12.6">
      <c r="A300" s="140"/>
      <c r="B300" s="140"/>
      <c r="C300" s="14"/>
      <c r="D300" s="1552"/>
      <c r="E300" s="1552"/>
      <c r="F300" s="1552"/>
    </row>
    <row r="301" spans="1:7" ht="12.6">
      <c r="A301" s="140"/>
      <c r="B301" s="140"/>
      <c r="C301" s="14"/>
      <c r="D301" s="1552"/>
      <c r="E301" s="1552"/>
      <c r="F301" s="1552"/>
    </row>
    <row r="302" spans="1:7" ht="12.6">
      <c r="A302" s="1002"/>
      <c r="B302" s="1002"/>
      <c r="C302" s="14"/>
      <c r="D302" s="1313"/>
      <c r="E302" s="1313"/>
      <c r="F302" s="1313"/>
    </row>
    <row r="303" spans="1:7" s="747" customFormat="1" ht="14.5" customHeight="1">
      <c r="A303" s="1315"/>
      <c r="B303" s="1314" t="s">
        <v>135</v>
      </c>
      <c r="C303" s="1316"/>
      <c r="D303" s="1572" t="s">
        <v>2129</v>
      </c>
      <c r="E303" s="1572"/>
      <c r="F303" s="1572"/>
      <c r="G303" s="1317"/>
    </row>
    <row r="304" spans="1:7" s="747" customFormat="1" ht="12.6">
      <c r="A304" s="1316"/>
      <c r="B304" s="1316"/>
      <c r="C304" s="1316"/>
      <c r="D304" s="1572"/>
      <c r="E304" s="1572"/>
      <c r="F304" s="1572"/>
      <c r="G304" s="1317"/>
    </row>
    <row r="305" spans="1:7" s="747" customFormat="1" ht="12.6">
      <c r="A305" s="1316"/>
      <c r="B305" s="1316"/>
      <c r="C305" s="1316"/>
      <c r="D305" s="1572"/>
      <c r="E305" s="1572"/>
      <c r="F305" s="1572"/>
      <c r="G305" s="1317"/>
    </row>
    <row r="306" spans="1:7" s="747" customFormat="1" ht="13.1">
      <c r="A306" s="1316"/>
      <c r="B306" s="1316"/>
      <c r="C306" s="1316"/>
      <c r="E306" s="1506" t="s">
        <v>2310</v>
      </c>
      <c r="F306" s="1506"/>
      <c r="G306" s="1317"/>
    </row>
    <row r="307" spans="1:7" ht="12.6">
      <c r="A307" s="140"/>
      <c r="B307" s="140"/>
      <c r="C307" s="14"/>
      <c r="D307" s="332"/>
      <c r="E307" s="282"/>
      <c r="F307" s="282"/>
    </row>
    <row r="308" spans="1:7" ht="13.1">
      <c r="A308" s="1560" t="s">
        <v>1512</v>
      </c>
      <c r="B308" s="1560"/>
      <c r="C308" s="1560"/>
      <c r="D308" s="1560"/>
      <c r="E308" s="1560"/>
      <c r="F308" s="1560"/>
      <c r="G308" s="1560"/>
    </row>
    <row r="309" spans="1:7" ht="12.6">
      <c r="A309" s="140"/>
      <c r="B309" s="140"/>
      <c r="C309" s="14"/>
      <c r="D309" s="332"/>
      <c r="E309" s="282"/>
      <c r="F309" s="282"/>
    </row>
    <row r="310" spans="1:7" ht="13.1">
      <c r="A310" s="140"/>
      <c r="B310" s="140"/>
      <c r="C310" s="298"/>
      <c r="D310" s="1563" t="s">
        <v>1706</v>
      </c>
      <c r="E310" s="1563"/>
      <c r="F310" s="1563"/>
    </row>
    <row r="311" spans="1:7" ht="13.1">
      <c r="A311" s="140"/>
      <c r="B311" s="140"/>
      <c r="C311" s="298"/>
      <c r="D311" s="1563"/>
      <c r="E311" s="1563"/>
      <c r="F311" s="1563"/>
    </row>
    <row r="312" spans="1:7" ht="13.1">
      <c r="A312" s="415"/>
      <c r="B312" s="415"/>
      <c r="C312" s="299"/>
      <c r="D312" s="6"/>
      <c r="E312" s="282"/>
      <c r="F312" s="282"/>
    </row>
    <row r="313" spans="1:7" ht="13.1">
      <c r="A313" s="140"/>
      <c r="B313" s="140"/>
      <c r="C313" s="299"/>
      <c r="D313" s="1561" t="s">
        <v>178</v>
      </c>
      <c r="E313" s="1561"/>
      <c r="F313" s="1561"/>
    </row>
    <row r="314" spans="1:7" ht="13.1">
      <c r="A314" s="413"/>
      <c r="B314" s="413"/>
      <c r="C314" s="14"/>
      <c r="D314" s="1580" t="s">
        <v>1707</v>
      </c>
      <c r="E314" s="1580"/>
      <c r="F314" s="1580"/>
    </row>
    <row r="315" spans="1:7" ht="12" customHeight="1">
      <c r="A315" s="140"/>
      <c r="B315" s="140"/>
      <c r="C315" s="14"/>
      <c r="D315" s="282"/>
      <c r="E315" s="282"/>
      <c r="F315" s="282"/>
    </row>
    <row r="316" spans="1:7" ht="14.5" customHeight="1">
      <c r="A316" s="413"/>
      <c r="B316" s="924" t="s">
        <v>135</v>
      </c>
      <c r="C316" s="14"/>
      <c r="D316" s="1552" t="s">
        <v>1708</v>
      </c>
      <c r="E316" s="1552"/>
      <c r="F316" s="1552"/>
    </row>
    <row r="317" spans="1:7" ht="13.1">
      <c r="A317" s="413"/>
      <c r="B317" s="413"/>
      <c r="C317" s="14"/>
      <c r="D317" s="1552"/>
      <c r="E317" s="1552"/>
      <c r="F317" s="1552"/>
    </row>
    <row r="318" spans="1:7" ht="12.6">
      <c r="A318" s="140"/>
      <c r="B318" s="140"/>
      <c r="C318" s="14"/>
      <c r="D318" s="282"/>
      <c r="E318" s="282"/>
      <c r="F318" s="282"/>
    </row>
    <row r="319" spans="1:7" ht="14.5" customHeight="1">
      <c r="A319" s="413"/>
      <c r="B319" s="924" t="s">
        <v>135</v>
      </c>
      <c r="C319" s="14"/>
      <c r="D319" s="1550" t="s">
        <v>1709</v>
      </c>
      <c r="E319" s="1550"/>
      <c r="F319" s="1550"/>
    </row>
    <row r="320" spans="1:7" ht="13.1">
      <c r="A320" s="413"/>
      <c r="B320" s="413"/>
      <c r="C320" s="14"/>
      <c r="D320" s="1550"/>
      <c r="E320" s="1550"/>
      <c r="F320" s="1550"/>
    </row>
    <row r="321" spans="1:7" ht="13.1">
      <c r="A321" s="413"/>
      <c r="B321" s="413"/>
      <c r="C321" s="14"/>
      <c r="D321" s="1550"/>
      <c r="E321" s="1550"/>
      <c r="F321" s="1550"/>
    </row>
    <row r="322" spans="1:7" ht="12.6">
      <c r="A322" s="140"/>
      <c r="B322" s="140"/>
      <c r="C322" s="14"/>
      <c r="D322" s="143"/>
      <c r="E322"/>
      <c r="F322"/>
      <c r="G322"/>
    </row>
    <row r="323" spans="1:7" ht="13.1">
      <c r="A323" s="413"/>
      <c r="B323" s="924" t="s">
        <v>135</v>
      </c>
      <c r="C323" s="14"/>
      <c r="D323" s="1552" t="s">
        <v>1710</v>
      </c>
      <c r="E323" s="1552"/>
      <c r="F323" s="1552"/>
    </row>
    <row r="324" spans="1:7" ht="13.1">
      <c r="A324" s="413"/>
      <c r="B324" s="413"/>
      <c r="C324" s="14"/>
      <c r="D324" s="1552"/>
      <c r="E324" s="1552"/>
      <c r="F324" s="1552"/>
    </row>
    <row r="325" spans="1:7" ht="13.1">
      <c r="A325" s="33"/>
      <c r="B325" s="33"/>
      <c r="C325" s="14"/>
      <c r="D325" s="287"/>
      <c r="E325" s="282"/>
      <c r="F325" s="282"/>
    </row>
    <row r="326" spans="1:7" ht="13.1">
      <c r="A326" s="1560" t="s">
        <v>1499</v>
      </c>
      <c r="B326" s="1560"/>
      <c r="C326" s="1560"/>
      <c r="D326" s="1560"/>
      <c r="E326" s="1560"/>
      <c r="F326" s="1560"/>
      <c r="G326" s="1560"/>
    </row>
    <row r="327" spans="1:7" ht="13.1">
      <c r="A327" s="33"/>
      <c r="B327" s="33"/>
      <c r="C327" s="14"/>
      <c r="D327" s="287"/>
      <c r="E327" s="282"/>
      <c r="F327" s="282"/>
      <c r="G327" s="2"/>
    </row>
    <row r="328" spans="1:7" ht="13.1">
      <c r="A328" s="140"/>
      <c r="B328" s="140"/>
      <c r="C328" s="320"/>
      <c r="D328" s="1561" t="s">
        <v>179</v>
      </c>
      <c r="E328" s="1561"/>
      <c r="F328" s="1561"/>
      <c r="G328" s="2"/>
    </row>
    <row r="329" spans="1:7" ht="13.1">
      <c r="A329" s="140"/>
      <c r="B329" s="140"/>
      <c r="C329" s="320"/>
      <c r="D329" s="1554" t="s">
        <v>1542</v>
      </c>
      <c r="E329" s="1554"/>
      <c r="F329" s="1554"/>
      <c r="G329" s="2"/>
    </row>
    <row r="330" spans="1:7" ht="13.1">
      <c r="A330" s="140"/>
      <c r="B330" s="140"/>
      <c r="C330" s="320"/>
      <c r="D330" s="290"/>
      <c r="E330" s="282"/>
      <c r="F330" s="282"/>
      <c r="G330" s="2"/>
    </row>
    <row r="331" spans="1:7" ht="12.6">
      <c r="A331" s="140"/>
      <c r="B331" s="924" t="s">
        <v>135</v>
      </c>
      <c r="C331" s="14"/>
      <c r="D331" s="1554" t="s">
        <v>1711</v>
      </c>
      <c r="E331" s="1554"/>
      <c r="F331" s="1554"/>
      <c r="G331" s="2"/>
    </row>
    <row r="332" spans="1:7" ht="13.1">
      <c r="A332" s="552"/>
      <c r="B332" s="552"/>
      <c r="D332" s="680"/>
      <c r="G332" s="2"/>
    </row>
    <row r="333" spans="1:7" ht="13.1">
      <c r="A333" s="413"/>
      <c r="B333" s="924" t="s">
        <v>135</v>
      </c>
      <c r="C333" s="14"/>
      <c r="D333" s="1554" t="s">
        <v>1712</v>
      </c>
      <c r="E333" s="1554"/>
      <c r="F333" s="1554"/>
      <c r="G333" s="2"/>
    </row>
    <row r="334" spans="1:7" ht="12.6">
      <c r="A334" s="140"/>
      <c r="B334" s="140"/>
      <c r="C334" s="14"/>
      <c r="D334" s="282"/>
      <c r="E334" s="282"/>
      <c r="F334" s="282"/>
      <c r="G334" s="2"/>
    </row>
    <row r="335" spans="1:7" ht="14.5" customHeight="1">
      <c r="A335" s="413"/>
      <c r="B335" s="924" t="s">
        <v>135</v>
      </c>
      <c r="C335" s="14"/>
      <c r="D335" s="1550" t="s">
        <v>1718</v>
      </c>
      <c r="E335" s="1550"/>
      <c r="F335" s="1550"/>
      <c r="G335" s="2"/>
    </row>
    <row r="336" spans="1:7" ht="13.1">
      <c r="A336" s="413"/>
      <c r="B336" s="413"/>
      <c r="C336" s="14"/>
      <c r="D336" s="1550"/>
      <c r="E336" s="1550"/>
      <c r="F336" s="1550"/>
      <c r="G336" s="2"/>
    </row>
    <row r="337" spans="1:8" ht="13.1">
      <c r="A337" s="413"/>
      <c r="B337" s="413"/>
      <c r="C337" s="14"/>
      <c r="D337" s="1550"/>
      <c r="E337" s="1550"/>
      <c r="F337" s="1550"/>
      <c r="G337" s="2"/>
    </row>
    <row r="338" spans="1:8" ht="13.1">
      <c r="A338" s="413"/>
      <c r="B338" s="413"/>
      <c r="C338" s="14"/>
      <c r="D338" s="1550"/>
      <c r="E338" s="1550"/>
      <c r="F338" s="1550"/>
      <c r="G338" s="2"/>
    </row>
    <row r="339" spans="1:8" ht="13.1">
      <c r="A339" s="413"/>
      <c r="B339" s="413"/>
      <c r="C339" s="14"/>
      <c r="D339" s="1550"/>
      <c r="E339" s="1550"/>
      <c r="F339" s="1550"/>
      <c r="G339" s="2"/>
    </row>
    <row r="340" spans="1:8" ht="13.1">
      <c r="A340" s="413"/>
      <c r="B340" s="413"/>
      <c r="C340" s="14"/>
      <c r="D340" s="1550"/>
      <c r="E340" s="1550"/>
      <c r="F340" s="1550"/>
      <c r="G340" s="2"/>
    </row>
    <row r="341" spans="1:8" ht="13.1">
      <c r="A341" s="413"/>
      <c r="B341" s="413"/>
      <c r="C341" s="14"/>
      <c r="D341" s="1550"/>
      <c r="E341" s="1550"/>
      <c r="F341" s="1550"/>
      <c r="G341" s="2"/>
    </row>
    <row r="342" spans="1:8" ht="13.1">
      <c r="A342" s="413"/>
      <c r="B342" s="413"/>
      <c r="C342" s="14"/>
      <c r="D342" s="1550"/>
      <c r="E342" s="1550"/>
      <c r="F342" s="1550"/>
      <c r="G342" s="2"/>
    </row>
    <row r="343" spans="1:8" ht="13.1">
      <c r="A343" s="413"/>
      <c r="B343" s="413"/>
      <c r="C343" s="14"/>
      <c r="D343" s="1550"/>
      <c r="E343" s="1550"/>
      <c r="F343" s="1550"/>
    </row>
    <row r="344" spans="1:8" ht="13.1">
      <c r="A344" s="413"/>
      <c r="B344" s="413"/>
      <c r="C344" s="14"/>
      <c r="D344" s="1550"/>
      <c r="E344" s="1550"/>
      <c r="F344" s="1550"/>
    </row>
    <row r="345" spans="1:8" ht="13.1">
      <c r="A345" s="413"/>
      <c r="B345" s="413"/>
      <c r="C345" s="14"/>
      <c r="D345" s="1550"/>
      <c r="E345" s="1550"/>
      <c r="F345" s="1550"/>
    </row>
    <row r="346" spans="1:8" ht="13.1">
      <c r="A346" s="413"/>
      <c r="B346" s="413"/>
      <c r="C346" s="14"/>
      <c r="D346" s="1550"/>
      <c r="E346" s="1550"/>
      <c r="F346" s="1550"/>
    </row>
    <row r="347" spans="1:8" ht="13.1">
      <c r="A347" s="413"/>
      <c r="B347" s="413"/>
      <c r="C347" s="14"/>
      <c r="D347" s="1550"/>
      <c r="E347" s="1550"/>
      <c r="F347" s="1550"/>
    </row>
    <row r="348" spans="1:8" ht="13.1">
      <c r="A348" s="413"/>
      <c r="B348" s="413"/>
      <c r="C348" s="14"/>
      <c r="D348" s="1550"/>
      <c r="E348" s="1550"/>
      <c r="F348" s="1550"/>
    </row>
    <row r="349" spans="1:8" ht="13.1">
      <c r="A349" s="413"/>
      <c r="B349" s="413"/>
      <c r="C349" s="14"/>
      <c r="D349" s="1550"/>
      <c r="E349" s="1550"/>
      <c r="F349" s="1550"/>
    </row>
    <row r="350" spans="1:8" ht="12.6">
      <c r="A350" s="140"/>
      <c r="B350" s="140"/>
      <c r="C350" s="14"/>
      <c r="D350" s="282"/>
      <c r="E350" s="282"/>
      <c r="F350" s="282"/>
    </row>
    <row r="351" spans="1:8" s="50" customFormat="1" ht="14.5" customHeight="1">
      <c r="A351" s="413"/>
      <c r="B351" s="924" t="s">
        <v>135</v>
      </c>
      <c r="C351" s="140"/>
      <c r="D351" s="1550" t="s">
        <v>1713</v>
      </c>
      <c r="E351" s="1550"/>
      <c r="F351" s="1550"/>
      <c r="G351" s="8"/>
      <c r="H351" s="16"/>
    </row>
    <row r="352" spans="1:8" s="50" customFormat="1" ht="12.6">
      <c r="A352" s="140"/>
      <c r="B352" s="140"/>
      <c r="C352" s="140"/>
      <c r="D352" s="1550"/>
      <c r="E352" s="1550"/>
      <c r="F352" s="1550"/>
      <c r="G352" s="8"/>
      <c r="H352" s="16"/>
    </row>
    <row r="353" spans="1:8" s="50" customFormat="1" ht="12.6">
      <c r="A353" s="140"/>
      <c r="B353" s="140"/>
      <c r="C353" s="140"/>
      <c r="D353" s="1550"/>
      <c r="E353" s="1550"/>
      <c r="F353" s="1550"/>
      <c r="G353" s="8"/>
      <c r="H353" s="16"/>
    </row>
    <row r="354" spans="1:8" s="50" customFormat="1" ht="12.6">
      <c r="A354" s="140"/>
      <c r="B354" s="140"/>
      <c r="C354" s="140"/>
      <c r="D354" s="1550"/>
      <c r="E354" s="1550"/>
      <c r="F354" s="1550"/>
      <c r="G354" s="8"/>
      <c r="H354" s="16"/>
    </row>
    <row r="355" spans="1:8" s="50" customFormat="1" ht="12.6">
      <c r="A355" s="140"/>
      <c r="B355" s="140"/>
      <c r="C355" s="140"/>
      <c r="D355" s="1550"/>
      <c r="E355" s="1550"/>
      <c r="F355" s="1550"/>
      <c r="G355" s="8"/>
      <c r="H355" s="16"/>
    </row>
    <row r="356" spans="1:8" s="50" customFormat="1" ht="12.6">
      <c r="A356" s="140"/>
      <c r="B356" s="140"/>
      <c r="C356" s="140"/>
      <c r="D356" s="1550"/>
      <c r="E356" s="1550"/>
      <c r="F356" s="1550"/>
      <c r="G356" s="8"/>
      <c r="H356" s="16"/>
    </row>
    <row r="357" spans="1:8" s="50" customFormat="1" ht="12.6">
      <c r="A357" s="140"/>
      <c r="B357" s="140"/>
      <c r="C357" s="140"/>
      <c r="D357" s="1550"/>
      <c r="E357" s="1550"/>
      <c r="F357" s="1550"/>
      <c r="G357" s="8"/>
      <c r="H357" s="16"/>
    </row>
    <row r="358" spans="1:8" s="50" customFormat="1" ht="12.6">
      <c r="A358" s="140"/>
      <c r="B358" s="140"/>
      <c r="C358" s="140"/>
      <c r="D358" s="1550"/>
      <c r="E358" s="1550"/>
      <c r="F358" s="1550"/>
      <c r="G358" s="8"/>
      <c r="H358" s="16"/>
    </row>
    <row r="359" spans="1:8" s="50" customFormat="1" ht="12.6">
      <c r="A359" s="140"/>
      <c r="B359" s="140"/>
      <c r="C359" s="140"/>
      <c r="D359" s="1550"/>
      <c r="E359" s="1550"/>
      <c r="F359" s="1550"/>
      <c r="G359" s="8"/>
      <c r="H359" s="16"/>
    </row>
    <row r="360" spans="1:8" ht="12.6">
      <c r="A360" s="150"/>
      <c r="B360" s="150"/>
      <c r="E360" s="403"/>
      <c r="F360" s="403"/>
    </row>
    <row r="361" spans="1:8" ht="14.25" customHeight="1">
      <c r="A361" s="413"/>
      <c r="B361" s="924" t="s">
        <v>135</v>
      </c>
      <c r="C361" s="14"/>
      <c r="D361" s="1548" t="s">
        <v>2311</v>
      </c>
      <c r="E361" s="1548"/>
      <c r="F361" s="1548"/>
    </row>
    <row r="362" spans="1:8" ht="12.6">
      <c r="A362" s="140"/>
      <c r="B362" s="140"/>
      <c r="C362" s="14"/>
      <c r="D362" s="1548"/>
      <c r="E362" s="1548"/>
      <c r="F362" s="1548"/>
    </row>
    <row r="363" spans="1:8" ht="12.6">
      <c r="A363" s="140"/>
      <c r="B363" s="140"/>
      <c r="C363" s="14"/>
      <c r="D363" s="1548"/>
      <c r="E363" s="1548"/>
      <c r="F363" s="1548"/>
    </row>
    <row r="364" spans="1:8" ht="12.6">
      <c r="A364" s="140"/>
      <c r="B364" s="140"/>
      <c r="C364" s="14"/>
      <c r="D364" s="1548"/>
      <c r="E364" s="1548"/>
      <c r="F364" s="1548"/>
    </row>
    <row r="365" spans="1:8" ht="12.6">
      <c r="A365" s="960"/>
      <c r="B365" s="960"/>
      <c r="C365" s="14"/>
      <c r="D365" s="1548"/>
      <c r="E365" s="1548"/>
      <c r="F365" s="1548"/>
    </row>
    <row r="366" spans="1:8" ht="13.1">
      <c r="A366" s="140"/>
      <c r="B366" s="140"/>
      <c r="C366" s="14"/>
      <c r="D366" s="954"/>
      <c r="E366" s="930" t="s">
        <v>2312</v>
      </c>
      <c r="F366" s="954"/>
    </row>
    <row r="367" spans="1:8" ht="13.1" thickBot="1">
      <c r="A367" s="140"/>
      <c r="B367" s="140"/>
      <c r="C367" s="14"/>
      <c r="D367" s="1247"/>
      <c r="E367" s="785"/>
      <c r="F367" s="785"/>
      <c r="G367" s="288"/>
    </row>
    <row r="368" spans="1:8" ht="14.1" thickTop="1" thickBot="1">
      <c r="A368" s="140"/>
      <c r="B368" s="140"/>
      <c r="C368" s="140"/>
      <c r="D368" s="1579" t="s">
        <v>1368</v>
      </c>
      <c r="E368" s="1579"/>
      <c r="F368" s="1579"/>
      <c r="G368" s="71"/>
    </row>
    <row r="369" spans="1:7" ht="13.1" thickTop="1">
      <c r="A369" s="140"/>
      <c r="B369" s="140"/>
      <c r="C369" s="140"/>
      <c r="D369" s="1581" t="s">
        <v>1714</v>
      </c>
      <c r="E369" s="1581"/>
      <c r="F369" s="1581"/>
      <c r="G369" s="8"/>
    </row>
    <row r="370" spans="1:7" ht="12.6">
      <c r="A370" s="140"/>
      <c r="B370" s="140"/>
      <c r="C370" s="140"/>
      <c r="D370" s="287"/>
      <c r="E370" s="8"/>
      <c r="F370" s="8"/>
      <c r="G370" s="8"/>
    </row>
    <row r="371" spans="1:7" ht="13.1">
      <c r="A371" s="413"/>
      <c r="B371" s="924" t="s">
        <v>135</v>
      </c>
      <c r="C371" s="579"/>
      <c r="D371" s="1577" t="s">
        <v>1719</v>
      </c>
      <c r="E371" s="1577"/>
      <c r="F371" s="1577"/>
      <c r="G371" s="8"/>
    </row>
    <row r="372" spans="1:7" ht="13.1">
      <c r="A372" s="413"/>
      <c r="B372" s="413"/>
      <c r="C372" s="579"/>
      <c r="D372" s="644"/>
      <c r="E372" s="8"/>
      <c r="F372" s="8"/>
      <c r="G372" s="8"/>
    </row>
    <row r="373" spans="1:7" ht="13.1">
      <c r="A373" s="413"/>
      <c r="B373" s="924" t="s">
        <v>135</v>
      </c>
      <c r="C373" s="579"/>
      <c r="D373" s="1574" t="s">
        <v>1721</v>
      </c>
      <c r="E373" s="1575"/>
      <c r="F373" s="1575"/>
      <c r="G373" s="8"/>
    </row>
    <row r="374" spans="1:7" ht="13.1">
      <c r="A374" s="413"/>
      <c r="B374" s="413"/>
      <c r="C374" s="579"/>
      <c r="D374" s="1575"/>
      <c r="E374" s="1575"/>
      <c r="F374" s="1575"/>
      <c r="G374" s="8"/>
    </row>
    <row r="375" spans="1:7" ht="13.1">
      <c r="A375" s="413"/>
      <c r="B375" s="413"/>
      <c r="C375" s="579"/>
      <c r="D375" s="1575"/>
      <c r="E375" s="1575"/>
      <c r="F375" s="1575"/>
      <c r="G375" s="8"/>
    </row>
    <row r="376" spans="1:7" ht="13.1">
      <c r="A376" s="413"/>
      <c r="B376" s="413"/>
      <c r="C376" s="579"/>
      <c r="D376" s="1575"/>
      <c r="E376" s="1575"/>
      <c r="F376" s="1575"/>
      <c r="G376" s="8"/>
    </row>
    <row r="377" spans="1:7" ht="13.1">
      <c r="A377" s="413"/>
      <c r="B377" s="413"/>
      <c r="C377" s="579"/>
      <c r="D377" s="1575"/>
      <c r="E377" s="1575"/>
      <c r="F377" s="1575"/>
      <c r="G377" s="8"/>
    </row>
    <row r="378" spans="1:7" ht="13.1">
      <c r="A378" s="413"/>
      <c r="B378" s="413"/>
      <c r="C378" s="579"/>
      <c r="D378" s="1575"/>
      <c r="E378" s="1575"/>
      <c r="F378" s="1575"/>
      <c r="G378" s="8"/>
    </row>
    <row r="379" spans="1:7" ht="13.1">
      <c r="A379" s="413"/>
      <c r="B379" s="413"/>
      <c r="C379" s="579"/>
      <c r="D379" s="1575"/>
      <c r="E379" s="1575"/>
      <c r="F379" s="1575"/>
      <c r="G379" s="8"/>
    </row>
    <row r="380" spans="1:7" ht="13.1">
      <c r="A380" s="413"/>
      <c r="B380" s="413"/>
      <c r="C380" s="579"/>
      <c r="D380" s="1575"/>
      <c r="E380" s="1575"/>
      <c r="F380" s="1575"/>
      <c r="G380" s="8"/>
    </row>
    <row r="381" spans="1:7" ht="13.1">
      <c r="A381" s="413"/>
      <c r="B381" s="413"/>
      <c r="C381" s="579"/>
      <c r="D381" s="1575"/>
      <c r="E381" s="1575"/>
      <c r="F381" s="1575"/>
      <c r="G381" s="8"/>
    </row>
    <row r="382" spans="1:7" ht="13.1">
      <c r="A382" s="413"/>
      <c r="B382" s="413"/>
      <c r="C382" s="579"/>
      <c r="D382" s="1575"/>
      <c r="E382" s="1575"/>
      <c r="F382" s="1575"/>
      <c r="G382" s="8"/>
    </row>
    <row r="383" spans="1:7" ht="13.1">
      <c r="A383" s="413"/>
      <c r="B383" s="413"/>
      <c r="C383" s="579"/>
      <c r="D383" s="965"/>
      <c r="E383" s="965"/>
      <c r="F383" s="965"/>
      <c r="G383" s="8"/>
    </row>
    <row r="384" spans="1:7" ht="13.1">
      <c r="A384" s="413"/>
      <c r="B384" s="924" t="s">
        <v>135</v>
      </c>
      <c r="C384" s="579"/>
      <c r="D384" s="1573" t="s">
        <v>1715</v>
      </c>
      <c r="E384" s="1573"/>
      <c r="F384" s="1573"/>
      <c r="G384" s="8"/>
    </row>
    <row r="385" spans="1:7" ht="12.6">
      <c r="A385" s="579"/>
      <c r="B385" s="579"/>
      <c r="C385" s="579"/>
      <c r="D385" s="1573"/>
      <c r="E385" s="1573"/>
      <c r="F385" s="1573"/>
      <c r="G385" s="8"/>
    </row>
    <row r="386" spans="1:7" ht="12.6">
      <c r="A386" s="579"/>
      <c r="B386" s="579"/>
      <c r="C386" s="579"/>
      <c r="D386" s="1573"/>
      <c r="E386" s="1573"/>
      <c r="F386" s="1573"/>
      <c r="G386" s="8"/>
    </row>
    <row r="387" spans="1:7" ht="12.6">
      <c r="A387" s="579"/>
      <c r="B387" s="579"/>
      <c r="C387" s="579"/>
      <c r="D387" s="1573"/>
      <c r="E387" s="1573"/>
      <c r="F387" s="1573"/>
      <c r="G387" s="8"/>
    </row>
    <row r="388" spans="1:7" ht="12.6">
      <c r="A388" s="579"/>
      <c r="B388" s="579"/>
      <c r="C388" s="579"/>
      <c r="D388" s="969"/>
      <c r="E388" s="969"/>
      <c r="F388" s="969"/>
      <c r="G388" s="8"/>
    </row>
    <row r="389" spans="1:7" ht="12.6">
      <c r="A389" s="579"/>
      <c r="B389" s="579"/>
      <c r="C389" s="579"/>
      <c r="D389" s="1573" t="s">
        <v>1716</v>
      </c>
      <c r="E389" s="1573"/>
      <c r="F389" s="1573"/>
      <c r="G389" s="8"/>
    </row>
    <row r="390" spans="1:7" ht="12.6">
      <c r="A390" s="579"/>
      <c r="B390" s="579"/>
      <c r="C390" s="579"/>
      <c r="D390" s="1573"/>
      <c r="E390" s="1573"/>
      <c r="F390" s="1573"/>
      <c r="G390" s="8"/>
    </row>
    <row r="391" spans="1:7" ht="12.6">
      <c r="A391" s="579"/>
      <c r="B391" s="579"/>
      <c r="C391" s="579"/>
      <c r="D391" s="1573"/>
      <c r="E391" s="1573"/>
      <c r="F391" s="1573"/>
      <c r="G391" s="8"/>
    </row>
    <row r="392" spans="1:7" ht="12.6">
      <c r="A392" s="579"/>
      <c r="B392" s="579"/>
      <c r="C392" s="579"/>
      <c r="D392" s="1573"/>
      <c r="E392" s="1573"/>
      <c r="F392" s="1573"/>
      <c r="G392" s="8"/>
    </row>
    <row r="393" spans="1:7" ht="12.6">
      <c r="A393" s="579"/>
      <c r="B393" s="579"/>
      <c r="C393" s="579"/>
      <c r="D393" s="1573"/>
      <c r="E393" s="1573"/>
      <c r="F393" s="1573"/>
      <c r="G393" s="8"/>
    </row>
    <row r="394" spans="1:7" ht="12.6">
      <c r="A394" s="579"/>
      <c r="B394" s="579"/>
      <c r="C394" s="579"/>
      <c r="D394" s="1573"/>
      <c r="E394" s="1573"/>
      <c r="F394" s="1573"/>
      <c r="G394" s="8"/>
    </row>
    <row r="395" spans="1:7" ht="12.6">
      <c r="A395" s="579"/>
      <c r="B395" s="579"/>
      <c r="C395" s="579"/>
      <c r="D395" s="1573"/>
      <c r="E395" s="1573"/>
      <c r="F395" s="1573"/>
      <c r="G395" s="8"/>
    </row>
    <row r="396" spans="1:7" ht="12.6">
      <c r="A396" s="579"/>
      <c r="B396" s="579"/>
      <c r="C396" s="579"/>
      <c r="D396" s="1573"/>
      <c r="E396" s="1573"/>
      <c r="F396" s="1573"/>
      <c r="G396" s="8"/>
    </row>
    <row r="397" spans="1:7" ht="12.6">
      <c r="A397" s="579"/>
      <c r="B397" s="579"/>
      <c r="C397" s="579"/>
      <c r="D397" s="1573"/>
      <c r="E397" s="1573"/>
      <c r="F397" s="1573"/>
      <c r="G397" s="8"/>
    </row>
    <row r="398" spans="1:7" ht="13.75" customHeight="1">
      <c r="A398" s="579"/>
      <c r="B398" s="579"/>
      <c r="C398" s="579"/>
      <c r="D398" s="1551" t="s">
        <v>1720</v>
      </c>
      <c r="E398" s="1551"/>
      <c r="F398" s="1551"/>
      <c r="G398" s="8"/>
    </row>
    <row r="399" spans="1:7" ht="13.75" customHeight="1">
      <c r="A399" s="579"/>
      <c r="B399" s="579"/>
      <c r="C399" s="579"/>
      <c r="D399" s="1551"/>
      <c r="E399" s="1551"/>
      <c r="F399" s="1551"/>
      <c r="G399" s="8"/>
    </row>
    <row r="400" spans="1:7" ht="13.75" customHeight="1">
      <c r="A400" s="579"/>
      <c r="B400" s="579"/>
      <c r="C400" s="579"/>
      <c r="D400" s="1551"/>
      <c r="E400" s="1551"/>
      <c r="F400" s="1551"/>
      <c r="G400" s="8"/>
    </row>
    <row r="401" spans="1:7" ht="13.75" customHeight="1">
      <c r="A401" s="579"/>
      <c r="B401" s="579"/>
      <c r="C401" s="579"/>
      <c r="D401" s="1551"/>
      <c r="E401" s="1551"/>
      <c r="F401" s="1551"/>
      <c r="G401" s="8"/>
    </row>
    <row r="402" spans="1:7" ht="13.75" customHeight="1">
      <c r="A402" s="579"/>
      <c r="B402" s="579"/>
      <c r="C402" s="579"/>
      <c r="D402" s="1551"/>
      <c r="E402" s="1551"/>
      <c r="F402" s="1551"/>
      <c r="G402" s="8"/>
    </row>
    <row r="403" spans="1:7" ht="13.75" customHeight="1">
      <c r="A403" s="579"/>
      <c r="B403" s="579"/>
      <c r="C403" s="579"/>
      <c r="D403" s="1551"/>
      <c r="E403" s="1551"/>
      <c r="F403" s="1551"/>
      <c r="G403" s="8"/>
    </row>
    <row r="404" spans="1:7" ht="13.75" customHeight="1">
      <c r="A404" s="579"/>
      <c r="B404" s="579"/>
      <c r="C404" s="579"/>
      <c r="D404" s="1551"/>
      <c r="E404" s="1551"/>
      <c r="F404" s="1551"/>
      <c r="G404" s="8"/>
    </row>
    <row r="405" spans="1:7" ht="13.75" customHeight="1">
      <c r="A405" s="579"/>
      <c r="B405" s="579"/>
      <c r="C405" s="579"/>
      <c r="D405" s="1551"/>
      <c r="E405" s="1551"/>
      <c r="F405" s="1551"/>
      <c r="G405" s="8"/>
    </row>
    <row r="406" spans="1:7" ht="13.75" customHeight="1">
      <c r="A406" s="579"/>
      <c r="B406" s="579"/>
      <c r="C406" s="579"/>
      <c r="D406" s="1551"/>
      <c r="E406" s="1551"/>
      <c r="F406" s="1551"/>
      <c r="G406" s="8"/>
    </row>
    <row r="407" spans="1:7" ht="13.75" customHeight="1">
      <c r="A407" s="579"/>
      <c r="B407" s="579"/>
      <c r="C407" s="579"/>
      <c r="D407" s="1551"/>
      <c r="E407" s="1551"/>
      <c r="F407" s="1551"/>
      <c r="G407" s="8"/>
    </row>
    <row r="408" spans="1:7" ht="13.75" customHeight="1">
      <c r="A408" s="579"/>
      <c r="B408" s="579"/>
      <c r="C408" s="579"/>
      <c r="D408" s="1551"/>
      <c r="E408" s="1551"/>
      <c r="F408" s="1551"/>
      <c r="G408" s="8"/>
    </row>
    <row r="409" spans="1:7" ht="13.75" customHeight="1">
      <c r="A409" s="579"/>
      <c r="B409" s="579"/>
      <c r="C409" s="579"/>
      <c r="D409" s="1551"/>
      <c r="E409" s="1551"/>
      <c r="F409" s="1551"/>
      <c r="G409" s="8"/>
    </row>
    <row r="410" spans="1:7" ht="13.75" customHeight="1">
      <c r="A410" s="579"/>
      <c r="B410" s="579"/>
      <c r="C410" s="579"/>
      <c r="D410" s="1551"/>
      <c r="E410" s="1551"/>
      <c r="F410" s="1551"/>
      <c r="G410" s="8"/>
    </row>
    <row r="411" spans="1:7" ht="13.75" customHeight="1">
      <c r="A411" s="579"/>
      <c r="B411" s="579"/>
      <c r="C411" s="579"/>
      <c r="D411" s="1551"/>
      <c r="E411" s="1551"/>
      <c r="F411" s="1551"/>
      <c r="G411" s="8"/>
    </row>
    <row r="412" spans="1:7" ht="13.75" customHeight="1">
      <c r="A412" s="579"/>
      <c r="B412" s="579"/>
      <c r="C412" s="579"/>
      <c r="D412" s="1551"/>
      <c r="E412" s="1551"/>
      <c r="F412" s="1551"/>
      <c r="G412" s="8"/>
    </row>
    <row r="413" spans="1:7" ht="13.75" customHeight="1">
      <c r="A413" s="579"/>
      <c r="B413" s="579"/>
      <c r="C413" s="579"/>
      <c r="D413" s="1551"/>
      <c r="E413" s="1551"/>
      <c r="F413" s="1551"/>
      <c r="G413" s="8"/>
    </row>
    <row r="414" spans="1:7" ht="13.75" customHeight="1">
      <c r="A414" s="579"/>
      <c r="B414" s="579"/>
      <c r="C414" s="579"/>
      <c r="D414" s="1551"/>
      <c r="E414" s="1551"/>
      <c r="F414" s="1551"/>
      <c r="G414" s="8"/>
    </row>
    <row r="415" spans="1:7" ht="13.75" customHeight="1">
      <c r="A415" s="579"/>
      <c r="B415" s="579"/>
      <c r="C415" s="579"/>
      <c r="D415" s="1551"/>
      <c r="E415" s="1551"/>
      <c r="F415" s="1551"/>
      <c r="G415" s="8"/>
    </row>
    <row r="416" spans="1:7" ht="12.6">
      <c r="A416" s="579"/>
      <c r="B416" s="579"/>
      <c r="C416" s="579"/>
      <c r="D416" s="782"/>
      <c r="E416" s="8"/>
      <c r="F416" s="8"/>
      <c r="G416" s="8"/>
    </row>
    <row r="417" spans="1:7" ht="13.75" customHeight="1">
      <c r="A417" s="579"/>
      <c r="B417" s="924" t="s">
        <v>135</v>
      </c>
      <c r="C417" s="579"/>
      <c r="D417" s="1551" t="s">
        <v>1717</v>
      </c>
      <c r="E417" s="1551"/>
      <c r="F417" s="1551"/>
      <c r="G417" s="8"/>
    </row>
    <row r="418" spans="1:7" ht="12.6">
      <c r="A418" s="579"/>
      <c r="B418" s="579"/>
      <c r="C418" s="579"/>
      <c r="D418" s="1551"/>
      <c r="E418" s="1551"/>
      <c r="F418" s="1551"/>
      <c r="G418" s="8"/>
    </row>
    <row r="419" spans="1:7" ht="12.6">
      <c r="A419" s="579"/>
      <c r="B419" s="579"/>
      <c r="C419" s="579"/>
      <c r="D419" s="1302"/>
      <c r="E419" s="1302"/>
      <c r="F419" s="1302"/>
      <c r="G419" s="8"/>
    </row>
    <row r="420" spans="1:7" ht="12.6">
      <c r="A420" s="579"/>
      <c r="B420" s="1304" t="s">
        <v>135</v>
      </c>
      <c r="C420" s="579"/>
      <c r="D420" s="1556" t="s">
        <v>2073</v>
      </c>
      <c r="E420" s="1556"/>
      <c r="F420" s="1556"/>
      <c r="G420" s="8"/>
    </row>
    <row r="421" spans="1:7" ht="12.6">
      <c r="A421" s="579"/>
      <c r="B421" s="579"/>
      <c r="C421" s="579"/>
      <c r="D421" s="1556"/>
      <c r="E421" s="1556"/>
      <c r="F421" s="1556"/>
      <c r="G421" s="8"/>
    </row>
    <row r="422" spans="1:7" ht="12.6">
      <c r="A422" s="579"/>
      <c r="B422" s="579"/>
      <c r="C422" s="579"/>
      <c r="D422" s="1556"/>
      <c r="E422" s="1556"/>
      <c r="F422" s="1556"/>
      <c r="G422" s="8"/>
    </row>
    <row r="423" spans="1:7" ht="12.6">
      <c r="A423" s="579"/>
      <c r="B423" s="579"/>
      <c r="C423" s="579"/>
      <c r="D423" s="1556"/>
      <c r="E423" s="1556"/>
      <c r="F423" s="1556"/>
      <c r="G423" s="8"/>
    </row>
    <row r="424" spans="1:7" ht="12.6">
      <c r="A424" s="579"/>
      <c r="B424" s="579"/>
      <c r="C424" s="579"/>
      <c r="D424" s="1556"/>
      <c r="E424" s="1556"/>
      <c r="F424" s="1556"/>
      <c r="G424" s="8"/>
    </row>
    <row r="425" spans="1:7" ht="12.6">
      <c r="A425" s="579"/>
      <c r="B425" s="579"/>
      <c r="C425" s="579"/>
      <c r="D425" s="1556"/>
      <c r="E425" s="1556"/>
      <c r="F425" s="1556"/>
      <c r="G425" s="8"/>
    </row>
    <row r="426" spans="1:7" ht="14.5" customHeight="1">
      <c r="A426" s="413"/>
      <c r="B426" s="924" t="s">
        <v>135</v>
      </c>
      <c r="C426" s="579"/>
      <c r="D426" s="1556" t="s">
        <v>2051</v>
      </c>
      <c r="E426" s="1556"/>
      <c r="F426" s="1556"/>
      <c r="G426" s="8"/>
    </row>
    <row r="427" spans="1:7" ht="13.1">
      <c r="A427" s="783"/>
      <c r="B427" s="783"/>
      <c r="C427" s="579"/>
      <c r="D427" s="1556"/>
      <c r="E427" s="1556"/>
      <c r="F427" s="1556"/>
      <c r="G427" s="8"/>
    </row>
    <row r="428" spans="1:7" ht="13.1">
      <c r="A428" s="783"/>
      <c r="B428" s="783"/>
      <c r="C428" s="579"/>
      <c r="D428" s="1556"/>
      <c r="E428" s="1556"/>
      <c r="F428" s="1556"/>
      <c r="G428" s="8"/>
    </row>
    <row r="429" spans="1:7" ht="13.1">
      <c r="A429" s="783"/>
      <c r="B429" s="783"/>
      <c r="C429" s="579"/>
      <c r="D429" s="1556"/>
      <c r="E429" s="1556"/>
      <c r="F429" s="1556"/>
      <c r="G429" s="8"/>
    </row>
    <row r="430" spans="1:7" ht="14.25" customHeight="1">
      <c r="A430" s="783"/>
      <c r="B430" s="783"/>
      <c r="C430" s="579"/>
      <c r="D430" s="1557" t="s">
        <v>2069</v>
      </c>
      <c r="E430" s="1557"/>
      <c r="F430" s="1557"/>
      <c r="G430" s="8"/>
    </row>
    <row r="431" spans="1:7" ht="12.6">
      <c r="A431" s="140"/>
      <c r="B431" s="140"/>
      <c r="C431" s="140"/>
      <c r="D431" s="143"/>
      <c r="E431" s="8"/>
      <c r="F431" s="8"/>
      <c r="G431" s="8"/>
    </row>
    <row r="432" spans="1:7" ht="14.5" customHeight="1">
      <c r="A432" s="413"/>
      <c r="B432" s="924" t="s">
        <v>135</v>
      </c>
      <c r="C432" s="355"/>
      <c r="D432" s="1552" t="s">
        <v>1722</v>
      </c>
      <c r="E432" s="1552"/>
      <c r="F432" s="1552"/>
      <c r="G432" s="8"/>
    </row>
    <row r="433" spans="1:7" ht="13.1">
      <c r="A433" s="413"/>
      <c r="B433" s="413"/>
      <c r="C433" s="140"/>
      <c r="D433" s="1552"/>
      <c r="E433" s="1552"/>
      <c r="F433" s="1552"/>
      <c r="G433" s="8"/>
    </row>
    <row r="434" spans="1:7" ht="13.1">
      <c r="A434" s="413"/>
      <c r="B434" s="413"/>
      <c r="C434" s="966"/>
      <c r="D434" s="1552"/>
      <c r="E434" s="1552"/>
      <c r="F434" s="1552"/>
      <c r="G434" s="8"/>
    </row>
    <row r="435" spans="1:7" ht="13.1">
      <c r="A435" s="413"/>
      <c r="B435" s="413"/>
      <c r="C435" s="966"/>
      <c r="D435" s="1552"/>
      <c r="E435" s="1552"/>
      <c r="F435" s="1552"/>
      <c r="G435" s="8"/>
    </row>
    <row r="436" spans="1:7" ht="13.1">
      <c r="A436" s="413"/>
      <c r="B436" s="413"/>
      <c r="C436" s="966"/>
      <c r="D436" s="1552"/>
      <c r="E436" s="1552"/>
      <c r="F436" s="1552"/>
      <c r="G436" s="8"/>
    </row>
    <row r="437" spans="1:7" ht="13.1">
      <c r="A437" s="413"/>
      <c r="B437" s="413"/>
      <c r="C437" s="966"/>
      <c r="D437" s="1552"/>
      <c r="E437" s="1552"/>
      <c r="F437" s="1552"/>
      <c r="G437" s="8"/>
    </row>
    <row r="438" spans="1:7" ht="13.1">
      <c r="A438" s="413"/>
      <c r="B438" s="413"/>
      <c r="C438" s="966"/>
      <c r="D438" s="1552"/>
      <c r="E438" s="1552"/>
      <c r="F438" s="1552"/>
      <c r="G438" s="8"/>
    </row>
    <row r="439" spans="1:7" ht="13.1">
      <c r="A439" s="413"/>
      <c r="B439" s="413"/>
      <c r="C439" s="966"/>
      <c r="D439" s="1552"/>
      <c r="E439" s="1552"/>
      <c r="F439" s="1552"/>
      <c r="G439" s="8"/>
    </row>
    <row r="440" spans="1:7" ht="13.1">
      <c r="A440" s="413"/>
      <c r="B440" s="413"/>
      <c r="C440" s="966"/>
      <c r="D440" s="1552"/>
      <c r="E440" s="1552"/>
      <c r="F440" s="1552"/>
      <c r="G440" s="8"/>
    </row>
    <row r="441" spans="1:7" ht="13.1">
      <c r="A441" s="413"/>
      <c r="B441" s="413"/>
      <c r="C441" s="966"/>
      <c r="D441" s="1552"/>
      <c r="E441" s="1552"/>
      <c r="F441" s="1552"/>
      <c r="G441" s="8"/>
    </row>
    <row r="442" spans="1:7" ht="13.1">
      <c r="A442" s="413"/>
      <c r="B442" s="413"/>
      <c r="C442" s="966"/>
      <c r="D442" s="1552"/>
      <c r="E442" s="1552"/>
      <c r="F442" s="1552"/>
      <c r="G442" s="8"/>
    </row>
    <row r="443" spans="1:7" ht="13.1">
      <c r="A443" s="413"/>
      <c r="B443" s="413"/>
      <c r="C443" s="966"/>
      <c r="D443" s="1552"/>
      <c r="E443" s="1552"/>
      <c r="F443" s="1552"/>
      <c r="G443" s="8"/>
    </row>
    <row r="444" spans="1:7" ht="13.1">
      <c r="A444" s="413"/>
      <c r="B444" s="413"/>
      <c r="C444" s="966"/>
      <c r="D444" s="1552"/>
      <c r="E444" s="1552"/>
      <c r="F444" s="1552"/>
      <c r="G444" s="8"/>
    </row>
    <row r="445" spans="1:7" ht="13.1">
      <c r="A445" s="413"/>
      <c r="B445" s="413"/>
      <c r="C445" s="966"/>
      <c r="D445" s="1552"/>
      <c r="E445" s="1552"/>
      <c r="F445" s="1552"/>
      <c r="G445" s="8"/>
    </row>
    <row r="446" spans="1:7" ht="13.1">
      <c r="A446" s="413"/>
      <c r="B446" s="413"/>
      <c r="C446" s="966"/>
      <c r="D446" s="1552"/>
      <c r="E446" s="1552"/>
      <c r="F446" s="1552"/>
      <c r="G446" s="8"/>
    </row>
    <row r="447" spans="1:7" ht="13.1">
      <c r="A447" s="413"/>
      <c r="B447" s="413"/>
      <c r="C447" s="966"/>
      <c r="D447" s="1552"/>
      <c r="E447" s="1552"/>
      <c r="F447" s="1552"/>
      <c r="G447" s="8"/>
    </row>
    <row r="448" spans="1:7" ht="13.1">
      <c r="A448" s="413"/>
      <c r="B448" s="413"/>
      <c r="C448" s="966"/>
      <c r="D448" s="1552"/>
      <c r="E448" s="1552"/>
      <c r="F448" s="1552"/>
      <c r="G448" s="8"/>
    </row>
    <row r="449" spans="1:7" ht="13.1">
      <c r="A449" s="413"/>
      <c r="B449" s="413"/>
      <c r="C449" s="966"/>
      <c r="D449" s="1552"/>
      <c r="E449" s="1552"/>
      <c r="F449" s="1552"/>
      <c r="G449" s="8"/>
    </row>
    <row r="450" spans="1:7" ht="13.1">
      <c r="A450" s="413"/>
      <c r="B450" s="413"/>
      <c r="C450" s="966"/>
      <c r="D450" s="1552"/>
      <c r="E450" s="1552"/>
      <c r="F450" s="1552"/>
      <c r="G450" s="8"/>
    </row>
    <row r="451" spans="1:7" ht="13.1">
      <c r="A451" s="413"/>
      <c r="B451" s="413"/>
      <c r="C451" s="966"/>
      <c r="D451" s="1552"/>
      <c r="E451" s="1552"/>
      <c r="F451" s="1552"/>
      <c r="G451" s="8"/>
    </row>
    <row r="452" spans="1:7" ht="13.1">
      <c r="A452" s="413"/>
      <c r="B452" s="413"/>
      <c r="C452" s="966"/>
      <c r="D452" s="1552"/>
      <c r="E452" s="1552"/>
      <c r="F452" s="1552"/>
      <c r="G452" s="8"/>
    </row>
    <row r="453" spans="1:7" ht="13.1">
      <c r="A453" s="413"/>
      <c r="B453" s="413"/>
      <c r="C453" s="966"/>
      <c r="D453" s="1552"/>
      <c r="E453" s="1552"/>
      <c r="F453" s="1552"/>
      <c r="G453" s="8"/>
    </row>
    <row r="454" spans="1:7" ht="13.1">
      <c r="A454" s="413"/>
      <c r="B454" s="413"/>
      <c r="C454" s="966"/>
      <c r="D454" s="1552"/>
      <c r="E454" s="1552"/>
      <c r="F454" s="1552"/>
      <c r="G454" s="8"/>
    </row>
    <row r="455" spans="1:7" ht="13.1">
      <c r="A455" s="413"/>
      <c r="B455" s="413"/>
      <c r="C455" s="966"/>
      <c r="D455" s="1552"/>
      <c r="E455" s="1552"/>
      <c r="F455" s="1552"/>
      <c r="G455" s="8"/>
    </row>
    <row r="456" spans="1:7" ht="13.1">
      <c r="A456" s="413"/>
      <c r="B456" s="413"/>
      <c r="C456" s="966"/>
      <c r="D456" s="1552"/>
      <c r="E456" s="1552"/>
      <c r="F456" s="1552"/>
      <c r="G456" s="8"/>
    </row>
    <row r="457" spans="1:7" ht="13.1">
      <c r="A457" s="413"/>
      <c r="B457" s="413"/>
      <c r="C457" s="966"/>
      <c r="D457" s="1552"/>
      <c r="E457" s="1552"/>
      <c r="F457" s="1552"/>
      <c r="G457" s="8"/>
    </row>
    <row r="458" spans="1:7" ht="13.1">
      <c r="A458" s="413"/>
      <c r="B458" s="413"/>
      <c r="C458" s="966"/>
      <c r="D458" s="1552"/>
      <c r="E458" s="1552"/>
      <c r="F458" s="1552"/>
      <c r="G458" s="8"/>
    </row>
    <row r="459" spans="1:7" ht="13.1">
      <c r="A459" s="413"/>
      <c r="B459" s="413"/>
      <c r="C459" s="966"/>
      <c r="D459" s="1552"/>
      <c r="E459" s="1552"/>
      <c r="F459" s="1552"/>
      <c r="G459" s="8"/>
    </row>
    <row r="460" spans="1:7" ht="13.1">
      <c r="A460" s="413"/>
      <c r="B460" s="413"/>
      <c r="C460" s="966"/>
      <c r="D460" s="1552"/>
      <c r="E460" s="1552"/>
      <c r="F460" s="1552"/>
      <c r="G460" s="8"/>
    </row>
    <row r="461" spans="1:7" ht="13.1">
      <c r="A461" s="413"/>
      <c r="B461" s="413"/>
      <c r="C461" s="966"/>
      <c r="D461" s="1552"/>
      <c r="E461" s="1552"/>
      <c r="F461" s="1552"/>
      <c r="G461" s="8"/>
    </row>
    <row r="462" spans="1:7" ht="12.6" hidden="1">
      <c r="A462" s="140"/>
      <c r="B462" s="140"/>
      <c r="C462" s="140"/>
      <c r="D462" s="1552"/>
      <c r="E462" s="1552"/>
      <c r="F462" s="1552"/>
      <c r="G462" s="8"/>
    </row>
    <row r="463" spans="1:7" ht="12.6" hidden="1">
      <c r="A463" s="140"/>
      <c r="B463" s="140"/>
      <c r="C463" s="140"/>
      <c r="D463" s="143"/>
      <c r="E463" s="40"/>
      <c r="F463" s="40"/>
      <c r="G463" s="40"/>
    </row>
    <row r="464" spans="1:7" ht="13.1">
      <c r="A464" s="413"/>
      <c r="B464" s="924" t="s">
        <v>135</v>
      </c>
      <c r="C464" s="355"/>
      <c r="D464" s="1553" t="s">
        <v>2314</v>
      </c>
      <c r="E464" s="1554"/>
      <c r="F464" s="1554"/>
      <c r="G464" s="8"/>
    </row>
    <row r="465" spans="1:7" ht="13.1">
      <c r="A465" s="140"/>
      <c r="B465" s="140"/>
      <c r="C465" s="140"/>
      <c r="D465" s="2"/>
      <c r="E465" s="1507" t="s">
        <v>2313</v>
      </c>
      <c r="F465" s="1507"/>
      <c r="G465" s="8"/>
    </row>
    <row r="466" spans="1:7" ht="13.75" customHeight="1">
      <c r="A466" s="140"/>
      <c r="B466" s="140"/>
      <c r="C466" s="140"/>
      <c r="D466" s="1555" t="s">
        <v>2048</v>
      </c>
      <c r="E466" s="1550"/>
      <c r="F466" s="1550"/>
      <c r="G466" s="8"/>
    </row>
    <row r="467" spans="1:7" ht="13.75" customHeight="1">
      <c r="A467" s="966"/>
      <c r="B467" s="966"/>
      <c r="C467" s="966"/>
      <c r="D467" s="1550"/>
      <c r="E467" s="1550"/>
      <c r="F467" s="1550"/>
      <c r="G467" s="8"/>
    </row>
    <row r="468" spans="1:7" ht="12.6">
      <c r="A468" s="140"/>
      <c r="B468" s="140"/>
      <c r="C468" s="140"/>
      <c r="D468" s="143"/>
      <c r="E468" s="8"/>
      <c r="F468" s="8"/>
      <c r="G468" s="8"/>
    </row>
    <row r="469" spans="1:7" ht="14.5" customHeight="1">
      <c r="A469" s="413"/>
      <c r="B469" s="924" t="s">
        <v>135</v>
      </c>
      <c r="C469" s="355"/>
      <c r="D469" s="1552" t="s">
        <v>1723</v>
      </c>
      <c r="E469" s="1552"/>
      <c r="F469" s="1552"/>
      <c r="G469" s="8"/>
    </row>
    <row r="470" spans="1:7" ht="12.6">
      <c r="A470" s="140"/>
      <c r="B470" s="140"/>
      <c r="C470" s="140"/>
      <c r="D470" s="1552"/>
      <c r="E470" s="1552"/>
      <c r="F470" s="1552"/>
      <c r="G470" s="8"/>
    </row>
    <row r="471" spans="1:7" ht="12.6">
      <c r="A471" s="140"/>
      <c r="B471" s="140"/>
      <c r="C471" s="140"/>
      <c r="D471" s="1552"/>
      <c r="E471" s="1552"/>
      <c r="F471" s="1552"/>
      <c r="G471" s="8"/>
    </row>
    <row r="472" spans="1:7" ht="12.6">
      <c r="A472" s="966"/>
      <c r="B472" s="966"/>
      <c r="C472" s="966"/>
      <c r="D472" s="964"/>
      <c r="E472" s="964"/>
      <c r="F472" s="964"/>
      <c r="G472" s="8"/>
    </row>
    <row r="473" spans="1:7" ht="13.1">
      <c r="A473" s="140"/>
      <c r="B473" s="924" t="s">
        <v>135</v>
      </c>
      <c r="C473" s="413"/>
      <c r="D473" s="1555" t="s">
        <v>1881</v>
      </c>
      <c r="E473" s="1550"/>
      <c r="F473" s="1550"/>
      <c r="G473" s="8"/>
    </row>
    <row r="474" spans="1:7" ht="12.6">
      <c r="A474" s="140"/>
      <c r="B474" s="140"/>
      <c r="C474" s="140"/>
      <c r="D474" s="1550"/>
      <c r="E474" s="1550"/>
      <c r="F474" s="1550"/>
      <c r="G474" s="8"/>
    </row>
    <row r="475" spans="1:7" ht="12.6">
      <c r="A475" s="140"/>
      <c r="B475" s="140"/>
      <c r="C475" s="140"/>
      <c r="D475" s="143"/>
      <c r="E475" s="679"/>
      <c r="F475" s="8"/>
      <c r="G475" s="8"/>
    </row>
    <row r="476" spans="1:7" ht="13.1">
      <c r="A476" s="140"/>
      <c r="B476" s="924" t="s">
        <v>135</v>
      </c>
      <c r="C476" s="413"/>
      <c r="D476" s="1550" t="s">
        <v>1724</v>
      </c>
      <c r="E476" s="1550"/>
      <c r="F476" s="1550"/>
      <c r="G476" s="8"/>
    </row>
    <row r="477" spans="1:7" ht="12.6">
      <c r="A477" s="140"/>
      <c r="B477" s="140"/>
      <c r="C477" s="140"/>
      <c r="D477" s="1550"/>
      <c r="E477" s="1550"/>
      <c r="F477" s="1550"/>
      <c r="G477" s="8"/>
    </row>
    <row r="478" spans="1:7" ht="12.6">
      <c r="A478" s="140"/>
      <c r="B478" s="140"/>
      <c r="C478" s="140"/>
      <c r="D478" s="1550"/>
      <c r="E478" s="1550"/>
      <c r="F478" s="1550"/>
      <c r="G478" s="8"/>
    </row>
    <row r="479" spans="1:7" ht="12.6">
      <c r="A479" s="966"/>
      <c r="B479" s="966"/>
      <c r="C479" s="966"/>
      <c r="D479" s="1550"/>
      <c r="E479" s="1550"/>
      <c r="F479" s="1550"/>
      <c r="G479" s="8"/>
    </row>
    <row r="480" spans="1:7" ht="12.6">
      <c r="A480" s="966"/>
      <c r="B480" s="924" t="s">
        <v>135</v>
      </c>
      <c r="C480" s="966"/>
      <c r="D480" s="1550"/>
      <c r="E480" s="1550"/>
      <c r="F480" s="1550"/>
      <c r="G480" s="8"/>
    </row>
    <row r="481" spans="1:7" ht="12.6">
      <c r="A481" s="966"/>
      <c r="B481" s="966"/>
      <c r="C481" s="966"/>
      <c r="D481" s="1550"/>
      <c r="E481" s="1550"/>
      <c r="F481" s="1550"/>
      <c r="G481" s="8"/>
    </row>
    <row r="482" spans="1:7" ht="12.6">
      <c r="A482" s="966"/>
      <c r="B482" s="966"/>
      <c r="C482" s="966"/>
      <c r="D482" s="1550"/>
      <c r="E482" s="1550"/>
      <c r="F482" s="1550"/>
      <c r="G482" s="8"/>
    </row>
    <row r="483" spans="1:7" ht="12.6">
      <c r="A483" s="966"/>
      <c r="B483" s="924" t="s">
        <v>135</v>
      </c>
      <c r="C483" s="966"/>
      <c r="D483" s="1550"/>
      <c r="E483" s="1550"/>
      <c r="F483" s="1550"/>
      <c r="G483" s="8"/>
    </row>
    <row r="484" spans="1:7" ht="12.6">
      <c r="A484" s="966"/>
      <c r="B484" s="966"/>
      <c r="C484" s="966"/>
      <c r="D484" s="1550"/>
      <c r="E484" s="1550"/>
      <c r="F484" s="1550"/>
      <c r="G484" s="8"/>
    </row>
    <row r="485" spans="1:7" ht="12.6">
      <c r="A485" s="966"/>
      <c r="B485" s="966"/>
      <c r="C485" s="966"/>
      <c r="D485" s="1550"/>
      <c r="E485" s="1550"/>
      <c r="F485" s="1550"/>
      <c r="G485" s="8"/>
    </row>
    <row r="486" spans="1:7" ht="12.6">
      <c r="A486" s="966"/>
      <c r="B486" s="966"/>
      <c r="C486" s="966"/>
      <c r="D486" s="1550"/>
      <c r="E486" s="1550"/>
      <c r="F486" s="1550"/>
      <c r="G486" s="8"/>
    </row>
    <row r="487" spans="1:7" ht="12.6">
      <c r="A487" s="966"/>
      <c r="B487" s="924" t="s">
        <v>135</v>
      </c>
      <c r="C487" s="966"/>
      <c r="D487" s="1550"/>
      <c r="E487" s="1550"/>
      <c r="F487" s="1550"/>
      <c r="G487" s="8"/>
    </row>
    <row r="488" spans="1:7" ht="12.6">
      <c r="A488" s="966"/>
      <c r="B488" s="966"/>
      <c r="C488" s="966"/>
      <c r="D488" s="1550"/>
      <c r="E488" s="1550"/>
      <c r="F488" s="1550"/>
      <c r="G488" s="8"/>
    </row>
    <row r="489" spans="1:7" ht="12.6">
      <c r="A489" s="966"/>
      <c r="B489" s="924" t="s">
        <v>135</v>
      </c>
      <c r="C489" s="966"/>
      <c r="D489" s="1550"/>
      <c r="E489" s="1550"/>
      <c r="F489" s="1550"/>
      <c r="G489" s="8"/>
    </row>
    <row r="490" spans="1:7" ht="12.6">
      <c r="A490" s="966"/>
      <c r="B490" s="14"/>
      <c r="C490" s="966"/>
      <c r="D490" s="1550"/>
      <c r="E490" s="1550"/>
      <c r="F490" s="1550"/>
      <c r="G490" s="8"/>
    </row>
    <row r="491" spans="1:7" ht="13.75" customHeight="1">
      <c r="A491" s="140"/>
      <c r="B491" s="967" t="s">
        <v>135</v>
      </c>
      <c r="C491" s="140"/>
      <c r="D491" s="1550" t="s">
        <v>1725</v>
      </c>
      <c r="E491" s="1550"/>
      <c r="F491" s="1550"/>
      <c r="G491" s="8"/>
    </row>
    <row r="492" spans="1:7" ht="12.6">
      <c r="A492" s="140"/>
      <c r="B492" s="140"/>
      <c r="C492" s="140"/>
      <c r="D492" s="1550"/>
      <c r="E492" s="1550"/>
      <c r="F492" s="1550"/>
      <c r="G492" s="8"/>
    </row>
    <row r="493" spans="1:7" ht="12.6">
      <c r="A493" s="140"/>
      <c r="B493" s="140"/>
      <c r="C493" s="140"/>
      <c r="D493" s="1550"/>
      <c r="E493" s="1550"/>
      <c r="F493" s="1550"/>
      <c r="G493" s="8"/>
    </row>
    <row r="494" spans="1:7" ht="12.6">
      <c r="A494" s="140"/>
      <c r="B494" s="140"/>
      <c r="C494" s="140"/>
      <c r="D494" s="1550"/>
      <c r="E494" s="1550"/>
      <c r="F494" s="1550"/>
      <c r="G494" s="8"/>
    </row>
    <row r="495" spans="1:7" ht="12.6">
      <c r="A495" s="140"/>
      <c r="B495" s="140"/>
      <c r="C495" s="140"/>
      <c r="D495" s="1550"/>
      <c r="E495" s="1550"/>
      <c r="F495" s="1550"/>
      <c r="G495" s="8"/>
    </row>
    <row r="496" spans="1:7" ht="12.6">
      <c r="A496" s="140"/>
      <c r="B496" s="140"/>
      <c r="C496" s="140"/>
      <c r="D496" s="143"/>
      <c r="E496" s="8"/>
      <c r="F496" s="8"/>
      <c r="G496" s="8"/>
    </row>
    <row r="497" spans="1:7" ht="12.6">
      <c r="A497" s="140"/>
      <c r="B497" s="924" t="s">
        <v>135</v>
      </c>
      <c r="C497" s="140"/>
      <c r="D497" s="1565" t="s">
        <v>1543</v>
      </c>
      <c r="E497" s="1565"/>
      <c r="F497" s="1565"/>
      <c r="G497" s="8"/>
    </row>
    <row r="498" spans="1:7" ht="12.6">
      <c r="A498" s="143"/>
      <c r="B498" s="143"/>
      <c r="C498" s="14"/>
      <c r="D498" s="282"/>
      <c r="E498" s="282"/>
      <c r="F498" s="282"/>
    </row>
    <row r="499" spans="1:7" ht="13.1">
      <c r="A499" s="1560" t="s">
        <v>1500</v>
      </c>
      <c r="B499" s="1560"/>
      <c r="C499" s="1560"/>
      <c r="D499" s="1560"/>
      <c r="E499" s="1560"/>
      <c r="F499" s="1560"/>
      <c r="G499" s="1560"/>
    </row>
    <row r="500" spans="1:7" ht="12.6">
      <c r="A500" s="143"/>
      <c r="B500" s="143"/>
      <c r="C500" s="14"/>
      <c r="D500" s="282"/>
      <c r="E500" s="282"/>
      <c r="F500" s="282"/>
    </row>
    <row r="501" spans="1:7" ht="13.1">
      <c r="A501" s="140"/>
      <c r="B501" s="140"/>
      <c r="C501" s="14"/>
      <c r="D501" s="1566" t="s">
        <v>1208</v>
      </c>
      <c r="E501" s="1566"/>
      <c r="F501" s="1566"/>
    </row>
    <row r="502" spans="1:7" ht="12.6">
      <c r="D502" s="1567" t="s">
        <v>1536</v>
      </c>
      <c r="E502" s="1567"/>
      <c r="F502" s="1567"/>
    </row>
    <row r="503" spans="1:7" ht="13.1">
      <c r="A503" s="413"/>
      <c r="B503" s="413"/>
      <c r="C503" s="14"/>
      <c r="D503" s="645"/>
      <c r="E503" s="282"/>
      <c r="F503" s="282"/>
    </row>
    <row r="504" spans="1:7" ht="13.1">
      <c r="A504" s="413"/>
      <c r="B504" s="924" t="s">
        <v>135</v>
      </c>
      <c r="C504" s="14"/>
      <c r="D504" s="1568" t="s">
        <v>1726</v>
      </c>
      <c r="E504" s="1568"/>
      <c r="F504" s="1568"/>
    </row>
    <row r="505" spans="1:7" ht="13.1">
      <c r="A505" s="413"/>
      <c r="B505" s="413"/>
      <c r="C505" s="14"/>
      <c r="D505" s="1568"/>
      <c r="E505" s="1568"/>
      <c r="F505" s="1568"/>
    </row>
    <row r="506" spans="1:7" ht="13.1">
      <c r="A506" s="413"/>
      <c r="B506" s="413"/>
      <c r="C506" s="14"/>
      <c r="D506" s="287"/>
      <c r="E506" s="282"/>
      <c r="F506" s="282"/>
    </row>
    <row r="507" spans="1:7" ht="13.1">
      <c r="A507" s="552"/>
      <c r="B507" s="924" t="s">
        <v>135</v>
      </c>
      <c r="D507" s="1569" t="s">
        <v>2070</v>
      </c>
      <c r="E507" s="1570"/>
      <c r="F507" s="1570"/>
    </row>
    <row r="508" spans="1:7" ht="13.1">
      <c r="A508" s="552"/>
      <c r="B508" s="552"/>
      <c r="D508" s="1570"/>
      <c r="E508" s="1570"/>
      <c r="F508" s="1570"/>
    </row>
    <row r="509" spans="1:7" ht="13.1">
      <c r="A509" s="552"/>
      <c r="B509" s="552"/>
      <c r="D509" s="1570"/>
      <c r="E509" s="1570"/>
      <c r="F509" s="1570"/>
      <c r="G509" s="2"/>
    </row>
    <row r="510" spans="1:7" ht="13.1">
      <c r="A510" s="552"/>
      <c r="B510" s="552"/>
      <c r="D510" s="1570"/>
      <c r="E510" s="1570"/>
      <c r="F510" s="1570"/>
      <c r="G510" s="2"/>
    </row>
    <row r="511" spans="1:7" ht="12.6">
      <c r="A511" s="150"/>
      <c r="B511" s="150"/>
      <c r="G511" s="2"/>
    </row>
    <row r="512" spans="1:7" ht="13.1">
      <c r="A512" s="413"/>
      <c r="B512" s="924" t="s">
        <v>135</v>
      </c>
      <c r="C512" s="14"/>
      <c r="D512" s="1554" t="s">
        <v>1728</v>
      </c>
      <c r="E512" s="1554"/>
      <c r="F512" s="1554"/>
      <c r="G512" s="2"/>
    </row>
    <row r="513" spans="1:7" ht="12.6">
      <c r="A513" s="140"/>
      <c r="B513" s="140"/>
      <c r="C513" s="14"/>
      <c r="D513" s="287"/>
      <c r="E513" s="282"/>
      <c r="F513" s="282"/>
      <c r="G513" s="2"/>
    </row>
    <row r="514" spans="1:7" ht="13.1">
      <c r="A514" s="413"/>
      <c r="B514" s="924" t="s">
        <v>135</v>
      </c>
      <c r="C514" s="14"/>
      <c r="D514" s="1552" t="s">
        <v>1729</v>
      </c>
      <c r="E514" s="1552"/>
      <c r="F514" s="1552"/>
      <c r="G514" s="2"/>
    </row>
    <row r="515" spans="1:7" ht="12.6">
      <c r="A515" s="140"/>
      <c r="B515" s="140"/>
      <c r="C515" s="14"/>
      <c r="D515" s="1552"/>
      <c r="E515" s="1552"/>
      <c r="F515" s="1552"/>
      <c r="G515" s="2"/>
    </row>
    <row r="516" spans="1:7" ht="12.6">
      <c r="A516" s="140"/>
      <c r="B516" s="140"/>
      <c r="C516" s="14"/>
      <c r="D516" s="680"/>
      <c r="E516" s="282"/>
      <c r="F516" s="282"/>
      <c r="G516" s="2"/>
    </row>
    <row r="517" spans="1:7" ht="13.1">
      <c r="A517" s="413"/>
      <c r="B517" s="924" t="s">
        <v>135</v>
      </c>
      <c r="C517" s="14"/>
      <c r="D517" s="1554" t="s">
        <v>1727</v>
      </c>
      <c r="E517" s="1554"/>
      <c r="F517" s="1554"/>
    </row>
    <row r="518" spans="1:7" ht="13.1">
      <c r="A518" s="413"/>
      <c r="B518" s="413"/>
      <c r="C518" s="14"/>
      <c r="D518" s="287"/>
      <c r="E518" s="282"/>
      <c r="F518" s="282"/>
    </row>
    <row r="519" spans="1:7" ht="13.1">
      <c r="A519" s="1560" t="s">
        <v>1501</v>
      </c>
      <c r="B519" s="1560"/>
      <c r="C519" s="1560"/>
      <c r="D519" s="1560"/>
      <c r="E519" s="1560"/>
      <c r="F519" s="1560"/>
      <c r="G519" s="1560"/>
    </row>
    <row r="520" spans="1:7" ht="12" customHeight="1">
      <c r="A520" s="413"/>
      <c r="B520" s="413"/>
      <c r="C520" s="14"/>
      <c r="D520" s="287"/>
      <c r="E520" s="282"/>
      <c r="F520" s="282"/>
    </row>
    <row r="521" spans="1:7" ht="13.1">
      <c r="A521" s="150"/>
      <c r="B521" s="924" t="s">
        <v>1498</v>
      </c>
      <c r="C521" s="406"/>
      <c r="D521" s="1609" t="s">
        <v>1663</v>
      </c>
      <c r="E521" s="1609"/>
      <c r="F521" s="1609"/>
    </row>
    <row r="522" spans="1:7" ht="13.1">
      <c r="A522" s="150"/>
      <c r="C522" s="406"/>
      <c r="D522" s="1609"/>
      <c r="E522" s="1609"/>
      <c r="F522" s="1609"/>
    </row>
    <row r="523" spans="1:7" ht="13.1">
      <c r="A523" s="555"/>
      <c r="B523" s="555"/>
      <c r="C523" s="553"/>
      <c r="D523" s="1609"/>
      <c r="E523" s="1609"/>
      <c r="F523" s="1609"/>
    </row>
    <row r="524" spans="1:7" ht="13.1">
      <c r="A524" s="555"/>
      <c r="B524" s="555"/>
      <c r="C524" s="553"/>
      <c r="D524" s="1609"/>
      <c r="E524" s="1609"/>
      <c r="F524" s="1609"/>
    </row>
    <row r="525" spans="1:7" ht="13.1">
      <c r="A525" s="555"/>
      <c r="B525" s="555"/>
      <c r="C525" s="553"/>
    </row>
    <row r="526" spans="1:7" ht="13.1">
      <c r="A526" s="413"/>
      <c r="B526" s="924" t="s">
        <v>135</v>
      </c>
      <c r="C526" s="322"/>
      <c r="D526" s="1585" t="s">
        <v>1677</v>
      </c>
      <c r="E526" s="1585"/>
      <c r="F526" s="1585"/>
      <c r="G526" s="2"/>
    </row>
    <row r="527" spans="1:7" ht="12.6">
      <c r="A527" s="355"/>
      <c r="B527" s="355"/>
      <c r="C527" s="322"/>
      <c r="D527" s="1585"/>
      <c r="E527" s="1585"/>
      <c r="F527" s="1585"/>
      <c r="G527" s="2"/>
    </row>
    <row r="528" spans="1:7" ht="13.1">
      <c r="A528" s="555"/>
      <c r="B528" s="555"/>
      <c r="C528" s="553"/>
      <c r="D528" s="403"/>
      <c r="G528" s="2"/>
    </row>
    <row r="529" spans="1:7" ht="13.1">
      <c r="A529" s="555"/>
      <c r="B529" s="924" t="s">
        <v>135</v>
      </c>
      <c r="C529" s="553"/>
      <c r="D529" s="1508" t="s">
        <v>2315</v>
      </c>
      <c r="E529" s="1509"/>
      <c r="G529" s="2"/>
    </row>
    <row r="530" spans="1:7" ht="13.1">
      <c r="A530" s="555"/>
      <c r="B530" s="555"/>
      <c r="C530" s="553"/>
      <c r="D530" s="1509"/>
      <c r="E530" s="930" t="s">
        <v>2316</v>
      </c>
      <c r="G530" s="2"/>
    </row>
    <row r="531" spans="1:7" ht="13.1">
      <c r="A531" s="552"/>
      <c r="B531" s="2"/>
      <c r="D531" s="1610" t="s">
        <v>1655</v>
      </c>
      <c r="E531" s="1610"/>
      <c r="F531" s="1610"/>
      <c r="G531" s="2"/>
    </row>
    <row r="532" spans="1:7" ht="13.1">
      <c r="A532" s="552"/>
      <c r="B532" s="552"/>
      <c r="D532" s="1610"/>
      <c r="E532" s="1610"/>
      <c r="F532" s="1610"/>
      <c r="G532" s="2"/>
    </row>
    <row r="533" spans="1:7" ht="12.6">
      <c r="A533" s="150"/>
      <c r="B533" s="150"/>
      <c r="D533" s="1610"/>
      <c r="E533" s="1610"/>
      <c r="F533" s="1610"/>
    </row>
    <row r="534" spans="1:7" ht="12" customHeight="1">
      <c r="A534" s="679"/>
      <c r="B534" s="679"/>
      <c r="C534" s="405"/>
      <c r="E534" s="403"/>
    </row>
    <row r="535" spans="1:7" ht="13.1">
      <c r="A535" s="1560" t="s">
        <v>1513</v>
      </c>
      <c r="B535" s="1560"/>
      <c r="C535" s="1560"/>
      <c r="D535" s="1560"/>
      <c r="E535" s="1560"/>
      <c r="F535" s="1560"/>
      <c r="G535" s="1560"/>
    </row>
    <row r="536" spans="1:7" ht="12" customHeight="1">
      <c r="A536" s="143"/>
      <c r="B536" s="143"/>
      <c r="C536" s="322"/>
      <c r="D536" s="282"/>
      <c r="E536" s="287"/>
      <c r="F536" s="282"/>
    </row>
    <row r="537" spans="1:7" ht="13.1">
      <c r="A537" s="140"/>
      <c r="B537" s="140"/>
      <c r="C537" s="322"/>
      <c r="D537" s="1561" t="s">
        <v>1544</v>
      </c>
      <c r="E537" s="1561"/>
      <c r="F537" s="1561"/>
    </row>
    <row r="538" spans="1:7" ht="12.6">
      <c r="A538" s="140"/>
      <c r="B538" s="140"/>
      <c r="C538" s="14"/>
      <c r="D538" s="282"/>
      <c r="E538" s="282"/>
      <c r="F538" s="282"/>
    </row>
    <row r="539" spans="1:7" ht="12.6">
      <c r="A539" s="140"/>
      <c r="B539" s="924" t="s">
        <v>135</v>
      </c>
      <c r="C539" s="14"/>
      <c r="D539" s="1552" t="s">
        <v>1695</v>
      </c>
      <c r="E539" s="1552"/>
      <c r="F539" s="1552"/>
    </row>
    <row r="540" spans="1:7" ht="12.6">
      <c r="A540" s="140"/>
      <c r="B540" s="140"/>
      <c r="C540" s="14"/>
      <c r="D540" s="1552"/>
      <c r="E540" s="1552"/>
      <c r="F540" s="1552"/>
    </row>
    <row r="541" spans="1:7" ht="12" customHeight="1">
      <c r="A541" s="355"/>
      <c r="B541" s="355"/>
      <c r="C541" s="322"/>
      <c r="D541" s="287"/>
      <c r="E541" s="282"/>
      <c r="F541" s="282"/>
    </row>
    <row r="542" spans="1:7" ht="13.1">
      <c r="A542" s="413"/>
      <c r="B542" s="924" t="s">
        <v>135</v>
      </c>
      <c r="C542" s="322"/>
      <c r="D542" s="1552" t="s">
        <v>1696</v>
      </c>
      <c r="E542" s="1552"/>
      <c r="F542" s="1552"/>
    </row>
    <row r="543" spans="1:7" ht="12.6">
      <c r="A543" s="355"/>
      <c r="B543" s="355"/>
      <c r="C543" s="322"/>
      <c r="D543" s="1552"/>
      <c r="E543" s="1552"/>
      <c r="F543" s="1552"/>
    </row>
    <row r="544" spans="1:7" ht="12" customHeight="1">
      <c r="A544" s="355"/>
      <c r="B544" s="355"/>
      <c r="C544" s="322"/>
      <c r="D544" s="287"/>
      <c r="E544" s="282"/>
      <c r="F544" s="282"/>
    </row>
    <row r="545" spans="1:7" ht="13.1">
      <c r="A545" s="1601" t="s">
        <v>1553</v>
      </c>
      <c r="B545" s="1601"/>
      <c r="C545" s="1601"/>
      <c r="D545" s="1601"/>
      <c r="E545" s="1601"/>
      <c r="F545" s="1601"/>
      <c r="G545" s="1601"/>
    </row>
    <row r="546" spans="1:7" ht="12" customHeight="1">
      <c r="A546" s="143"/>
      <c r="B546" s="143"/>
      <c r="C546" s="322"/>
      <c r="D546" s="287"/>
      <c r="E546" s="282"/>
      <c r="F546" s="282"/>
    </row>
    <row r="547" spans="1:7" ht="13.1">
      <c r="A547" s="140"/>
      <c r="B547" s="140"/>
      <c r="C547" s="322"/>
      <c r="D547" s="1561" t="s">
        <v>180</v>
      </c>
      <c r="E547" s="1561"/>
      <c r="F547" s="1561"/>
    </row>
    <row r="548" spans="1:7" ht="12.6">
      <c r="A548" s="140"/>
      <c r="B548" s="140"/>
      <c r="C548" s="322"/>
      <c r="D548" s="1554" t="s">
        <v>1673</v>
      </c>
      <c r="E548" s="1554"/>
      <c r="F548" s="1554"/>
    </row>
    <row r="549" spans="1:7" ht="12.6">
      <c r="A549" s="140"/>
      <c r="B549" s="140"/>
      <c r="C549" s="322"/>
      <c r="D549" s="287"/>
      <c r="E549" s="287"/>
      <c r="F549" s="287"/>
    </row>
    <row r="550" spans="1:7" ht="13.1">
      <c r="A550" s="413"/>
      <c r="B550" s="924" t="s">
        <v>1498</v>
      </c>
      <c r="C550" s="322"/>
      <c r="D550" s="1554" t="s">
        <v>1201</v>
      </c>
      <c r="E550" s="1554"/>
      <c r="F550" s="1554"/>
    </row>
    <row r="551" spans="1:7" ht="12" customHeight="1">
      <c r="A551" s="355"/>
      <c r="B551" s="355"/>
      <c r="C551" s="322"/>
      <c r="D551" s="287"/>
      <c r="E551" s="2"/>
      <c r="F551" s="2"/>
      <c r="G551" s="2"/>
    </row>
    <row r="552" spans="1:7" ht="14.5" customHeight="1">
      <c r="A552" s="413"/>
      <c r="B552" s="924" t="s">
        <v>1498</v>
      </c>
      <c r="C552" s="322"/>
      <c r="D552" s="1552" t="s">
        <v>1672</v>
      </c>
      <c r="E552" s="1552"/>
      <c r="F552" s="1552"/>
      <c r="G552" s="2"/>
    </row>
    <row r="553" spans="1:7" ht="12.6">
      <c r="A553" s="355"/>
      <c r="B553" s="355"/>
      <c r="C553" s="322"/>
      <c r="D553" s="1552"/>
      <c r="E553" s="1552"/>
      <c r="F553" s="1552"/>
      <c r="G553" s="2"/>
    </row>
    <row r="554" spans="1:7" ht="12" customHeight="1">
      <c r="A554" s="355"/>
      <c r="B554" s="355"/>
      <c r="C554" s="322"/>
      <c r="D554" s="287"/>
      <c r="E554" s="2"/>
      <c r="F554" s="2"/>
      <c r="G554" s="2"/>
    </row>
    <row r="555" spans="1:7" ht="13.1">
      <c r="A555" s="413"/>
      <c r="B555" s="924" t="s">
        <v>1498</v>
      </c>
      <c r="C555" s="322"/>
      <c r="D555" s="1552" t="s">
        <v>1674</v>
      </c>
      <c r="E555" s="1552"/>
      <c r="F555" s="1552"/>
      <c r="G555" s="2"/>
    </row>
    <row r="556" spans="1:7" ht="12.6">
      <c r="A556" s="355"/>
      <c r="B556" s="355"/>
      <c r="C556" s="322"/>
      <c r="D556" s="1552"/>
      <c r="E556" s="1552"/>
      <c r="F556" s="1552"/>
      <c r="G556" s="2"/>
    </row>
    <row r="557" spans="1:7" ht="12" customHeight="1">
      <c r="A557" s="355"/>
      <c r="B557" s="355"/>
      <c r="C557" s="322"/>
      <c r="D557" s="287"/>
      <c r="E557" s="2"/>
      <c r="F557" s="2"/>
      <c r="G557" s="2"/>
    </row>
    <row r="558" spans="1:7" ht="13.1">
      <c r="A558" s="413"/>
      <c r="B558" s="924" t="s">
        <v>1498</v>
      </c>
      <c r="C558" s="322"/>
      <c r="D558" s="1552" t="s">
        <v>1675</v>
      </c>
      <c r="E558" s="1552"/>
      <c r="F558" s="1552"/>
      <c r="G558" s="2"/>
    </row>
    <row r="559" spans="1:7" ht="12.6">
      <c r="A559" s="355"/>
      <c r="B559" s="355"/>
      <c r="C559" s="322"/>
      <c r="D559" s="1552"/>
      <c r="E559" s="1552"/>
      <c r="F559" s="1552"/>
      <c r="G559" s="2"/>
    </row>
    <row r="560" spans="1:7" ht="12" customHeight="1">
      <c r="A560" s="355"/>
      <c r="B560" s="355"/>
      <c r="C560" s="322"/>
      <c r="D560" s="287"/>
      <c r="E560" s="2"/>
      <c r="F560" s="2"/>
      <c r="G560" s="2"/>
    </row>
    <row r="561" spans="1:7" ht="14.5" customHeight="1">
      <c r="A561" s="413"/>
      <c r="B561" s="924" t="s">
        <v>1498</v>
      </c>
      <c r="C561" s="322"/>
      <c r="D561" s="1552" t="s">
        <v>1676</v>
      </c>
      <c r="E561" s="1552"/>
      <c r="F561" s="1552"/>
      <c r="G561" s="2"/>
    </row>
    <row r="562" spans="1:7" ht="12.6">
      <c r="A562" s="355"/>
      <c r="B562" s="355"/>
      <c r="C562" s="322"/>
      <c r="D562" s="1552"/>
      <c r="E562" s="1552"/>
      <c r="F562" s="1552"/>
      <c r="G562" s="2"/>
    </row>
    <row r="563" spans="1:7" ht="12.6">
      <c r="A563" s="355"/>
      <c r="B563" s="355"/>
      <c r="C563" s="322"/>
      <c r="D563" s="1552"/>
      <c r="E563" s="1552"/>
      <c r="F563" s="1552"/>
      <c r="G563" s="2"/>
    </row>
    <row r="564" spans="1:7" ht="12.6">
      <c r="A564" s="355"/>
      <c r="B564" s="355"/>
      <c r="C564" s="322"/>
      <c r="D564" s="287"/>
      <c r="E564" s="2"/>
      <c r="F564" s="2"/>
      <c r="G564" s="2"/>
    </row>
    <row r="565" spans="1:7" ht="13.1">
      <c r="A565" s="413"/>
      <c r="B565" s="924" t="s">
        <v>135</v>
      </c>
      <c r="C565" s="322"/>
      <c r="D565" s="1584" t="s">
        <v>1784</v>
      </c>
      <c r="E565" s="1585"/>
      <c r="F565" s="1585"/>
      <c r="G565" s="2"/>
    </row>
    <row r="566" spans="1:7" ht="12.6">
      <c r="A566" s="355"/>
      <c r="B566" s="355"/>
      <c r="C566" s="322"/>
      <c r="D566" s="1585"/>
      <c r="E566" s="1585"/>
      <c r="F566" s="1585"/>
      <c r="G566" s="2"/>
    </row>
    <row r="567" spans="1:7" ht="12.6">
      <c r="A567" s="355"/>
      <c r="B567" s="355"/>
      <c r="C567" s="322"/>
      <c r="D567" s="679"/>
      <c r="E567" s="282"/>
      <c r="F567" s="282"/>
      <c r="G567" s="2"/>
    </row>
    <row r="568" spans="1:7" ht="13.1">
      <c r="A568" s="413"/>
      <c r="B568" s="924" t="s">
        <v>1498</v>
      </c>
      <c r="C568" s="322"/>
      <c r="D568" s="1552" t="s">
        <v>1678</v>
      </c>
      <c r="E568" s="1552"/>
      <c r="F568" s="1552"/>
      <c r="G568" s="2"/>
    </row>
    <row r="569" spans="1:7" ht="12.6">
      <c r="A569" s="355"/>
      <c r="B569" s="355"/>
      <c r="C569" s="322"/>
      <c r="D569" s="1552"/>
      <c r="E569" s="1552"/>
      <c r="F569" s="1552"/>
      <c r="G569" s="2"/>
    </row>
    <row r="570" spans="1:7" ht="12" customHeight="1">
      <c r="A570" s="355"/>
      <c r="B570" s="355"/>
      <c r="C570" s="322"/>
      <c r="D570" s="287"/>
      <c r="E570" s="282"/>
      <c r="F570" s="282"/>
      <c r="G570" s="2"/>
    </row>
    <row r="571" spans="1:7" ht="13.1">
      <c r="A571" s="413"/>
      <c r="B571" s="924" t="s">
        <v>1498</v>
      </c>
      <c r="C571" s="322"/>
      <c r="D571" s="1554" t="s">
        <v>1679</v>
      </c>
      <c r="E571" s="1554"/>
      <c r="F571" s="1554"/>
      <c r="G571" s="2"/>
    </row>
    <row r="572" spans="1:7" ht="13.1">
      <c r="A572" s="413"/>
      <c r="B572" s="413"/>
      <c r="C572" s="322"/>
      <c r="D572" s="1606" t="s">
        <v>2317</v>
      </c>
      <c r="E572" s="1606"/>
      <c r="F572" s="1606"/>
      <c r="G572" s="2"/>
    </row>
    <row r="573" spans="1:7" ht="13.1">
      <c r="A573" s="410"/>
      <c r="B573" s="410"/>
      <c r="C573" s="405"/>
      <c r="D573" s="1510"/>
      <c r="E573" s="930" t="s">
        <v>2318</v>
      </c>
      <c r="F573" s="1511"/>
      <c r="G573" s="2"/>
    </row>
    <row r="574" spans="1:7" ht="15" customHeight="1">
      <c r="A574" s="410"/>
      <c r="B574" s="410"/>
      <c r="C574" s="405"/>
      <c r="D574" s="1562" t="s">
        <v>1917</v>
      </c>
      <c r="E574" s="1595"/>
      <c r="F574" s="1595"/>
      <c r="G574" s="2"/>
    </row>
    <row r="575" spans="1:7" ht="13.1">
      <c r="A575" s="410"/>
      <c r="B575" s="410"/>
      <c r="C575" s="405"/>
      <c r="D575" s="1595"/>
      <c r="E575" s="1595"/>
      <c r="F575" s="1595"/>
      <c r="G575" s="2"/>
    </row>
    <row r="576" spans="1:7" ht="13.1">
      <c r="A576" s="410"/>
      <c r="B576" s="410"/>
      <c r="C576" s="405"/>
      <c r="D576" s="1595"/>
      <c r="E576" s="1595"/>
      <c r="F576" s="1595"/>
      <c r="G576" s="2"/>
    </row>
    <row r="577" spans="1:7" ht="13.1">
      <c r="A577" s="410"/>
      <c r="B577" s="410"/>
      <c r="C577" s="405"/>
      <c r="D577" s="1595"/>
      <c r="E577" s="1595"/>
      <c r="F577" s="1595"/>
      <c r="G577" s="2"/>
    </row>
    <row r="578" spans="1:7" ht="13.1">
      <c r="A578" s="410"/>
      <c r="B578" s="410"/>
      <c r="C578" s="405"/>
      <c r="D578" s="1595"/>
      <c r="E578" s="1595"/>
      <c r="F578" s="1595"/>
      <c r="G578" s="2"/>
    </row>
    <row r="579" spans="1:7" ht="13.1">
      <c r="A579" s="410"/>
      <c r="B579" s="410"/>
      <c r="C579" s="405"/>
      <c r="D579" s="1595"/>
      <c r="E579" s="1595"/>
      <c r="F579" s="1595"/>
      <c r="G579" s="2"/>
    </row>
    <row r="580" spans="1:7" ht="13.1">
      <c r="A580" s="410"/>
      <c r="B580" s="410"/>
      <c r="C580" s="405"/>
      <c r="D580" s="1595"/>
      <c r="E580" s="1595"/>
      <c r="F580" s="1595"/>
      <c r="G580" s="2"/>
    </row>
    <row r="581" spans="1:7" ht="13.1">
      <c r="A581" s="410"/>
      <c r="B581" s="410"/>
      <c r="C581" s="405"/>
      <c r="D581" s="1595"/>
      <c r="E581" s="1595"/>
      <c r="F581" s="1595"/>
      <c r="G581" s="2"/>
    </row>
    <row r="582" spans="1:7" ht="13.1">
      <c r="A582" s="410"/>
      <c r="B582" s="410"/>
      <c r="C582" s="405"/>
      <c r="D582" s="1595"/>
      <c r="E582" s="1595"/>
      <c r="F582" s="1595"/>
      <c r="G582" s="2"/>
    </row>
    <row r="583" spans="1:7" ht="13.1">
      <c r="A583" s="410"/>
      <c r="B583" s="410"/>
      <c r="C583" s="405"/>
      <c r="D583" s="928"/>
      <c r="E583" s="928"/>
      <c r="F583" s="928"/>
      <c r="G583" s="2"/>
    </row>
    <row r="584" spans="1:7" ht="13.1">
      <c r="A584" s="552"/>
      <c r="B584" s="924" t="s">
        <v>1498</v>
      </c>
      <c r="C584" s="405"/>
      <c r="D584" s="1613" t="s">
        <v>1680</v>
      </c>
      <c r="E584" s="1613"/>
      <c r="F584" s="1613"/>
      <c r="G584" s="2"/>
    </row>
    <row r="585" spans="1:7" ht="13.75" customHeight="1">
      <c r="A585" s="140"/>
      <c r="B585" s="140"/>
      <c r="C585" s="322"/>
      <c r="D585" s="1552" t="s">
        <v>1681</v>
      </c>
      <c r="E585" s="1552"/>
      <c r="F585" s="1552"/>
      <c r="G585" s="2"/>
    </row>
    <row r="586" spans="1:7" ht="12.6">
      <c r="A586" s="355"/>
      <c r="B586" s="355"/>
      <c r="C586" s="322"/>
      <c r="D586" s="1552"/>
      <c r="E586" s="1552"/>
      <c r="F586" s="1552"/>
      <c r="G586" s="2"/>
    </row>
    <row r="587" spans="1:7" ht="12.6">
      <c r="A587" s="355"/>
      <c r="B587" s="355"/>
      <c r="C587" s="322"/>
      <c r="D587" s="1552"/>
      <c r="E587" s="1552"/>
      <c r="F587" s="1552"/>
      <c r="G587" s="2"/>
    </row>
    <row r="588" spans="1:7" ht="12.6">
      <c r="A588" s="355"/>
      <c r="B588" s="355"/>
      <c r="C588" s="322"/>
      <c r="D588" s="954"/>
      <c r="E588" s="954"/>
      <c r="F588" s="954"/>
      <c r="G588" s="2"/>
    </row>
    <row r="589" spans="1:7" ht="14.5" customHeight="1">
      <c r="A589" s="413"/>
      <c r="B589" s="924" t="s">
        <v>1498</v>
      </c>
      <c r="C589" s="322"/>
      <c r="D589" s="1552" t="s">
        <v>1682</v>
      </c>
      <c r="E589" s="1552"/>
      <c r="F589" s="1552"/>
      <c r="G589" s="2"/>
    </row>
    <row r="590" spans="1:7" ht="13.1">
      <c r="A590" s="413"/>
      <c r="B590" s="413"/>
      <c r="C590" s="322"/>
      <c r="D590" s="1552"/>
      <c r="E590" s="1552"/>
      <c r="F590" s="1552"/>
      <c r="G590" s="2"/>
    </row>
    <row r="591" spans="1:7" ht="13.1">
      <c r="A591" s="413"/>
      <c r="B591" s="413"/>
      <c r="C591" s="322"/>
      <c r="D591" s="1552"/>
      <c r="E591" s="1552"/>
      <c r="F591" s="1552"/>
    </row>
    <row r="592" spans="1:7" ht="12.6">
      <c r="A592" s="355"/>
      <c r="B592" s="355"/>
      <c r="C592" s="322"/>
      <c r="D592" s="1552"/>
      <c r="E592" s="1552"/>
      <c r="F592" s="1552"/>
    </row>
    <row r="593" spans="1:7" ht="12.6">
      <c r="A593" s="355"/>
      <c r="B593" s="355"/>
      <c r="C593" s="322"/>
      <c r="D593" s="287"/>
      <c r="E593" s="282"/>
      <c r="F593" s="282"/>
    </row>
    <row r="594" spans="1:7" ht="13.1">
      <c r="A594" s="415"/>
      <c r="B594" s="924" t="s">
        <v>135</v>
      </c>
      <c r="C594" s="299"/>
      <c r="D594" s="1558" t="s">
        <v>1986</v>
      </c>
      <c r="E594" s="1559"/>
      <c r="F594" s="1559"/>
      <c r="G594" s="288"/>
    </row>
    <row r="595" spans="1:7" ht="13.1">
      <c r="A595" s="415"/>
      <c r="B595" s="415"/>
      <c r="C595" s="299"/>
      <c r="D595" s="282"/>
      <c r="E595" s="282"/>
      <c r="F595" s="282"/>
      <c r="G595" s="288"/>
    </row>
    <row r="596" spans="1:7" ht="12.6">
      <c r="A596" s="355"/>
      <c r="B596" s="355"/>
      <c r="C596" s="322"/>
      <c r="D596" s="933"/>
      <c r="E596" s="933"/>
      <c r="F596" s="933"/>
    </row>
    <row r="597" spans="1:7" ht="13.1">
      <c r="A597" s="1560" t="s">
        <v>1515</v>
      </c>
      <c r="B597" s="1560"/>
      <c r="C597" s="1560"/>
      <c r="D597" s="1560"/>
      <c r="E597" s="1560"/>
      <c r="F597" s="1560"/>
      <c r="G597" s="1560"/>
    </row>
    <row r="598" spans="1:7" ht="12.6">
      <c r="A598" s="355"/>
      <c r="B598" s="355"/>
      <c r="C598" s="322"/>
      <c r="D598" s="282"/>
      <c r="E598" s="282"/>
      <c r="F598" s="282"/>
    </row>
    <row r="599" spans="1:7" ht="13.1">
      <c r="A599" s="140"/>
      <c r="B599" s="140"/>
      <c r="C599" s="298"/>
      <c r="D599" s="1563" t="s">
        <v>181</v>
      </c>
      <c r="E599" s="1563"/>
      <c r="F599" s="1563"/>
      <c r="G599" s="288"/>
    </row>
    <row r="600" spans="1:7" ht="13.1">
      <c r="A600" s="140"/>
      <c r="B600" s="140"/>
      <c r="C600" s="298"/>
      <c r="D600" s="1564" t="s">
        <v>1570</v>
      </c>
      <c r="E600" s="1564"/>
      <c r="F600" s="1564"/>
      <c r="G600" s="288"/>
    </row>
    <row r="601" spans="1:7" ht="13.1">
      <c r="A601" s="140"/>
      <c r="B601" s="140"/>
      <c r="C601" s="298"/>
      <c r="D601" s="575"/>
      <c r="E601" s="282"/>
      <c r="F601" s="282"/>
      <c r="G601" s="288"/>
    </row>
    <row r="602" spans="1:7" ht="13.1">
      <c r="A602" s="413"/>
      <c r="B602" s="924" t="s">
        <v>1498</v>
      </c>
      <c r="C602" s="14"/>
      <c r="D602" s="1564" t="s">
        <v>1202</v>
      </c>
      <c r="E602" s="1564"/>
      <c r="F602" s="1564"/>
      <c r="G602" s="288"/>
    </row>
    <row r="603" spans="1:7" ht="13.1">
      <c r="A603" s="33"/>
      <c r="B603" s="33"/>
      <c r="C603" s="14"/>
      <c r="D603" s="579"/>
      <c r="E603" s="282"/>
      <c r="F603" s="282"/>
      <c r="G603" s="288"/>
    </row>
    <row r="604" spans="1:7" ht="14.5" customHeight="1">
      <c r="A604" s="413"/>
      <c r="B604" s="924" t="s">
        <v>1498</v>
      </c>
      <c r="C604" s="14"/>
      <c r="D604" s="1570" t="s">
        <v>1572</v>
      </c>
      <c r="E604" s="1570"/>
      <c r="F604" s="1570"/>
      <c r="G604" s="288"/>
    </row>
    <row r="605" spans="1:7" ht="14.5" customHeight="1">
      <c r="A605" s="413"/>
      <c r="B605" s="413"/>
      <c r="C605" s="14"/>
      <c r="D605" s="1570"/>
      <c r="E605" s="1570"/>
      <c r="F605" s="1570"/>
      <c r="G605" s="288"/>
    </row>
    <row r="606" spans="1:7" ht="13.1">
      <c r="A606" s="413"/>
      <c r="B606" s="413"/>
      <c r="C606" s="14"/>
      <c r="D606" s="1570"/>
      <c r="E606" s="1570"/>
      <c r="F606" s="1570"/>
      <c r="G606" s="288"/>
    </row>
    <row r="607" spans="1:7" ht="13.1">
      <c r="A607" s="413"/>
      <c r="B607" s="413"/>
      <c r="C607" s="14"/>
      <c r="D607" s="932"/>
      <c r="E607" s="932"/>
      <c r="F607" s="932"/>
      <c r="G607" s="288"/>
    </row>
    <row r="608" spans="1:7" ht="13.1">
      <c r="A608" s="413"/>
      <c r="B608" s="924" t="s">
        <v>135</v>
      </c>
      <c r="C608" s="14"/>
      <c r="D608" s="1570" t="s">
        <v>1571</v>
      </c>
      <c r="E608" s="1570"/>
      <c r="F608" s="1570"/>
      <c r="G608" s="288"/>
    </row>
    <row r="609" spans="1:7" ht="13.1">
      <c r="A609" s="413"/>
      <c r="B609" s="413"/>
      <c r="C609" s="14"/>
      <c r="D609" s="1570"/>
      <c r="E609" s="1570"/>
      <c r="F609" s="1570"/>
      <c r="G609" s="288"/>
    </row>
    <row r="610" spans="1:7" ht="13.1">
      <c r="A610" s="413"/>
      <c r="B610" s="413"/>
      <c r="C610" s="14"/>
      <c r="D610" s="1570"/>
      <c r="E610" s="1570"/>
      <c r="F610" s="1570"/>
      <c r="G610" s="288"/>
    </row>
    <row r="611" spans="1:7" ht="13.1">
      <c r="A611" s="413"/>
      <c r="B611" s="413"/>
      <c r="C611" s="14"/>
      <c r="D611" s="1570"/>
      <c r="E611" s="1570"/>
      <c r="F611" s="1570"/>
      <c r="G611" s="288"/>
    </row>
    <row r="612" spans="1:7" ht="13.1">
      <c r="A612" s="413"/>
      <c r="B612" s="413"/>
      <c r="C612" s="14"/>
      <c r="D612" s="575"/>
      <c r="E612" s="282"/>
      <c r="F612" s="282"/>
      <c r="G612" s="288"/>
    </row>
    <row r="613" spans="1:7" ht="13.1">
      <c r="A613" s="552"/>
      <c r="B613" s="924" t="s">
        <v>1498</v>
      </c>
      <c r="D613" s="1570" t="s">
        <v>1573</v>
      </c>
      <c r="E613" s="1570"/>
      <c r="F613" s="1570"/>
      <c r="G613" s="288"/>
    </row>
    <row r="614" spans="1:7" ht="13.1">
      <c r="A614" s="552"/>
      <c r="B614" s="552"/>
      <c r="D614" s="1570"/>
      <c r="E614" s="1570"/>
      <c r="F614" s="1570"/>
      <c r="G614" s="288"/>
    </row>
    <row r="615" spans="1:7" ht="13.1">
      <c r="A615" s="413"/>
      <c r="B615" s="413"/>
      <c r="C615" s="14"/>
      <c r="D615" s="575"/>
      <c r="E615" s="282"/>
      <c r="F615" s="282"/>
      <c r="G615" s="288"/>
    </row>
    <row r="616" spans="1:7" ht="14.5" customHeight="1">
      <c r="A616" s="413"/>
      <c r="B616" s="924" t="s">
        <v>135</v>
      </c>
      <c r="C616" s="14"/>
      <c r="D616" s="1564" t="s">
        <v>1578</v>
      </c>
      <c r="E616" s="1564"/>
      <c r="F616" s="1564"/>
      <c r="G616" s="288"/>
    </row>
    <row r="617" spans="1:7" ht="13.1">
      <c r="A617" s="413"/>
      <c r="B617" s="413"/>
      <c r="C617" s="14"/>
      <c r="D617" s="1564"/>
      <c r="E617" s="1564"/>
      <c r="F617" s="1564"/>
      <c r="G617" s="288"/>
    </row>
    <row r="618" spans="1:7" ht="13.1">
      <c r="A618" s="413"/>
      <c r="B618" s="413"/>
      <c r="C618" s="14"/>
      <c r="D618" s="575"/>
      <c r="E618" s="282"/>
      <c r="F618" s="282"/>
      <c r="G618" s="288"/>
    </row>
    <row r="619" spans="1:7" ht="13.1">
      <c r="A619" s="413"/>
      <c r="B619" s="924" t="s">
        <v>1498</v>
      </c>
      <c r="C619" s="14"/>
      <c r="D619" s="1564" t="s">
        <v>1203</v>
      </c>
      <c r="E619" s="1564"/>
      <c r="F619" s="1564"/>
      <c r="G619" s="288"/>
    </row>
    <row r="620" spans="1:7" ht="13.1">
      <c r="A620" s="33"/>
      <c r="B620" s="33"/>
      <c r="C620" s="14"/>
      <c r="D620" s="282"/>
      <c r="E620" s="282"/>
      <c r="F620" s="282"/>
      <c r="G620" s="288"/>
    </row>
    <row r="621" spans="1:7" ht="13.1">
      <c r="A621" s="1560" t="s">
        <v>1517</v>
      </c>
      <c r="B621" s="1560"/>
      <c r="C621" s="1560"/>
      <c r="D621" s="1560"/>
      <c r="E621" s="1560"/>
      <c r="F621" s="1560"/>
      <c r="G621" s="1560"/>
    </row>
    <row r="622" spans="1:7" ht="13.1">
      <c r="A622" s="107"/>
      <c r="B622" s="107"/>
      <c r="C622" s="302"/>
      <c r="D622" s="283"/>
      <c r="E622" s="283"/>
      <c r="F622" s="283"/>
      <c r="G622" s="288"/>
    </row>
    <row r="623" spans="1:7" ht="13.1">
      <c r="A623" s="140"/>
      <c r="B623" s="140"/>
      <c r="C623" s="299"/>
      <c r="D623" s="1616" t="s">
        <v>1516</v>
      </c>
      <c r="E623" s="1616"/>
      <c r="F623" s="1616"/>
    </row>
    <row r="624" spans="1:7" ht="13.1">
      <c r="A624" s="140"/>
      <c r="B624" s="140"/>
      <c r="C624" s="299"/>
      <c r="D624" s="1559" t="s">
        <v>1545</v>
      </c>
      <c r="E624" s="1559"/>
      <c r="F624" s="1559"/>
    </row>
    <row r="625" spans="1:7" ht="13.1">
      <c r="A625" s="958"/>
      <c r="B625" s="958"/>
      <c r="C625" s="299"/>
      <c r="D625" s="956"/>
      <c r="E625" s="956"/>
      <c r="F625" s="956"/>
    </row>
    <row r="626" spans="1:7" ht="14.25" customHeight="1">
      <c r="A626" s="552"/>
      <c r="B626" s="924" t="s">
        <v>1498</v>
      </c>
      <c r="D626" s="1545" t="s">
        <v>2320</v>
      </c>
      <c r="E626" s="1546"/>
      <c r="F626" s="1546"/>
    </row>
    <row r="627" spans="1:7" ht="12.6">
      <c r="A627" s="140"/>
      <c r="B627" s="140"/>
      <c r="C627" s="14"/>
      <c r="D627" s="1546"/>
      <c r="E627" s="1546"/>
      <c r="F627" s="1546"/>
    </row>
    <row r="628" spans="1:7" ht="13.1">
      <c r="A628" s="140"/>
      <c r="B628" s="140"/>
      <c r="C628" s="14"/>
      <c r="D628" s="1512"/>
      <c r="E628" s="1505" t="s">
        <v>2319</v>
      </c>
      <c r="F628" s="1512"/>
    </row>
    <row r="629" spans="1:7" ht="13.1">
      <c r="A629" s="107"/>
      <c r="B629" s="107"/>
      <c r="C629" s="302"/>
      <c r="D629" s="283"/>
      <c r="E629" s="283"/>
      <c r="F629" s="283"/>
      <c r="G629" s="288"/>
    </row>
    <row r="630" spans="1:7" ht="12" customHeight="1">
      <c r="A630" s="1560" t="s">
        <v>1519</v>
      </c>
      <c r="B630" s="1560"/>
      <c r="C630" s="1560"/>
      <c r="D630" s="1560"/>
      <c r="E630" s="1560"/>
      <c r="F630" s="1560"/>
      <c r="G630" s="1560"/>
    </row>
    <row r="631" spans="1:7" ht="12.6">
      <c r="A631" s="143"/>
      <c r="B631" s="143"/>
      <c r="C631" s="14"/>
      <c r="D631" s="282"/>
      <c r="E631" s="282"/>
      <c r="F631" s="282"/>
      <c r="G631" s="288"/>
    </row>
    <row r="632" spans="1:7" ht="13.1">
      <c r="A632" s="140"/>
      <c r="B632" s="140"/>
      <c r="C632" s="303"/>
      <c r="D632" s="1561" t="s">
        <v>1518</v>
      </c>
      <c r="E632" s="1561"/>
      <c r="F632" s="1561"/>
      <c r="G632" s="288"/>
    </row>
    <row r="633" spans="1:7" ht="13.1">
      <c r="A633" s="415"/>
      <c r="B633" s="415"/>
      <c r="C633" s="299"/>
      <c r="D633" s="1554" t="s">
        <v>1697</v>
      </c>
      <c r="E633" s="1554"/>
      <c r="F633" s="1554"/>
      <c r="G633" s="288"/>
    </row>
    <row r="634" spans="1:7" ht="13.1">
      <c r="A634" s="415"/>
      <c r="B634" s="415"/>
      <c r="C634" s="299"/>
      <c r="D634" s="282"/>
      <c r="E634" s="282"/>
      <c r="F634" s="282"/>
      <c r="G634" s="288"/>
    </row>
    <row r="635" spans="1:7" ht="13.1">
      <c r="A635" s="413"/>
      <c r="B635" s="413"/>
      <c r="C635" s="14"/>
      <c r="D635" s="1616" t="s">
        <v>948</v>
      </c>
      <c r="E635" s="1616"/>
      <c r="F635" s="1616"/>
      <c r="G635" s="288"/>
    </row>
    <row r="636" spans="1:7" ht="13.1">
      <c r="A636" s="413"/>
      <c r="B636" s="924" t="s">
        <v>1498</v>
      </c>
      <c r="C636" s="14"/>
      <c r="D636" s="1559" t="s">
        <v>1698</v>
      </c>
      <c r="E636" s="1559"/>
      <c r="F636" s="1559"/>
      <c r="G636" s="288"/>
    </row>
    <row r="637" spans="1:7" ht="13.1">
      <c r="A637" s="413"/>
      <c r="B637" s="413"/>
      <c r="C637" s="14"/>
      <c r="D637" s="287"/>
      <c r="E637" s="282"/>
      <c r="F637" s="282"/>
      <c r="G637" s="288"/>
    </row>
    <row r="638" spans="1:7" ht="13.1">
      <c r="A638" s="413"/>
      <c r="B638" s="924" t="s">
        <v>135</v>
      </c>
      <c r="C638" s="14"/>
      <c r="D638" s="1552" t="s">
        <v>1699</v>
      </c>
      <c r="E638" s="1552"/>
      <c r="F638" s="1552"/>
      <c r="G638" s="288"/>
    </row>
    <row r="639" spans="1:7" ht="13.1">
      <c r="A639" s="413"/>
      <c r="B639" s="413"/>
      <c r="C639" s="14"/>
      <c r="D639" s="1552"/>
      <c r="E639" s="1552"/>
      <c r="F639" s="1552"/>
      <c r="G639" s="288"/>
    </row>
    <row r="640" spans="1:7" ht="13.1">
      <c r="A640" s="413"/>
      <c r="B640" s="413"/>
      <c r="C640" s="14"/>
      <c r="D640" s="287"/>
      <c r="E640" s="282"/>
      <c r="F640" s="282"/>
      <c r="G640" s="288"/>
    </row>
    <row r="641" spans="1:7" ht="13.1">
      <c r="A641" s="552"/>
      <c r="B641" s="924" t="s">
        <v>1498</v>
      </c>
      <c r="D641" s="1562" t="s">
        <v>2124</v>
      </c>
      <c r="E641" s="1562"/>
      <c r="F641" s="1562"/>
      <c r="G641" s="288"/>
    </row>
    <row r="642" spans="1:7" ht="13.75" customHeight="1">
      <c r="D642" s="1562"/>
      <c r="E642" s="1562"/>
      <c r="F642" s="1562"/>
    </row>
    <row r="643" spans="1:7" ht="12.6">
      <c r="A643" s="140"/>
      <c r="B643" s="140"/>
      <c r="C643" s="14"/>
      <c r="D643" s="282"/>
      <c r="E643" s="282"/>
      <c r="F643" s="282"/>
      <c r="G643" s="288"/>
    </row>
    <row r="644" spans="1:7" ht="13.1">
      <c r="A644" s="413"/>
      <c r="B644" s="924" t="s">
        <v>135</v>
      </c>
      <c r="C644" s="14"/>
      <c r="D644" s="1559" t="s">
        <v>1700</v>
      </c>
      <c r="E644" s="1559"/>
      <c r="F644" s="1559"/>
      <c r="G644" s="288"/>
    </row>
    <row r="645" spans="1:7" ht="13.1">
      <c r="A645" s="418"/>
      <c r="B645" s="418"/>
      <c r="C645" s="303"/>
      <c r="D645" s="282"/>
      <c r="E645" s="282"/>
      <c r="F645" s="282"/>
      <c r="G645" s="288"/>
    </row>
    <row r="646" spans="1:7" ht="13.1">
      <c r="A646" s="1560" t="s">
        <v>1520</v>
      </c>
      <c r="B646" s="1560"/>
      <c r="C646" s="1560"/>
      <c r="D646" s="1560"/>
      <c r="E646" s="1560"/>
      <c r="F646" s="1560"/>
      <c r="G646" s="1560"/>
    </row>
    <row r="647" spans="1:7" ht="13.1">
      <c r="A647" s="418"/>
      <c r="B647" s="418"/>
      <c r="C647" s="303"/>
      <c r="D647" s="282"/>
      <c r="E647" s="282"/>
      <c r="F647" s="282"/>
      <c r="G647" s="288"/>
    </row>
    <row r="648" spans="1:7" ht="13.1">
      <c r="A648" s="140"/>
      <c r="B648" s="140"/>
      <c r="C648" s="320"/>
      <c r="D648" s="1634" t="s">
        <v>1546</v>
      </c>
      <c r="E648" s="1634"/>
      <c r="F648" s="1634"/>
      <c r="G648" s="288"/>
    </row>
    <row r="649" spans="1:7" ht="13.1">
      <c r="A649" s="33"/>
      <c r="B649" s="33"/>
      <c r="C649" s="302"/>
      <c r="D649" s="6"/>
      <c r="E649" s="283"/>
      <c r="F649" s="283"/>
      <c r="G649" s="288"/>
    </row>
    <row r="650" spans="1:7" ht="14.25" customHeight="1">
      <c r="A650" s="413"/>
      <c r="B650" s="924" t="s">
        <v>1498</v>
      </c>
      <c r="C650" s="302"/>
      <c r="D650" s="1547" t="s">
        <v>2321</v>
      </c>
      <c r="E650" s="1547"/>
      <c r="F650" s="1547"/>
      <c r="G650" s="288"/>
    </row>
    <row r="651" spans="1:7" ht="13.1">
      <c r="A651" s="413"/>
      <c r="B651" s="413"/>
      <c r="C651" s="302"/>
      <c r="D651" s="1547"/>
      <c r="E651" s="1547"/>
      <c r="F651" s="1547"/>
      <c r="G651" s="288"/>
    </row>
    <row r="652" spans="1:7" ht="13.1">
      <c r="A652" s="140"/>
      <c r="B652" s="140"/>
      <c r="C652" s="302"/>
      <c r="D652" s="1513"/>
      <c r="E652" s="1505" t="s">
        <v>2323</v>
      </c>
      <c r="F652" s="1513"/>
      <c r="G652" s="288"/>
    </row>
    <row r="653" spans="1:7" ht="12.6">
      <c r="A653" s="140"/>
      <c r="B653" s="140"/>
      <c r="C653" s="302"/>
      <c r="D653" s="1544" t="s">
        <v>2322</v>
      </c>
      <c r="E653" s="1544"/>
      <c r="F653" s="1544"/>
      <c r="G653" s="288"/>
    </row>
    <row r="654" spans="1:7" ht="12.75" customHeight="1">
      <c r="A654" s="140"/>
      <c r="B654" s="140"/>
      <c r="C654" s="302"/>
      <c r="D654" s="1544"/>
      <c r="E654" s="1544"/>
      <c r="F654" s="1544"/>
      <c r="G654" s="288"/>
    </row>
    <row r="655" spans="1:7" ht="12.6">
      <c r="A655" s="140"/>
      <c r="B655" s="2"/>
      <c r="C655" s="302"/>
      <c r="D655" s="1544"/>
      <c r="E655" s="1544"/>
      <c r="F655" s="1544"/>
      <c r="G655" s="288"/>
    </row>
    <row r="656" spans="1:7" ht="12.6">
      <c r="A656" s="140"/>
      <c r="B656" s="1002"/>
      <c r="C656" s="302"/>
      <c r="D656" s="282"/>
      <c r="E656" s="283"/>
      <c r="F656" s="283"/>
      <c r="G656" s="288"/>
    </row>
    <row r="657" spans="1:9" ht="13.1">
      <c r="A657" s="468"/>
      <c r="B657" s="924" t="s">
        <v>135</v>
      </c>
      <c r="C657" s="302"/>
      <c r="D657" s="1635" t="s">
        <v>1701</v>
      </c>
      <c r="E657" s="1635"/>
      <c r="F657" s="1635"/>
      <c r="G657" s="284"/>
    </row>
    <row r="658" spans="1:9" ht="13.1">
      <c r="A658" s="468"/>
      <c r="B658" s="468"/>
      <c r="C658" s="302"/>
      <c r="D658" s="1635"/>
      <c r="E658" s="1635"/>
      <c r="F658" s="1635"/>
      <c r="G658" s="284"/>
    </row>
    <row r="659" spans="1:9" ht="13.1">
      <c r="A659" s="468"/>
      <c r="B659" s="468"/>
      <c r="C659" s="302"/>
      <c r="D659" s="287"/>
      <c r="E659" s="286"/>
      <c r="F659" s="286"/>
      <c r="G659" s="284"/>
    </row>
    <row r="660" spans="1:9" ht="13.75" customHeight="1">
      <c r="A660" s="468"/>
      <c r="B660" s="924" t="s">
        <v>135</v>
      </c>
      <c r="C660" s="302"/>
      <c r="D660" s="1605" t="s">
        <v>1987</v>
      </c>
      <c r="E660" s="1605"/>
      <c r="F660" s="1605"/>
      <c r="G660" s="284"/>
    </row>
    <row r="661" spans="1:9" ht="13.1">
      <c r="A661" s="468"/>
      <c r="B661" s="468"/>
      <c r="C661" s="302"/>
      <c r="D661" s="1605"/>
      <c r="E661" s="1605"/>
      <c r="F661" s="1605"/>
      <c r="G661" s="284"/>
    </row>
    <row r="662" spans="1:9" ht="13.1">
      <c r="A662" s="552"/>
      <c r="B662" s="552"/>
      <c r="C662" s="285"/>
      <c r="D662" s="962"/>
      <c r="E662" s="962"/>
      <c r="F662" s="962"/>
      <c r="G662" s="284"/>
    </row>
    <row r="663" spans="1:9" ht="13.1">
      <c r="A663" s="413"/>
      <c r="B663" s="924" t="s">
        <v>135</v>
      </c>
      <c r="C663" s="322"/>
      <c r="D663" s="1636" t="s">
        <v>1702</v>
      </c>
      <c r="E663" s="1636"/>
      <c r="F663" s="1636"/>
      <c r="G663" s="284"/>
    </row>
    <row r="664" spans="1:9" ht="12.6">
      <c r="A664" s="143"/>
      <c r="B664" s="143"/>
      <c r="C664" s="322"/>
      <c r="D664" s="286"/>
      <c r="E664" s="286"/>
      <c r="F664" s="286"/>
      <c r="G664" s="284"/>
      <c r="H664" s="404"/>
      <c r="I664" s="404"/>
    </row>
    <row r="665" spans="1:9" ht="13.1">
      <c r="A665" s="1560" t="s">
        <v>1522</v>
      </c>
      <c r="B665" s="1560"/>
      <c r="C665" s="1560"/>
      <c r="D665" s="1560"/>
      <c r="E665" s="1560"/>
      <c r="F665" s="1560"/>
      <c r="G665" s="1560"/>
    </row>
    <row r="666" spans="1:9" ht="12.6">
      <c r="A666" s="143"/>
      <c r="B666" s="143"/>
      <c r="C666" s="322"/>
      <c r="D666" s="286"/>
      <c r="E666" s="286"/>
      <c r="F666" s="286"/>
      <c r="G666" s="284"/>
    </row>
    <row r="667" spans="1:9" ht="13.1">
      <c r="A667" s="140"/>
      <c r="B667" s="140"/>
      <c r="C667" s="303"/>
      <c r="D667" s="1637" t="s">
        <v>1521</v>
      </c>
      <c r="E667" s="1637"/>
      <c r="F667" s="1637"/>
      <c r="G667" s="284"/>
    </row>
    <row r="668" spans="1:9" ht="13.1">
      <c r="A668" s="415"/>
      <c r="B668" s="415"/>
      <c r="C668" s="299"/>
      <c r="D668" s="1624" t="s">
        <v>1547</v>
      </c>
      <c r="E668" s="1624"/>
      <c r="F668" s="1624"/>
      <c r="G668" s="284"/>
    </row>
    <row r="669" spans="1:9" ht="13.1">
      <c r="A669" s="415"/>
      <c r="B669" s="415"/>
      <c r="C669" s="299"/>
      <c r="D669" s="968"/>
      <c r="E669" s="968"/>
      <c r="F669" s="968"/>
      <c r="G669" s="284"/>
    </row>
    <row r="670" spans="1:9" ht="14.5" customHeight="1">
      <c r="A670" s="413"/>
      <c r="B670" s="924" t="s">
        <v>135</v>
      </c>
      <c r="C670" s="322"/>
      <c r="D670" s="1521" t="s">
        <v>2072</v>
      </c>
      <c r="E670" s="1521"/>
      <c r="F670" s="1521"/>
      <c r="G670" s="284"/>
    </row>
    <row r="671" spans="1:9" ht="13.1">
      <c r="A671" s="413"/>
      <c r="B671" s="413"/>
      <c r="C671" s="322"/>
      <c r="D671" s="1521"/>
      <c r="E671" s="1521"/>
      <c r="F671" s="1521"/>
      <c r="G671" s="284"/>
    </row>
    <row r="672" spans="1:9" ht="13.1">
      <c r="A672" s="413"/>
      <c r="B672" s="413"/>
      <c r="C672" s="322"/>
      <c r="D672" s="1521"/>
      <c r="E672" s="1521"/>
      <c r="F672" s="1521"/>
      <c r="G672" s="284"/>
    </row>
    <row r="673" spans="1:7" ht="13.1">
      <c r="A673" s="413"/>
      <c r="B673" s="413"/>
      <c r="C673" s="322"/>
      <c r="D673" s="1521"/>
      <c r="E673" s="1521"/>
      <c r="F673" s="1521"/>
      <c r="G673" s="284"/>
    </row>
    <row r="674" spans="1:7" ht="13.1">
      <c r="A674" s="413"/>
      <c r="B674" s="413"/>
      <c r="C674" s="322"/>
      <c r="D674" s="1521"/>
      <c r="E674" s="1521"/>
      <c r="F674" s="1521"/>
      <c r="G674" s="284"/>
    </row>
    <row r="675" spans="1:7" ht="13.1">
      <c r="A675" s="413"/>
      <c r="B675" s="413"/>
      <c r="C675" s="322"/>
      <c r="D675" s="1521"/>
      <c r="E675" s="1521"/>
      <c r="F675" s="1521"/>
      <c r="G675" s="284"/>
    </row>
    <row r="676" spans="1:7" ht="13.1" hidden="1">
      <c r="A676" s="552"/>
      <c r="B676" s="552"/>
      <c r="C676" s="405"/>
      <c r="D676" s="688"/>
      <c r="F676" s="284"/>
      <c r="G676" s="284"/>
    </row>
    <row r="677" spans="1:7" ht="13.1" hidden="1">
      <c r="A677" s="552"/>
      <c r="B677" s="924" t="s">
        <v>86</v>
      </c>
      <c r="C677" s="405"/>
      <c r="D677" s="1614" t="s">
        <v>1568</v>
      </c>
      <c r="E677" s="1614"/>
      <c r="F677" s="1614"/>
      <c r="G677" s="284"/>
    </row>
    <row r="678" spans="1:7" ht="13.1" hidden="1">
      <c r="A678" s="552"/>
      <c r="B678" s="552"/>
      <c r="C678" s="405"/>
      <c r="D678" s="1631" t="s">
        <v>1730</v>
      </c>
      <c r="E678" s="1631"/>
      <c r="F678" s="1631"/>
      <c r="G678" s="284"/>
    </row>
    <row r="679" spans="1:7" ht="13.1" hidden="1">
      <c r="A679" s="552"/>
      <c r="B679" s="552"/>
      <c r="C679" s="405"/>
      <c r="D679" s="1631"/>
      <c r="E679" s="1631"/>
      <c r="F679" s="1631"/>
      <c r="G679" s="284"/>
    </row>
    <row r="680" spans="1:7" ht="13.1" hidden="1">
      <c r="A680" s="552"/>
      <c r="B680" s="552"/>
      <c r="C680" s="405"/>
      <c r="D680" s="1631"/>
      <c r="E680" s="1631"/>
      <c r="F680" s="1631"/>
      <c r="G680" s="284"/>
    </row>
    <row r="681" spans="1:7" ht="13.1" hidden="1">
      <c r="A681" s="552"/>
      <c r="B681" s="552"/>
      <c r="C681" s="405"/>
      <c r="D681" s="1631"/>
      <c r="E681" s="1631"/>
      <c r="F681" s="1631"/>
      <c r="G681" s="284"/>
    </row>
    <row r="682" spans="1:7" ht="13.1" hidden="1">
      <c r="A682" s="552"/>
      <c r="B682" s="552"/>
      <c r="C682" s="405"/>
      <c r="D682" s="1631"/>
      <c r="E682" s="1631"/>
      <c r="F682" s="1631"/>
      <c r="G682" s="284"/>
    </row>
    <row r="683" spans="1:7" ht="13.1" hidden="1">
      <c r="A683" s="552"/>
      <c r="B683" s="552"/>
      <c r="C683" s="405"/>
      <c r="D683" s="1638" t="s">
        <v>2071</v>
      </c>
      <c r="E683" s="1638"/>
      <c r="F683" s="1638"/>
      <c r="G683" s="284"/>
    </row>
    <row r="684" spans="1:7" ht="12.6">
      <c r="A684" s="143"/>
      <c r="B684" s="143"/>
      <c r="C684" s="322"/>
      <c r="D684" s="286"/>
      <c r="E684" s="286"/>
      <c r="F684" s="286"/>
      <c r="G684" s="284"/>
    </row>
    <row r="685" spans="1:7" ht="13.1">
      <c r="A685" s="1560" t="s">
        <v>1523</v>
      </c>
      <c r="B685" s="1560"/>
      <c r="C685" s="1560"/>
      <c r="D685" s="1560"/>
      <c r="E685" s="1560"/>
      <c r="F685" s="1560"/>
      <c r="G685" s="1560"/>
    </row>
    <row r="686" spans="1:7" ht="12.6">
      <c r="A686" s="143"/>
      <c r="B686" s="143"/>
      <c r="C686" s="322"/>
      <c r="D686" s="286"/>
      <c r="E686" s="286"/>
      <c r="F686" s="286"/>
      <c r="G686" s="284"/>
    </row>
    <row r="687" spans="1:7" ht="13.1">
      <c r="A687" s="140"/>
      <c r="B687" s="140"/>
      <c r="C687" s="303"/>
      <c r="D687" s="1561" t="s">
        <v>848</v>
      </c>
      <c r="E687" s="1561"/>
      <c r="F687" s="1561"/>
      <c r="G687" s="284"/>
    </row>
    <row r="688" spans="1:7" ht="13.1">
      <c r="A688" s="418"/>
      <c r="B688" s="418"/>
      <c r="C688" s="303"/>
      <c r="D688" s="1561" t="s">
        <v>949</v>
      </c>
      <c r="E688" s="1561"/>
      <c r="F688" s="1561"/>
      <c r="G688" s="284"/>
    </row>
    <row r="689" spans="1:7" ht="13.1">
      <c r="A689" s="415"/>
      <c r="B689" s="415"/>
      <c r="C689" s="299"/>
      <c r="D689" s="1554" t="s">
        <v>1662</v>
      </c>
      <c r="E689" s="1554"/>
      <c r="F689" s="1554"/>
      <c r="G689" s="288"/>
    </row>
    <row r="690" spans="1:7" ht="14.25" customHeight="1">
      <c r="A690" s="415"/>
      <c r="B690" s="415"/>
      <c r="C690" s="299"/>
      <c r="D690" s="282"/>
      <c r="E690" s="282"/>
      <c r="F690" s="282"/>
      <c r="G690" s="288"/>
    </row>
    <row r="691" spans="1:7" ht="13.1">
      <c r="A691" s="413"/>
      <c r="B691" s="924" t="s">
        <v>1498</v>
      </c>
      <c r="C691" s="299"/>
      <c r="D691" s="1554" t="s">
        <v>1204</v>
      </c>
      <c r="E691" s="1554"/>
      <c r="F691" s="1554"/>
      <c r="G691" s="288"/>
    </row>
    <row r="692" spans="1:7" ht="13.1">
      <c r="A692" s="415"/>
      <c r="B692" s="415"/>
      <c r="C692" s="299"/>
      <c r="D692" s="1554" t="s">
        <v>1225</v>
      </c>
      <c r="E692" s="1554"/>
      <c r="F692" s="1554"/>
      <c r="G692" s="288"/>
    </row>
    <row r="693" spans="1:7" ht="12.75" customHeight="1">
      <c r="A693" s="415"/>
      <c r="B693" s="415"/>
      <c r="C693" s="299"/>
      <c r="D693" s="282"/>
      <c r="E693" s="1505" t="s">
        <v>2325</v>
      </c>
      <c r="F693" s="22"/>
      <c r="G693" s="288"/>
    </row>
    <row r="694" spans="1:7" ht="13.1">
      <c r="A694" s="415"/>
      <c r="B694" s="415"/>
      <c r="C694" s="299"/>
      <c r="D694" s="282"/>
      <c r="E694" s="1514" t="s">
        <v>2324</v>
      </c>
      <c r="F694" s="22"/>
      <c r="G694" s="288"/>
    </row>
    <row r="695" spans="1:7" ht="13.1">
      <c r="A695" s="415"/>
      <c r="B695" s="415"/>
      <c r="C695" s="299"/>
      <c r="D695" s="332"/>
      <c r="E695" s="332"/>
      <c r="F695" s="332"/>
      <c r="G695" s="288"/>
    </row>
    <row r="696" spans="1:7" ht="13.1">
      <c r="A696" s="413"/>
      <c r="B696" s="924" t="s">
        <v>135</v>
      </c>
      <c r="C696" s="299"/>
      <c r="D696" s="1552" t="s">
        <v>1664</v>
      </c>
      <c r="E696" s="1552"/>
      <c r="F696" s="1552"/>
      <c r="G696" s="288"/>
    </row>
    <row r="697" spans="1:7" ht="13.1">
      <c r="A697" s="33"/>
      <c r="B697" s="33"/>
      <c r="C697" s="299"/>
      <c r="D697" s="1552"/>
      <c r="E697" s="1552"/>
      <c r="F697" s="1552"/>
      <c r="G697" s="288"/>
    </row>
    <row r="698" spans="1:7" ht="13.1">
      <c r="A698" s="415"/>
      <c r="B698" s="415"/>
      <c r="C698" s="299"/>
      <c r="D698" s="1552"/>
      <c r="E698" s="1552"/>
      <c r="F698" s="1552"/>
      <c r="G698" s="288"/>
    </row>
    <row r="699" spans="1:7" ht="13.1">
      <c r="A699" s="415"/>
      <c r="B699" s="415"/>
      <c r="C699" s="299"/>
      <c r="D699" s="282"/>
      <c r="E699" s="282"/>
      <c r="F699" s="282"/>
      <c r="G699" s="288"/>
    </row>
    <row r="700" spans="1:7" ht="13.1">
      <c r="A700" s="413"/>
      <c r="B700" s="924" t="s">
        <v>135</v>
      </c>
      <c r="C700" s="299"/>
      <c r="D700" s="1554" t="s">
        <v>1269</v>
      </c>
      <c r="E700" s="1554"/>
      <c r="F700" s="1554"/>
      <c r="G700" s="288"/>
    </row>
    <row r="701" spans="1:7" ht="13.1">
      <c r="A701" s="413"/>
      <c r="B701" s="413"/>
      <c r="C701" s="299"/>
      <c r="D701" s="1554" t="s">
        <v>1225</v>
      </c>
      <c r="E701" s="1554"/>
      <c r="F701" s="1554"/>
      <c r="G701" s="288"/>
    </row>
    <row r="702" spans="1:7" ht="13.1">
      <c r="A702" s="415"/>
      <c r="B702" s="415"/>
      <c r="C702" s="299"/>
      <c r="D702" s="282"/>
      <c r="E702" s="1580" t="s">
        <v>2326</v>
      </c>
      <c r="F702" s="1580"/>
      <c r="G702" s="288"/>
    </row>
    <row r="703" spans="1:7" ht="13.1">
      <c r="A703" s="415"/>
      <c r="B703" s="415"/>
      <c r="C703" s="299"/>
      <c r="D703" s="6"/>
      <c r="E703" s="282"/>
      <c r="F703" s="282"/>
      <c r="G703" s="288"/>
    </row>
    <row r="704" spans="1:7" ht="13.1">
      <c r="A704" s="413"/>
      <c r="B704" s="924" t="s">
        <v>1498</v>
      </c>
      <c r="C704" s="299"/>
      <c r="D704" s="1585" t="s">
        <v>1665</v>
      </c>
      <c r="E704" s="1585"/>
      <c r="F704" s="1585"/>
      <c r="G704" s="288"/>
    </row>
    <row r="705" spans="1:7" ht="13.1">
      <c r="A705" s="415"/>
      <c r="B705" s="415"/>
      <c r="C705" s="299"/>
      <c r="D705" s="1585"/>
      <c r="E705" s="1585"/>
      <c r="F705" s="1585"/>
      <c r="G705" s="288"/>
    </row>
    <row r="706" spans="1:7" ht="13.1">
      <c r="A706" s="415"/>
      <c r="B706" s="415"/>
      <c r="C706" s="299"/>
      <c r="D706" s="1585"/>
      <c r="E706" s="1585"/>
      <c r="F706" s="1585"/>
      <c r="G706" s="288"/>
    </row>
    <row r="707" spans="1:7" ht="13.1">
      <c r="A707" s="415"/>
      <c r="B707" s="415"/>
      <c r="C707" s="299"/>
      <c r="D707" s="1585"/>
      <c r="E707" s="1585"/>
      <c r="F707" s="1585"/>
      <c r="G707" s="288"/>
    </row>
    <row r="708" spans="1:7" ht="13.1">
      <c r="A708" s="415"/>
      <c r="B708" s="415"/>
      <c r="C708" s="299"/>
      <c r="D708" s="1585"/>
      <c r="E708" s="1585"/>
      <c r="F708" s="1585"/>
      <c r="G708" s="288"/>
    </row>
    <row r="709" spans="1:7" ht="13.1">
      <c r="A709" s="415"/>
      <c r="B709" s="415"/>
      <c r="C709" s="299"/>
      <c r="D709" s="1585"/>
      <c r="E709" s="1585"/>
      <c r="F709" s="1585"/>
      <c r="G709" s="288"/>
    </row>
    <row r="710" spans="1:7" ht="13.1">
      <c r="A710" s="415"/>
      <c r="B710" s="415"/>
      <c r="C710" s="299"/>
      <c r="D710" s="1585"/>
      <c r="E710" s="1585"/>
      <c r="F710" s="1585"/>
      <c r="G710" s="288"/>
    </row>
    <row r="711" spans="1:7" ht="13.1">
      <c r="A711" s="415"/>
      <c r="B711" s="924" t="s">
        <v>135</v>
      </c>
      <c r="C711" s="299"/>
      <c r="D711" s="1584" t="s">
        <v>1896</v>
      </c>
      <c r="E711" s="1585"/>
      <c r="F711" s="1585"/>
      <c r="G711" s="288"/>
    </row>
    <row r="712" spans="1:7" ht="13.1">
      <c r="A712" s="415"/>
      <c r="B712" s="415"/>
      <c r="C712" s="299"/>
      <c r="D712" s="1585"/>
      <c r="E712" s="1585"/>
      <c r="F712" s="1585"/>
      <c r="G712" s="288"/>
    </row>
    <row r="713" spans="1:7" ht="13.1">
      <c r="A713" s="415"/>
      <c r="B713" s="415"/>
      <c r="C713" s="299"/>
      <c r="D713" s="136"/>
      <c r="E713" s="282"/>
      <c r="F713" s="282"/>
      <c r="G713" s="288"/>
    </row>
    <row r="714" spans="1:7" ht="14.5" customHeight="1">
      <c r="A714" s="413"/>
      <c r="B714" s="924" t="s">
        <v>135</v>
      </c>
      <c r="C714" s="299"/>
      <c r="D714" s="1585" t="s">
        <v>1666</v>
      </c>
      <c r="E714" s="1585"/>
      <c r="F714" s="1585"/>
      <c r="G714" s="288"/>
    </row>
    <row r="715" spans="1:7" ht="13.1">
      <c r="A715" s="415"/>
      <c r="B715" s="415"/>
      <c r="C715" s="299"/>
      <c r="D715" s="1585"/>
      <c r="E715" s="1585"/>
      <c r="F715" s="1585"/>
      <c r="G715" s="288"/>
    </row>
    <row r="716" spans="1:7" ht="13.1">
      <c r="A716" s="415"/>
      <c r="B716" s="415"/>
      <c r="C716" s="299"/>
      <c r="D716" s="1585"/>
      <c r="E716" s="1585"/>
      <c r="F716" s="1585"/>
      <c r="G716" s="288"/>
    </row>
    <row r="717" spans="1:7" ht="13.1">
      <c r="A717" s="415"/>
      <c r="B717" s="415"/>
      <c r="C717" s="299"/>
      <c r="D717" s="1585"/>
      <c r="E717" s="1585"/>
      <c r="F717" s="1585"/>
      <c r="G717" s="288"/>
    </row>
    <row r="718" spans="1:7" ht="13.1">
      <c r="A718" s="415"/>
      <c r="B718" s="415"/>
      <c r="C718" s="299"/>
      <c r="D718" s="1585"/>
      <c r="E718" s="1585"/>
      <c r="F718" s="1585"/>
      <c r="G718" s="288"/>
    </row>
    <row r="719" spans="1:7" ht="13.1">
      <c r="A719" s="415"/>
      <c r="B719" s="415"/>
      <c r="C719" s="299"/>
      <c r="D719" s="1585"/>
      <c r="E719" s="1585"/>
      <c r="F719" s="1585"/>
      <c r="G719" s="288"/>
    </row>
    <row r="720" spans="1:7" ht="13.1">
      <c r="A720" s="415"/>
      <c r="B720" s="415"/>
      <c r="C720" s="299"/>
      <c r="D720" s="1585"/>
      <c r="E720" s="1585"/>
      <c r="F720" s="1585"/>
      <c r="G720" s="288"/>
    </row>
    <row r="721" spans="1:9" ht="13.1">
      <c r="A721" s="415"/>
      <c r="B721" s="415"/>
      <c r="C721" s="299"/>
      <c r="D721" s="1585"/>
      <c r="E721" s="1585"/>
      <c r="F721" s="1585"/>
      <c r="G721" s="288"/>
    </row>
    <row r="722" spans="1:9" ht="13.1">
      <c r="A722" s="415"/>
      <c r="B722" s="415"/>
      <c r="C722" s="299"/>
      <c r="D722" s="1585"/>
      <c r="E722" s="1585"/>
      <c r="F722" s="1585"/>
      <c r="G722" s="288"/>
    </row>
    <row r="723" spans="1:9" ht="13.1">
      <c r="A723" s="415"/>
      <c r="B723" s="415"/>
      <c r="C723" s="299"/>
      <c r="D723" s="1585"/>
      <c r="E723" s="1585"/>
      <c r="F723" s="1585"/>
      <c r="G723" s="288"/>
    </row>
    <row r="724" spans="1:9" ht="13.1">
      <c r="A724" s="415"/>
      <c r="B724" s="415"/>
      <c r="C724" s="299"/>
      <c r="D724" s="1585"/>
      <c r="E724" s="1585"/>
      <c r="F724" s="1585"/>
      <c r="G724" s="288"/>
    </row>
    <row r="725" spans="1:9" ht="13.1">
      <c r="A725" s="415"/>
      <c r="B725" s="415"/>
      <c r="C725" s="299"/>
      <c r="D725" s="1585"/>
      <c r="E725" s="1585"/>
      <c r="F725" s="1585"/>
      <c r="G725" s="288"/>
    </row>
    <row r="726" spans="1:9" ht="13.1">
      <c r="A726" s="415"/>
      <c r="B726" s="415"/>
      <c r="C726" s="299"/>
      <c r="D726" s="1585"/>
      <c r="E726" s="1585"/>
      <c r="F726" s="1585"/>
      <c r="G726" s="288"/>
    </row>
    <row r="727" spans="1:9" s="50" customFormat="1" ht="13.1">
      <c r="A727" s="415"/>
      <c r="B727" s="924" t="s">
        <v>135</v>
      </c>
      <c r="C727" s="415"/>
      <c r="D727" s="1585" t="s">
        <v>1670</v>
      </c>
      <c r="E727" s="1585"/>
      <c r="F727" s="1585"/>
      <c r="G727" s="71"/>
      <c r="H727" s="860"/>
      <c r="I727" s="1060"/>
    </row>
    <row r="728" spans="1:9" s="50" customFormat="1" ht="13.1">
      <c r="A728" s="415"/>
      <c r="B728" s="415"/>
      <c r="C728" s="415"/>
      <c r="D728" s="1585"/>
      <c r="E728" s="1585"/>
      <c r="F728" s="1585"/>
      <c r="G728" s="71"/>
      <c r="H728" s="860"/>
      <c r="I728" s="1060"/>
    </row>
    <row r="729" spans="1:9" s="50" customFormat="1" ht="13.1">
      <c r="A729" s="415"/>
      <c r="B729" s="415"/>
      <c r="C729" s="415"/>
      <c r="D729" s="952"/>
      <c r="E729" s="952"/>
      <c r="F729" s="952"/>
      <c r="G729" s="71"/>
      <c r="H729" s="860"/>
      <c r="I729" s="1060"/>
    </row>
    <row r="730" spans="1:9" s="50" customFormat="1" ht="13.1">
      <c r="A730" s="415"/>
      <c r="B730" s="924" t="s">
        <v>135</v>
      </c>
      <c r="C730" s="415"/>
      <c r="D730" s="1585" t="s">
        <v>1671</v>
      </c>
      <c r="E730" s="1585"/>
      <c r="F730" s="1585"/>
      <c r="G730" s="71"/>
      <c r="H730" s="860"/>
      <c r="I730" s="1060"/>
    </row>
    <row r="731" spans="1:9" s="50" customFormat="1" ht="13.1">
      <c r="A731" s="415"/>
      <c r="B731" s="415"/>
      <c r="C731" s="415"/>
      <c r="D731" s="1585"/>
      <c r="E731" s="1585"/>
      <c r="F731" s="1585"/>
      <c r="G731" s="71"/>
      <c r="H731" s="860"/>
      <c r="I731" s="1060"/>
    </row>
    <row r="732" spans="1:9" s="50" customFormat="1" ht="13.1">
      <c r="A732" s="415"/>
      <c r="B732" s="415"/>
      <c r="C732" s="415"/>
      <c r="D732" s="1585"/>
      <c r="E732" s="1585"/>
      <c r="F732" s="1585"/>
      <c r="G732" s="71"/>
      <c r="H732" s="860"/>
      <c r="I732" s="1060"/>
    </row>
    <row r="733" spans="1:9" s="50" customFormat="1" ht="13.1">
      <c r="A733" s="415"/>
      <c r="B733" s="415"/>
      <c r="C733" s="415"/>
      <c r="D733" s="952"/>
      <c r="E733" s="952"/>
      <c r="F733" s="952"/>
      <c r="G733" s="71"/>
      <c r="H733" s="860"/>
      <c r="I733" s="1060"/>
    </row>
    <row r="734" spans="1:9" ht="14.5" customHeight="1">
      <c r="A734" s="413"/>
      <c r="B734" s="924" t="s">
        <v>135</v>
      </c>
      <c r="C734" s="299"/>
      <c r="D734" s="1584" t="s">
        <v>2125</v>
      </c>
      <c r="E734" s="1585"/>
      <c r="F734" s="1585"/>
      <c r="G734" s="288"/>
    </row>
    <row r="735" spans="1:9" ht="13.1">
      <c r="A735" s="415"/>
      <c r="B735" s="415"/>
      <c r="C735" s="299"/>
      <c r="D735" s="1585"/>
      <c r="E735" s="1585"/>
      <c r="F735" s="1585"/>
      <c r="G735" s="288"/>
    </row>
    <row r="736" spans="1:9" ht="13.1">
      <c r="A736" s="415"/>
      <c r="B736" s="415"/>
      <c r="C736" s="299"/>
      <c r="D736" s="1585"/>
      <c r="E736" s="1585"/>
      <c r="F736" s="1585"/>
      <c r="G736" s="288"/>
    </row>
    <row r="737" spans="1:9" ht="13.1">
      <c r="A737" s="415"/>
      <c r="B737" s="415"/>
      <c r="C737" s="299"/>
      <c r="D737" s="136"/>
      <c r="E737" s="282"/>
      <c r="F737" s="282"/>
      <c r="G737" s="288"/>
    </row>
    <row r="738" spans="1:9" ht="14.5" customHeight="1">
      <c r="A738" s="413"/>
      <c r="B738" s="924" t="s">
        <v>135</v>
      </c>
      <c r="C738" s="299"/>
      <c r="D738" s="1585" t="s">
        <v>1667</v>
      </c>
      <c r="E738" s="1585"/>
      <c r="F738" s="1585"/>
      <c r="G738" s="288"/>
    </row>
    <row r="739" spans="1:9" ht="13.1">
      <c r="A739" s="415"/>
      <c r="B739" s="415"/>
      <c r="C739" s="299"/>
      <c r="D739" s="1585"/>
      <c r="E739" s="1585"/>
      <c r="F739" s="1585"/>
      <c r="G739" s="288"/>
    </row>
    <row r="740" spans="1:9" ht="13.1">
      <c r="A740" s="415"/>
      <c r="B740" s="415"/>
      <c r="C740" s="299"/>
      <c r="D740" s="1585"/>
      <c r="E740" s="1585"/>
      <c r="F740" s="1585"/>
      <c r="G740" s="288"/>
    </row>
    <row r="741" spans="1:9" ht="13.1">
      <c r="A741" s="415"/>
      <c r="B741" s="415"/>
      <c r="C741" s="299"/>
      <c r="D741" s="332"/>
      <c r="E741" s="282"/>
      <c r="F741" s="282"/>
      <c r="G741" s="288"/>
      <c r="H741" s="404"/>
      <c r="I741" s="404"/>
    </row>
    <row r="742" spans="1:9" ht="13.1">
      <c r="A742" s="413"/>
      <c r="B742" s="924" t="s">
        <v>135</v>
      </c>
      <c r="C742" s="299"/>
      <c r="D742" s="1552" t="s">
        <v>1669</v>
      </c>
      <c r="E742" s="1552"/>
      <c r="F742" s="1552"/>
      <c r="G742" s="288"/>
    </row>
    <row r="743" spans="1:9" ht="13.1">
      <c r="A743" s="415"/>
      <c r="B743" s="415"/>
      <c r="C743" s="299"/>
      <c r="D743" s="1552"/>
      <c r="E743" s="1552"/>
      <c r="F743" s="1552"/>
      <c r="G743" s="288"/>
    </row>
    <row r="744" spans="1:9" ht="13.1">
      <c r="A744" s="415"/>
      <c r="B744" s="415"/>
      <c r="C744" s="299"/>
      <c r="D744" s="1552"/>
      <c r="E744" s="1552"/>
      <c r="F744" s="1552"/>
      <c r="G744" s="288"/>
    </row>
    <row r="745" spans="1:9" ht="13.1">
      <c r="A745" s="415"/>
      <c r="B745" s="415"/>
      <c r="C745" s="299"/>
      <c r="D745" s="1552"/>
      <c r="E745" s="1552"/>
      <c r="F745" s="1552"/>
      <c r="G745" s="288"/>
    </row>
    <row r="746" spans="1:9" ht="13.1">
      <c r="A746" s="415"/>
      <c r="B746" s="415"/>
      <c r="C746" s="299"/>
      <c r="D746" s="933"/>
      <c r="E746" s="933"/>
      <c r="F746" s="933"/>
      <c r="G746" s="288"/>
    </row>
    <row r="747" spans="1:9" s="50" customFormat="1" ht="13.1">
      <c r="A747" s="413"/>
      <c r="B747" s="924" t="s">
        <v>1498</v>
      </c>
      <c r="C747" s="415"/>
      <c r="D747" s="1585" t="s">
        <v>1838</v>
      </c>
      <c r="E747" s="1585"/>
      <c r="F747" s="1585"/>
      <c r="G747" s="71"/>
      <c r="H747" s="860"/>
      <c r="I747" s="1060"/>
    </row>
    <row r="748" spans="1:9" s="50" customFormat="1" ht="13.1">
      <c r="A748" s="415"/>
      <c r="B748" s="415"/>
      <c r="C748" s="415"/>
      <c r="D748" s="1585"/>
      <c r="E748" s="1585"/>
      <c r="F748" s="1585"/>
      <c r="G748" s="71"/>
      <c r="H748" s="860"/>
      <c r="I748" s="1060"/>
    </row>
    <row r="749" spans="1:9" s="50" customFormat="1" ht="13.1">
      <c r="A749" s="415"/>
      <c r="B749" s="415"/>
      <c r="C749" s="415"/>
      <c r="D749" s="1585"/>
      <c r="E749" s="1585"/>
      <c r="F749" s="1585"/>
      <c r="G749" s="71"/>
      <c r="H749" s="860"/>
      <c r="I749" s="1060"/>
    </row>
    <row r="750" spans="1:9" s="50" customFormat="1" ht="13.1">
      <c r="A750" s="415"/>
      <c r="B750" s="415"/>
      <c r="C750" s="415"/>
      <c r="D750" s="1585"/>
      <c r="E750" s="1585"/>
      <c r="F750" s="1585"/>
      <c r="G750" s="71"/>
      <c r="H750" s="860"/>
      <c r="I750" s="1060"/>
    </row>
    <row r="751" spans="1:9" s="50" customFormat="1" ht="13.1">
      <c r="A751" s="415"/>
      <c r="B751" s="415"/>
      <c r="C751" s="415"/>
      <c r="D751" s="1585"/>
      <c r="E751" s="1585"/>
      <c r="F751" s="1585"/>
      <c r="G751" s="71"/>
      <c r="H751" s="860"/>
      <c r="I751" s="1060"/>
    </row>
    <row r="752" spans="1:9" s="50" customFormat="1" ht="13.1">
      <c r="A752" s="415"/>
      <c r="B752" s="415"/>
      <c r="C752" s="415"/>
      <c r="D752" s="1585"/>
      <c r="E752" s="1585"/>
      <c r="F752" s="1585"/>
      <c r="G752" s="71"/>
      <c r="H752" s="860"/>
      <c r="I752" s="1060"/>
    </row>
    <row r="753" spans="1:9" s="50" customFormat="1" ht="13.1">
      <c r="A753" s="415"/>
      <c r="B753" s="415"/>
      <c r="C753" s="415"/>
      <c r="D753" s="1585"/>
      <c r="E753" s="1585"/>
      <c r="F753" s="1585"/>
      <c r="G753" s="71"/>
      <c r="H753" s="860"/>
      <c r="I753" s="1060"/>
    </row>
    <row r="754" spans="1:9" s="50" customFormat="1" ht="13.1">
      <c r="A754" s="415"/>
      <c r="B754" s="415"/>
      <c r="C754" s="415"/>
      <c r="D754" s="1630" t="s">
        <v>1668</v>
      </c>
      <c r="E754" s="1630"/>
      <c r="F754" s="1630"/>
      <c r="G754" s="71"/>
      <c r="H754" s="860"/>
      <c r="I754" s="1060"/>
    </row>
    <row r="755" spans="1:9" s="50" customFormat="1" ht="13.1">
      <c r="A755" s="415"/>
      <c r="B755" s="415"/>
      <c r="C755" s="415"/>
      <c r="D755" s="865"/>
      <c r="E755" s="8"/>
      <c r="F755" s="8"/>
      <c r="G755" s="71"/>
      <c r="H755" s="860"/>
      <c r="I755" s="1060"/>
    </row>
    <row r="756" spans="1:9" ht="13.1">
      <c r="A756" s="1601" t="s">
        <v>1554</v>
      </c>
      <c r="B756" s="1601"/>
      <c r="C756" s="1601"/>
      <c r="D756" s="1601"/>
      <c r="E756" s="1601"/>
      <c r="F756" s="1601"/>
      <c r="G756" s="1601"/>
      <c r="H756" s="404"/>
      <c r="I756" s="404"/>
    </row>
    <row r="757" spans="1:9" ht="13.1">
      <c r="A757" s="415"/>
      <c r="B757" s="415"/>
      <c r="C757" s="299"/>
      <c r="D757" s="332"/>
      <c r="E757" s="282"/>
      <c r="F757" s="282"/>
      <c r="G757" s="288"/>
      <c r="H757" s="404"/>
      <c r="I757" s="404"/>
    </row>
    <row r="758" spans="1:9" ht="13.1">
      <c r="A758" s="140"/>
      <c r="B758" s="140"/>
      <c r="C758" s="299"/>
      <c r="D758" s="1563" t="s">
        <v>1579</v>
      </c>
      <c r="E758" s="1563"/>
      <c r="F758" s="1563"/>
      <c r="G758" s="288"/>
      <c r="H758" s="404"/>
      <c r="I758" s="404"/>
    </row>
    <row r="759" spans="1:9" ht="13.1">
      <c r="A759" s="414"/>
      <c r="B759" s="414"/>
      <c r="C759" s="298"/>
      <c r="D759" s="1559" t="s">
        <v>1582</v>
      </c>
      <c r="E759" s="1559"/>
      <c r="F759" s="1559"/>
      <c r="G759" s="288"/>
      <c r="H759" s="404"/>
      <c r="I759" s="404"/>
    </row>
    <row r="760" spans="1:9" ht="13.1">
      <c r="A760" s="415"/>
      <c r="B760" s="415"/>
      <c r="C760" s="299"/>
      <c r="D760" s="282"/>
      <c r="E760" s="282"/>
      <c r="F760" s="282"/>
      <c r="G760" s="288"/>
      <c r="H760" s="404"/>
      <c r="I760" s="404"/>
    </row>
    <row r="761" spans="1:9" ht="14.25" customHeight="1">
      <c r="A761" s="413"/>
      <c r="B761" s="924" t="s">
        <v>1498</v>
      </c>
      <c r="C761" s="14"/>
      <c r="D761" s="1552" t="s">
        <v>1580</v>
      </c>
      <c r="E761" s="1552"/>
      <c r="F761" s="1552"/>
      <c r="G761" s="288"/>
      <c r="H761" s="404"/>
      <c r="I761" s="404"/>
    </row>
    <row r="762" spans="1:9" ht="11.2" customHeight="1">
      <c r="A762" s="140"/>
      <c r="B762" s="140"/>
      <c r="C762" s="14"/>
      <c r="D762" s="1552"/>
      <c r="E762" s="1552"/>
      <c r="F762" s="1552"/>
      <c r="G762" s="288"/>
      <c r="H762" s="404"/>
      <c r="I762" s="404"/>
    </row>
    <row r="763" spans="1:9" ht="12.6">
      <c r="A763" s="140"/>
      <c r="B763" s="140"/>
      <c r="C763" s="14"/>
      <c r="D763" s="1552"/>
      <c r="E763" s="1552"/>
      <c r="F763" s="1552"/>
      <c r="G763" s="288"/>
      <c r="H763" s="404"/>
      <c r="I763" s="404"/>
    </row>
    <row r="764" spans="1:9" ht="12.6">
      <c r="A764" s="140"/>
      <c r="B764" s="140"/>
      <c r="C764" s="14"/>
      <c r="D764" s="1552"/>
      <c r="E764" s="1552"/>
      <c r="F764" s="1552"/>
      <c r="G764" s="288"/>
      <c r="H764" s="404"/>
      <c r="I764" s="404"/>
    </row>
    <row r="765" spans="1:9" ht="12.6">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6">
      <c r="A767" s="150"/>
      <c r="B767" s="150"/>
      <c r="D767" s="403"/>
      <c r="E767" s="403"/>
      <c r="F767" s="403"/>
      <c r="G767" s="288"/>
      <c r="H767" s="404"/>
      <c r="I767" s="404"/>
    </row>
    <row r="768" spans="1:9" ht="12.75" customHeight="1">
      <c r="A768" s="140"/>
      <c r="B768" s="924" t="s">
        <v>135</v>
      </c>
      <c r="C768" s="14"/>
      <c r="D768" s="1605" t="s">
        <v>2055</v>
      </c>
      <c r="E768" s="1605"/>
      <c r="F768" s="1605"/>
      <c r="G768" s="288"/>
      <c r="H768" s="404"/>
      <c r="I768" s="404"/>
    </row>
    <row r="769" spans="1:9" ht="12.6">
      <c r="A769" s="140"/>
      <c r="B769" s="140"/>
      <c r="C769" s="14"/>
      <c r="D769" s="1605"/>
      <c r="E769" s="1605"/>
      <c r="F769" s="1605"/>
      <c r="G769" s="288"/>
      <c r="H769" s="404"/>
      <c r="I769" s="404"/>
    </row>
    <row r="770" spans="1:9" ht="12.6">
      <c r="A770" s="140"/>
      <c r="B770" s="140"/>
      <c r="C770" s="14"/>
      <c r="D770" s="1605"/>
      <c r="E770" s="1605"/>
      <c r="F770" s="1605"/>
      <c r="G770" s="288"/>
      <c r="H770" s="404"/>
      <c r="I770" s="404"/>
    </row>
    <row r="771" spans="1:9" ht="12.6">
      <c r="A771" s="140"/>
      <c r="B771" s="140"/>
      <c r="C771" s="14"/>
      <c r="D771" s="1605"/>
      <c r="E771" s="1605"/>
      <c r="F771" s="1605"/>
      <c r="G771" s="288"/>
      <c r="H771" s="404"/>
      <c r="I771" s="404"/>
    </row>
    <row r="772" spans="1:9" ht="12.6">
      <c r="A772" s="140"/>
      <c r="B772" s="140"/>
      <c r="C772" s="14"/>
      <c r="D772" s="403"/>
      <c r="G772" s="288"/>
      <c r="H772" s="404"/>
      <c r="I772" s="404"/>
    </row>
    <row r="773" spans="1:9" ht="12.6">
      <c r="A773" s="140"/>
      <c r="B773" s="924" t="s">
        <v>135</v>
      </c>
      <c r="C773" s="667"/>
      <c r="D773" s="1602" t="s">
        <v>2056</v>
      </c>
      <c r="E773" s="1603"/>
      <c r="F773" s="1603"/>
      <c r="G773" s="689"/>
      <c r="H773" s="404"/>
      <c r="I773" s="404"/>
    </row>
    <row r="774" spans="1:9" ht="12.6">
      <c r="A774" s="667"/>
      <c r="B774" s="667"/>
      <c r="C774" s="667"/>
      <c r="D774" s="1603"/>
      <c r="E774" s="1603"/>
      <c r="F774" s="1603"/>
      <c r="G774" s="689"/>
      <c r="H774" s="404"/>
      <c r="I774" s="404"/>
    </row>
    <row r="775" spans="1:9" ht="12.6">
      <c r="A775" s="667"/>
      <c r="B775" s="667"/>
      <c r="C775" s="667"/>
      <c r="D775" s="1603"/>
      <c r="E775" s="1603"/>
      <c r="F775" s="1603"/>
      <c r="G775" s="689"/>
      <c r="H775" s="404"/>
      <c r="I775" s="404"/>
    </row>
    <row r="776" spans="1:9" ht="12.6">
      <c r="A776" s="150"/>
      <c r="B776" s="150"/>
      <c r="D776" s="403"/>
      <c r="E776" s="403"/>
      <c r="F776" s="403"/>
      <c r="G776" s="288"/>
      <c r="H776" s="404"/>
      <c r="I776" s="404"/>
    </row>
    <row r="777" spans="1:9" ht="12.6">
      <c r="A777" s="150"/>
      <c r="B777" s="924" t="s">
        <v>135</v>
      </c>
      <c r="D777" s="1595" t="s">
        <v>1581</v>
      </c>
      <c r="E777" s="1595"/>
      <c r="F777" s="1595"/>
      <c r="G777" s="288"/>
      <c r="H777" s="404"/>
      <c r="I777" s="404"/>
    </row>
    <row r="778" spans="1:9" ht="12.6">
      <c r="A778" s="150"/>
      <c r="B778" s="150"/>
      <c r="D778" s="1595"/>
      <c r="E778" s="1595"/>
      <c r="F778" s="1595"/>
      <c r="G778" s="288"/>
      <c r="H778" s="404"/>
      <c r="I778" s="404"/>
    </row>
    <row r="779" spans="1:9" ht="12.6">
      <c r="A779" s="150"/>
      <c r="B779" s="150"/>
      <c r="D779" s="931"/>
      <c r="E779" s="931"/>
      <c r="F779" s="931"/>
      <c r="G779" s="288"/>
      <c r="H779" s="404"/>
      <c r="I779" s="404"/>
    </row>
    <row r="780" spans="1:9" ht="13.75" customHeight="1">
      <c r="A780" s="150"/>
      <c r="B780" s="924" t="s">
        <v>135</v>
      </c>
      <c r="D780" s="1562" t="s">
        <v>1920</v>
      </c>
      <c r="E780" s="1595"/>
      <c r="F780" s="1595"/>
      <c r="G780" s="288"/>
      <c r="H780" s="404"/>
      <c r="I780" s="404"/>
    </row>
    <row r="781" spans="1:9" ht="12.6">
      <c r="A781" s="150"/>
      <c r="B781" s="150"/>
      <c r="D781" s="1595"/>
      <c r="E781" s="1595"/>
      <c r="F781" s="1595"/>
      <c r="G781" s="288"/>
      <c r="H781" s="404"/>
      <c r="I781" s="404"/>
    </row>
    <row r="782" spans="1:9" ht="12.6">
      <c r="A782" s="150"/>
      <c r="B782" s="150"/>
      <c r="D782" s="1595"/>
      <c r="E782" s="1595"/>
      <c r="F782" s="1595"/>
      <c r="G782" s="288"/>
      <c r="H782" s="404"/>
      <c r="I782" s="404"/>
    </row>
    <row r="783" spans="1:9" ht="12.6">
      <c r="A783" s="150"/>
      <c r="B783" s="150"/>
      <c r="D783" s="931"/>
      <c r="E783" s="931"/>
      <c r="F783" s="931"/>
      <c r="G783" s="288"/>
      <c r="H783" s="404"/>
      <c r="I783" s="404"/>
    </row>
    <row r="784" spans="1:9" ht="12" customHeight="1">
      <c r="A784" s="1601" t="s">
        <v>1741</v>
      </c>
      <c r="B784" s="1601"/>
      <c r="C784" s="1601"/>
      <c r="D784" s="1601"/>
      <c r="E784" s="1601"/>
      <c r="F784" s="1601"/>
      <c r="G784" s="1601"/>
      <c r="H784" s="404"/>
      <c r="I784" s="404"/>
    </row>
    <row r="785" spans="1:9" ht="13.1">
      <c r="A785" s="107"/>
      <c r="B785" s="107"/>
      <c r="C785" s="302"/>
      <c r="D785" s="283"/>
      <c r="E785" s="283"/>
      <c r="F785" s="283"/>
      <c r="G785" s="288"/>
      <c r="H785" s="404"/>
      <c r="I785" s="404"/>
    </row>
    <row r="786" spans="1:9" ht="13.75" customHeight="1">
      <c r="A786" s="107"/>
      <c r="B786" s="107"/>
      <c r="C786" s="302"/>
      <c r="D786" s="1645" t="s">
        <v>1742</v>
      </c>
      <c r="E786" s="1645"/>
      <c r="F786" s="1645"/>
      <c r="G786" s="288"/>
      <c r="H786" s="404"/>
      <c r="I786" s="404"/>
    </row>
    <row r="787" spans="1:9" ht="13.1">
      <c r="A787" s="107"/>
      <c r="B787" s="107"/>
      <c r="C787" s="302"/>
      <c r="D787" s="1646" t="s">
        <v>1743</v>
      </c>
      <c r="E787" s="1646"/>
      <c r="F787" s="1646"/>
      <c r="G787" s="288"/>
      <c r="H787" s="404"/>
      <c r="I787" s="404"/>
    </row>
    <row r="788" spans="1:9" ht="13.1">
      <c r="A788" s="107"/>
      <c r="B788" s="107"/>
      <c r="C788" s="302"/>
      <c r="D788" s="970"/>
      <c r="E788" s="970"/>
      <c r="F788" s="970"/>
      <c r="G788" s="288"/>
      <c r="H788" s="404"/>
      <c r="I788" s="404"/>
    </row>
    <row r="789" spans="1:9" ht="13.1">
      <c r="A789" s="107"/>
      <c r="B789" s="924" t="s">
        <v>1498</v>
      </c>
      <c r="C789" s="302"/>
      <c r="D789" s="1631" t="s">
        <v>1744</v>
      </c>
      <c r="E789" s="1631"/>
      <c r="F789" s="1631"/>
      <c r="G789" s="288"/>
      <c r="H789" s="404"/>
      <c r="I789" s="404"/>
    </row>
    <row r="790" spans="1:9" ht="13.1">
      <c r="A790" s="107"/>
      <c r="B790" s="107"/>
      <c r="C790" s="302"/>
      <c r="D790" s="1631"/>
      <c r="E790" s="1631"/>
      <c r="F790" s="1631"/>
      <c r="G790" s="288"/>
      <c r="H790" s="404"/>
      <c r="I790" s="404"/>
    </row>
    <row r="791" spans="1:9" ht="13.1">
      <c r="A791" s="415"/>
      <c r="B791" s="415"/>
      <c r="C791" s="299"/>
      <c r="D791" s="1631"/>
      <c r="E791" s="1631"/>
      <c r="F791" s="1631"/>
      <c r="G791" s="284"/>
      <c r="H791" s="404"/>
      <c r="I791" s="404"/>
    </row>
    <row r="792" spans="1:9" ht="13.1">
      <c r="A792" s="150"/>
      <c r="B792" s="150"/>
      <c r="C792" s="285"/>
      <c r="D792" s="411"/>
      <c r="E792" s="288"/>
      <c r="F792" s="288"/>
      <c r="G792" s="288"/>
      <c r="H792" s="404"/>
      <c r="I792" s="404"/>
    </row>
    <row r="793" spans="1:9" ht="13.1">
      <c r="A793" s="418"/>
      <c r="B793" s="924" t="s">
        <v>135</v>
      </c>
      <c r="C793" s="303"/>
      <c r="D793" s="1631" t="s">
        <v>1745</v>
      </c>
      <c r="E793" s="1631"/>
      <c r="F793" s="1631"/>
      <c r="G793" s="288"/>
      <c r="H793" s="404"/>
      <c r="I793" s="404"/>
    </row>
    <row r="794" spans="1:9" ht="13.1">
      <c r="A794" s="718"/>
      <c r="B794" s="718"/>
      <c r="C794" s="719"/>
      <c r="D794" s="1631"/>
      <c r="E794" s="1631"/>
      <c r="F794" s="1631"/>
      <c r="G794" s="288"/>
      <c r="H794" s="404"/>
      <c r="I794" s="404"/>
    </row>
    <row r="795" spans="1:9" ht="13.1">
      <c r="A795" s="418"/>
      <c r="B795" s="418"/>
      <c r="C795" s="303"/>
      <c r="D795" s="1631"/>
      <c r="E795" s="1631"/>
      <c r="F795" s="1631"/>
      <c r="G795" s="288"/>
      <c r="H795" s="404"/>
      <c r="I795" s="404"/>
    </row>
    <row r="796" spans="1:9" ht="13.1">
      <c r="A796" s="415"/>
      <c r="B796" s="415"/>
      <c r="C796" s="299"/>
      <c r="D796" s="282"/>
      <c r="E796" s="296"/>
      <c r="F796" s="296"/>
      <c r="G796" s="554"/>
      <c r="H796" s="404"/>
      <c r="I796" s="404"/>
    </row>
    <row r="797" spans="1:9" ht="14.5" customHeight="1">
      <c r="A797" s="413"/>
      <c r="B797" s="924" t="s">
        <v>135</v>
      </c>
      <c r="C797" s="322"/>
      <c r="D797" s="1572" t="s">
        <v>1859</v>
      </c>
      <c r="E797" s="1572"/>
      <c r="F797" s="1572"/>
      <c r="G797" s="554"/>
      <c r="H797" s="404"/>
      <c r="I797" s="404"/>
    </row>
    <row r="798" spans="1:9" ht="13.1">
      <c r="A798" s="413"/>
      <c r="B798" s="413"/>
      <c r="C798" s="322"/>
      <c r="D798" s="1572"/>
      <c r="E798" s="1572"/>
      <c r="F798" s="1572"/>
      <c r="G798" s="554"/>
      <c r="H798" s="404"/>
      <c r="I798" s="404"/>
    </row>
    <row r="799" spans="1:9" ht="13.1">
      <c r="A799" s="413"/>
      <c r="B799" s="413"/>
      <c r="C799" s="322"/>
      <c r="D799" s="1572"/>
      <c r="E799" s="1572"/>
      <c r="F799" s="1572"/>
      <c r="G799" s="554"/>
      <c r="H799" s="404"/>
      <c r="I799" s="404"/>
    </row>
    <row r="800" spans="1:9" ht="13.1">
      <c r="A800" s="413"/>
      <c r="B800" s="413"/>
      <c r="C800" s="322"/>
      <c r="D800" s="1029"/>
      <c r="E800" s="282"/>
      <c r="F800" s="282"/>
      <c r="G800" s="554"/>
      <c r="H800" s="404"/>
      <c r="I800" s="404"/>
    </row>
    <row r="801" spans="1:9" ht="14.25" customHeight="1">
      <c r="A801" s="413"/>
      <c r="B801" s="924" t="s">
        <v>135</v>
      </c>
      <c r="C801" s="322"/>
      <c r="D801" s="1631" t="s">
        <v>1746</v>
      </c>
      <c r="E801" s="1631"/>
      <c r="F801" s="1631"/>
      <c r="G801" s="554"/>
      <c r="H801" s="404"/>
      <c r="I801" s="404"/>
    </row>
    <row r="802" spans="1:9" ht="13.1">
      <c r="A802" s="413"/>
      <c r="B802" s="413"/>
      <c r="C802" s="322"/>
      <c r="D802" s="1631"/>
      <c r="E802" s="1631"/>
      <c r="F802" s="1631"/>
      <c r="G802" s="554"/>
      <c r="H802" s="404"/>
      <c r="I802" s="404"/>
    </row>
    <row r="803" spans="1:9" ht="13.1">
      <c r="A803" s="413"/>
      <c r="B803" s="413"/>
      <c r="C803" s="322"/>
      <c r="D803" s="1631"/>
      <c r="E803" s="1631"/>
      <c r="F803" s="1631"/>
      <c r="G803" s="554"/>
      <c r="H803" s="404"/>
      <c r="I803" s="404"/>
    </row>
    <row r="804" spans="1:9" ht="13.1">
      <c r="A804" s="413"/>
      <c r="B804" s="413"/>
      <c r="C804" s="322"/>
      <c r="D804" s="1631"/>
      <c r="E804" s="1631"/>
      <c r="F804" s="1631"/>
      <c r="G804" s="554"/>
      <c r="H804" s="404"/>
      <c r="I804" s="404"/>
    </row>
    <row r="805" spans="1:9" ht="13.1">
      <c r="A805" s="413"/>
      <c r="B805" s="413"/>
      <c r="C805" s="322"/>
      <c r="D805" s="1631"/>
      <c r="E805" s="1631"/>
      <c r="F805" s="1631"/>
      <c r="G805" s="554"/>
      <c r="H805" s="404"/>
      <c r="I805" s="404"/>
    </row>
    <row r="806" spans="1:9" ht="13.1">
      <c r="A806" s="413"/>
      <c r="B806" s="413"/>
      <c r="C806" s="322"/>
      <c r="D806" s="1572" t="s">
        <v>2229</v>
      </c>
      <c r="E806" s="1572"/>
      <c r="F806" s="1572"/>
      <c r="G806" s="554"/>
      <c r="H806" s="404"/>
      <c r="I806" s="404"/>
    </row>
    <row r="807" spans="1:9" ht="13.1">
      <c r="A807" s="413"/>
      <c r="B807" s="413"/>
      <c r="C807" s="322"/>
      <c r="D807" s="1572"/>
      <c r="E807" s="1572"/>
      <c r="F807" s="1572"/>
      <c r="G807" s="554"/>
      <c r="H807" s="404"/>
      <c r="I807" s="404"/>
    </row>
    <row r="808" spans="1:9" ht="13.1">
      <c r="A808" s="413"/>
      <c r="B808" s="413"/>
      <c r="C808" s="322"/>
      <c r="D808" s="1572"/>
      <c r="E808" s="1572"/>
      <c r="F808" s="1572"/>
      <c r="G808" s="554"/>
      <c r="H808" s="404"/>
      <c r="I808" s="404"/>
    </row>
    <row r="809" spans="1:9" ht="13.1">
      <c r="A809" s="413"/>
      <c r="B809" s="14"/>
      <c r="C809" s="322"/>
      <c r="D809" s="1298"/>
      <c r="E809" s="1298"/>
      <c r="F809" s="1298"/>
      <c r="G809" s="554"/>
      <c r="H809" s="404"/>
      <c r="I809" s="404"/>
    </row>
    <row r="810" spans="1:9" ht="13.1">
      <c r="A810" s="413"/>
      <c r="B810" s="924" t="s">
        <v>135</v>
      </c>
      <c r="C810" s="322"/>
      <c r="D810" s="1631" t="s">
        <v>1748</v>
      </c>
      <c r="E810" s="1631"/>
      <c r="F810" s="1631"/>
      <c r="G810" s="554"/>
      <c r="H810" s="404"/>
      <c r="I810" s="404"/>
    </row>
    <row r="811" spans="1:9" ht="13.1">
      <c r="A811" s="413"/>
      <c r="B811" s="413"/>
      <c r="C811" s="322"/>
      <c r="D811" s="1631"/>
      <c r="E811" s="1631"/>
      <c r="F811" s="1631"/>
      <c r="G811" s="554"/>
      <c r="H811" s="404"/>
      <c r="I811" s="404"/>
    </row>
    <row r="812" spans="1:9" ht="13.1">
      <c r="A812" s="413"/>
      <c r="B812" s="413"/>
      <c r="C812" s="322"/>
      <c r="D812" s="1631"/>
      <c r="E812" s="1631"/>
      <c r="F812" s="1631"/>
      <c r="G812" s="554"/>
      <c r="H812" s="404"/>
      <c r="I812" s="404"/>
    </row>
    <row r="813" spans="1:9" ht="13.1">
      <c r="A813" s="413"/>
      <c r="B813" s="413"/>
      <c r="C813" s="322"/>
      <c r="D813" s="1631"/>
      <c r="E813" s="1631"/>
      <c r="F813" s="1631"/>
      <c r="G813" s="554"/>
      <c r="H813" s="404"/>
      <c r="I813" s="404"/>
    </row>
    <row r="814" spans="1:9" ht="13.1">
      <c r="A814" s="413"/>
      <c r="B814" s="413"/>
      <c r="C814" s="322"/>
      <c r="D814" s="1631"/>
      <c r="E814" s="1631"/>
      <c r="F814" s="1631"/>
      <c r="G814" s="554"/>
      <c r="H814" s="404"/>
      <c r="I814" s="404"/>
    </row>
    <row r="815" spans="1:9" ht="13.1">
      <c r="A815" s="413"/>
      <c r="B815" s="413"/>
      <c r="C815" s="322"/>
      <c r="D815" s="1631"/>
      <c r="E815" s="1631"/>
      <c r="F815" s="1631"/>
      <c r="G815" s="554"/>
      <c r="H815" s="404"/>
      <c r="I815" s="404"/>
    </row>
    <row r="816" spans="1:9" ht="13.1">
      <c r="A816" s="413"/>
      <c r="B816" s="413"/>
      <c r="C816" s="322"/>
      <c r="D816" s="1286"/>
      <c r="E816" s="1286"/>
      <c r="F816" s="1286"/>
      <c r="G816" s="554"/>
      <c r="H816" s="404"/>
      <c r="I816" s="404"/>
    </row>
    <row r="817" spans="1:9" ht="13.1">
      <c r="A817" s="413"/>
      <c r="B817" s="1287" t="s">
        <v>135</v>
      </c>
      <c r="C817" s="322"/>
      <c r="D817" s="1572" t="s">
        <v>2057</v>
      </c>
      <c r="E817" s="1631"/>
      <c r="F817" s="1631"/>
      <c r="G817" s="554"/>
      <c r="H817" s="404"/>
      <c r="I817" s="404"/>
    </row>
    <row r="818" spans="1:9" ht="13.1">
      <c r="A818" s="413"/>
      <c r="B818" s="413"/>
      <c r="C818" s="322"/>
      <c r="D818" s="1631"/>
      <c r="E818" s="1631"/>
      <c r="F818" s="1631"/>
      <c r="G818" s="554"/>
      <c r="H818" s="404"/>
      <c r="I818" s="404"/>
    </row>
    <row r="819" spans="1:9" ht="13.1">
      <c r="A819" s="413"/>
      <c r="B819" s="413"/>
      <c r="C819" s="322"/>
      <c r="D819" s="1631"/>
      <c r="E819" s="1631"/>
      <c r="F819" s="1631"/>
      <c r="G819" s="554"/>
      <c r="H819" s="404"/>
      <c r="I819" s="404"/>
    </row>
    <row r="820" spans="1:9" ht="13.1">
      <c r="A820" s="413"/>
      <c r="B820" s="413"/>
      <c r="C820" s="322"/>
      <c r="D820" s="1631"/>
      <c r="E820" s="1631"/>
      <c r="F820" s="1631"/>
      <c r="G820" s="554"/>
      <c r="H820" s="404"/>
      <c r="I820" s="404"/>
    </row>
    <row r="821" spans="1:9" ht="13.1">
      <c r="A821" s="413"/>
      <c r="B821" s="413"/>
      <c r="C821" s="322"/>
      <c r="D821" s="1631"/>
      <c r="E821" s="1631"/>
      <c r="F821" s="1631"/>
      <c r="G821" s="554"/>
      <c r="H821" s="404"/>
      <c r="I821" s="404"/>
    </row>
    <row r="822" spans="1:9" ht="13.1">
      <c r="A822" s="413"/>
      <c r="B822" s="413"/>
      <c r="C822" s="322"/>
      <c r="D822" s="1031"/>
      <c r="E822" s="1031"/>
      <c r="F822" s="1031"/>
      <c r="G822" s="554"/>
      <c r="H822" s="404"/>
      <c r="I822" s="404"/>
    </row>
    <row r="823" spans="1:9" ht="13.1">
      <c r="A823" s="413"/>
      <c r="B823" s="924" t="s">
        <v>135</v>
      </c>
      <c r="C823" s="322"/>
      <c r="D823" s="1631" t="s">
        <v>1747</v>
      </c>
      <c r="E823" s="1631"/>
      <c r="F823" s="1631"/>
      <c r="G823" s="554"/>
      <c r="H823" s="404"/>
      <c r="I823" s="404"/>
    </row>
    <row r="824" spans="1:9" ht="13.1">
      <c r="A824" s="413"/>
      <c r="B824" s="413"/>
      <c r="C824" s="322"/>
      <c r="D824" s="1631"/>
      <c r="E824" s="1631"/>
      <c r="F824" s="1631"/>
      <c r="G824" s="554"/>
      <c r="H824" s="404"/>
      <c r="I824" s="404"/>
    </row>
    <row r="825" spans="1:9" ht="13.1">
      <c r="A825" s="413"/>
      <c r="B825" s="413"/>
      <c r="C825" s="322"/>
      <c r="D825" s="1631"/>
      <c r="E825" s="1631"/>
      <c r="F825" s="1631"/>
      <c r="G825" s="554"/>
      <c r="H825" s="404"/>
      <c r="I825" s="404"/>
    </row>
    <row r="826" spans="1:9" ht="13.1">
      <c r="A826" s="413"/>
      <c r="B826" s="413"/>
      <c r="C826" s="322"/>
      <c r="D826" s="1631"/>
      <c r="E826" s="1631"/>
      <c r="F826" s="1631"/>
      <c r="G826" s="554"/>
      <c r="H826" s="404"/>
      <c r="I826" s="404"/>
    </row>
    <row r="827" spans="1:9" ht="13.1">
      <c r="A827" s="413"/>
      <c r="B827" s="413"/>
      <c r="C827" s="322"/>
      <c r="D827" s="296"/>
      <c r="E827" s="282"/>
      <c r="F827" s="282"/>
      <c r="G827" s="554"/>
      <c r="H827" s="404"/>
      <c r="I827" s="404"/>
    </row>
    <row r="828" spans="1:9" ht="13.1">
      <c r="A828" s="413"/>
      <c r="B828" s="924" t="s">
        <v>135</v>
      </c>
      <c r="C828" s="322"/>
      <c r="D828" s="1632" t="s">
        <v>1750</v>
      </c>
      <c r="E828" s="1632"/>
      <c r="F828" s="1632"/>
      <c r="G828" s="554"/>
      <c r="H828" s="404"/>
      <c r="I828" s="404"/>
    </row>
    <row r="829" spans="1:9" ht="13.1">
      <c r="A829" s="413"/>
      <c r="B829" s="413"/>
      <c r="C829" s="322"/>
      <c r="D829" s="1632"/>
      <c r="E829" s="1632"/>
      <c r="F829" s="1632"/>
      <c r="G829" s="554"/>
      <c r="H829" s="404"/>
      <c r="I829" s="404"/>
    </row>
    <row r="830" spans="1:9" ht="13.1">
      <c r="A830" s="33"/>
      <c r="B830" s="33"/>
      <c r="C830" s="322"/>
      <c r="D830" s="1632"/>
      <c r="E830" s="1632"/>
      <c r="F830" s="1632"/>
      <c r="G830" s="554"/>
      <c r="H830" s="404"/>
      <c r="I830" s="404"/>
    </row>
    <row r="831" spans="1:9" ht="13.1">
      <c r="A831" s="413"/>
      <c r="B831" s="971"/>
      <c r="C831" s="322"/>
      <c r="D831" s="1632"/>
      <c r="E831" s="1632"/>
      <c r="F831" s="1632"/>
      <c r="G831" s="554"/>
      <c r="H831" s="404"/>
      <c r="I831" s="404"/>
    </row>
    <row r="832" spans="1:9" ht="13.1">
      <c r="A832" s="413"/>
      <c r="B832" s="971"/>
      <c r="C832" s="322"/>
      <c r="D832" s="1632"/>
      <c r="E832" s="1632"/>
      <c r="F832" s="1632"/>
      <c r="G832" s="554"/>
      <c r="H832" s="404"/>
      <c r="I832" s="404"/>
    </row>
    <row r="833" spans="1:9" ht="13.1">
      <c r="A833" s="413"/>
      <c r="B833" s="971"/>
      <c r="C833" s="322"/>
      <c r="D833" s="1632"/>
      <c r="E833" s="1632"/>
      <c r="F833" s="1632"/>
      <c r="G833" s="554"/>
      <c r="H833" s="404"/>
      <c r="I833" s="404"/>
    </row>
    <row r="834" spans="1:9" ht="13.1">
      <c r="A834" s="413"/>
      <c r="B834" s="1032"/>
      <c r="C834" s="322"/>
      <c r="D834" s="1030"/>
      <c r="E834" s="1030"/>
      <c r="F834" s="1030"/>
      <c r="G834" s="554"/>
      <c r="H834" s="404"/>
      <c r="I834" s="404"/>
    </row>
    <row r="835" spans="1:9" ht="13.1">
      <c r="A835" s="413"/>
      <c r="B835" s="924" t="s">
        <v>135</v>
      </c>
      <c r="C835" s="322"/>
      <c r="D835" s="1631" t="s">
        <v>1749</v>
      </c>
      <c r="E835" s="1631"/>
      <c r="F835" s="1631"/>
      <c r="G835" s="554"/>
      <c r="H835" s="404"/>
      <c r="I835" s="404"/>
    </row>
    <row r="836" spans="1:9" ht="13.1">
      <c r="A836" s="413"/>
      <c r="B836" s="413"/>
      <c r="C836" s="322"/>
      <c r="D836" s="1631"/>
      <c r="E836" s="1631"/>
      <c r="F836" s="1631"/>
      <c r="G836" s="554"/>
      <c r="H836" s="404"/>
      <c r="I836" s="404"/>
    </row>
    <row r="837" spans="1:9" ht="13.1">
      <c r="A837" s="413"/>
      <c r="B837" s="413"/>
      <c r="C837" s="322"/>
      <c r="D837" s="296"/>
      <c r="E837" s="282"/>
      <c r="F837" s="282"/>
      <c r="G837" s="554"/>
      <c r="H837" s="404"/>
      <c r="I837" s="404"/>
    </row>
    <row r="838" spans="1:9" ht="13.1">
      <c r="A838" s="413"/>
      <c r="B838" s="924" t="s">
        <v>135</v>
      </c>
      <c r="C838" s="322"/>
      <c r="D838" s="1632" t="s">
        <v>1751</v>
      </c>
      <c r="E838" s="1632"/>
      <c r="F838" s="1632"/>
      <c r="G838" s="554"/>
      <c r="H838" s="404"/>
      <c r="I838" s="404"/>
    </row>
    <row r="839" spans="1:9" ht="13.1">
      <c r="A839" s="413"/>
      <c r="B839" s="413"/>
      <c r="C839" s="322"/>
      <c r="D839" s="1632"/>
      <c r="E839" s="1632"/>
      <c r="F839" s="1632"/>
      <c r="G839" s="554"/>
      <c r="H839" s="404"/>
      <c r="I839" s="404"/>
    </row>
    <row r="840" spans="1:9" ht="13.1">
      <c r="A840" s="33"/>
      <c r="B840" s="33"/>
      <c r="C840" s="322"/>
      <c r="D840" s="296"/>
      <c r="E840" s="282"/>
      <c r="F840" s="282"/>
      <c r="G840" s="554"/>
      <c r="H840" s="404"/>
      <c r="I840" s="404"/>
    </row>
    <row r="841" spans="1:9" ht="13.1">
      <c r="A841" s="1560" t="s">
        <v>2077</v>
      </c>
      <c r="B841" s="1560"/>
      <c r="C841" s="1560"/>
      <c r="D841" s="1560"/>
      <c r="E841" s="1560"/>
      <c r="F841" s="1560"/>
      <c r="G841" s="1560"/>
      <c r="H841" s="404"/>
      <c r="I841" s="404"/>
    </row>
    <row r="842" spans="1:9" ht="13.1">
      <c r="A842" s="414"/>
      <c r="B842" s="414"/>
      <c r="C842" s="322"/>
      <c r="D842" s="296"/>
      <c r="E842" s="296"/>
      <c r="F842" s="296"/>
      <c r="G842" s="554"/>
      <c r="H842" s="404"/>
      <c r="I842" s="404"/>
    </row>
    <row r="843" spans="1:9" ht="13.1">
      <c r="A843" s="413"/>
      <c r="B843" s="413"/>
      <c r="C843" s="14"/>
      <c r="D843" s="1563" t="s">
        <v>1654</v>
      </c>
      <c r="E843" s="1563"/>
      <c r="F843" s="1563"/>
      <c r="H843" s="404"/>
      <c r="I843" s="404"/>
    </row>
    <row r="844" spans="1:9" ht="13.1">
      <c r="A844" s="413"/>
      <c r="B844" s="413"/>
      <c r="C844" s="14"/>
      <c r="D844" s="1586" t="s">
        <v>2074</v>
      </c>
      <c r="E844" s="1586"/>
      <c r="F844" s="1586"/>
      <c r="H844" s="404"/>
      <c r="I844" s="404"/>
    </row>
    <row r="845" spans="1:9" ht="13.1">
      <c r="A845" s="413"/>
      <c r="B845" s="413"/>
      <c r="C845" s="14"/>
      <c r="D845" s="1301"/>
      <c r="E845" s="1303"/>
      <c r="F845" s="1303"/>
      <c r="H845" s="404"/>
      <c r="I845" s="404"/>
    </row>
    <row r="846" spans="1:9" ht="12.6">
      <c r="A846" s="140"/>
      <c r="B846" s="924" t="s">
        <v>1498</v>
      </c>
      <c r="C846" s="322"/>
      <c r="D846" s="1552" t="s">
        <v>1585</v>
      </c>
      <c r="E846" s="1552"/>
      <c r="F846" s="1552"/>
      <c r="H846" s="404"/>
      <c r="I846" s="404"/>
    </row>
    <row r="847" spans="1:9" ht="13.1">
      <c r="A847" s="33"/>
      <c r="B847" s="33"/>
      <c r="C847" s="322"/>
      <c r="D847" s="6" t="s">
        <v>1558</v>
      </c>
      <c r="E847" s="1647" t="s">
        <v>2308</v>
      </c>
      <c r="F847" s="1647"/>
      <c r="H847" s="404"/>
      <c r="I847" s="404"/>
    </row>
    <row r="848" spans="1:9" ht="13.1">
      <c r="A848" s="33"/>
      <c r="B848" s="33"/>
      <c r="C848" s="322"/>
      <c r="D848" s="333"/>
      <c r="E848" s="282"/>
      <c r="F848" s="282"/>
      <c r="H848" s="404"/>
      <c r="I848" s="404"/>
    </row>
    <row r="849" spans="1:9" ht="13.1">
      <c r="A849" s="1008"/>
      <c r="B849" s="1007" t="s">
        <v>135</v>
      </c>
      <c r="C849" s="322"/>
      <c r="D849" s="1633" t="s">
        <v>1836</v>
      </c>
      <c r="E849" s="1633"/>
      <c r="F849" s="1633"/>
      <c r="H849" s="404"/>
      <c r="I849" s="404"/>
    </row>
    <row r="850" spans="1:9" ht="13.1">
      <c r="A850" s="1008"/>
      <c r="B850" s="1008"/>
      <c r="C850" s="322"/>
      <c r="D850" s="1633"/>
      <c r="E850" s="1633"/>
      <c r="F850" s="1633"/>
      <c r="H850" s="404"/>
      <c r="I850" s="404"/>
    </row>
    <row r="851" spans="1:9" ht="13.1">
      <c r="A851" s="1008"/>
      <c r="B851" s="1008"/>
      <c r="C851" s="322"/>
      <c r="D851" s="1633"/>
      <c r="E851" s="1633"/>
      <c r="F851" s="1633"/>
      <c r="H851" s="404"/>
      <c r="I851" s="404"/>
    </row>
    <row r="852" spans="1:9" ht="13.1">
      <c r="A852" s="1008"/>
      <c r="B852" s="1008"/>
      <c r="C852" s="322"/>
      <c r="D852" s="1633"/>
      <c r="E852" s="1633"/>
      <c r="F852" s="1633"/>
      <c r="H852" s="404"/>
      <c r="I852" s="404"/>
    </row>
    <row r="853" spans="1:9" ht="13.1">
      <c r="A853" s="1008"/>
      <c r="B853" s="1008"/>
      <c r="C853" s="322"/>
      <c r="D853" s="1633"/>
      <c r="E853" s="1633"/>
      <c r="F853" s="1633"/>
      <c r="H853" s="404"/>
      <c r="I853" s="404"/>
    </row>
    <row r="854" spans="1:9" ht="13.1">
      <c r="A854" s="1008"/>
      <c r="B854" s="1008"/>
      <c r="C854" s="322"/>
      <c r="D854" s="1633"/>
      <c r="E854" s="1633"/>
      <c r="F854" s="1633"/>
      <c r="H854" s="404"/>
      <c r="I854" s="404"/>
    </row>
    <row r="855" spans="1:9" ht="13.1">
      <c r="A855" s="1008"/>
      <c r="B855" s="1008"/>
      <c r="C855" s="322"/>
      <c r="D855" s="1633"/>
      <c r="E855" s="1633"/>
      <c r="F855" s="1633"/>
      <c r="H855" s="404"/>
      <c r="I855" s="404"/>
    </row>
    <row r="856" spans="1:9" ht="13.1">
      <c r="A856" s="1008"/>
      <c r="B856" s="1008"/>
      <c r="C856" s="322"/>
      <c r="D856" s="1633"/>
      <c r="E856" s="1633"/>
      <c r="F856" s="1633"/>
      <c r="H856" s="404"/>
      <c r="I856" s="404"/>
    </row>
    <row r="857" spans="1:9" ht="13.1">
      <c r="A857" s="1008"/>
      <c r="B857" s="1008"/>
      <c r="C857" s="322"/>
      <c r="D857" s="1633"/>
      <c r="E857" s="1633"/>
      <c r="F857" s="1633"/>
      <c r="H857" s="404"/>
      <c r="I857" s="404"/>
    </row>
    <row r="858" spans="1:9" ht="13.1">
      <c r="A858" s="1008"/>
      <c r="B858" s="1008"/>
      <c r="C858" s="322"/>
      <c r="D858" s="333"/>
      <c r="E858" s="282"/>
      <c r="F858" s="282"/>
      <c r="H858" s="404"/>
      <c r="I858" s="404"/>
    </row>
    <row r="859" spans="1:9" ht="13.1">
      <c r="A859" s="413"/>
      <c r="B859" s="924" t="s">
        <v>1498</v>
      </c>
      <c r="C859" s="322"/>
      <c r="D859" s="1552" t="s">
        <v>1586</v>
      </c>
      <c r="E859" s="1552"/>
      <c r="F859" s="1552"/>
      <c r="H859" s="404"/>
      <c r="I859" s="404"/>
    </row>
    <row r="860" spans="1:9" ht="13.1">
      <c r="A860" s="413"/>
      <c r="B860" s="413"/>
      <c r="C860" s="322"/>
      <c r="D860" s="1552"/>
      <c r="E860" s="1552"/>
      <c r="F860" s="1552"/>
      <c r="H860" s="404"/>
      <c r="I860" s="404"/>
    </row>
    <row r="861" spans="1:9" ht="13.1">
      <c r="A861" s="413"/>
      <c r="B861" s="413"/>
      <c r="C861" s="322"/>
      <c r="D861" s="1552"/>
      <c r="E861" s="1552"/>
      <c r="F861" s="1552"/>
      <c r="H861" s="404"/>
      <c r="I861" s="404"/>
    </row>
    <row r="862" spans="1:9" ht="13.1">
      <c r="A862" s="552"/>
      <c r="B862" s="552"/>
      <c r="C862" s="405"/>
      <c r="D862" s="403"/>
      <c r="H862" s="404"/>
      <c r="I862" s="404"/>
    </row>
    <row r="863" spans="1:9" ht="12.6">
      <c r="A863" s="684"/>
      <c r="B863" s="924" t="s">
        <v>135</v>
      </c>
      <c r="C863" s="405"/>
      <c r="D863" s="1641" t="s">
        <v>1587</v>
      </c>
      <c r="E863" s="1641"/>
      <c r="F863" s="1641"/>
      <c r="H863" s="404"/>
      <c r="I863" s="404"/>
    </row>
    <row r="864" spans="1:9" ht="12.6">
      <c r="A864" s="14"/>
      <c r="B864" s="684"/>
      <c r="C864" s="405"/>
      <c r="D864" s="1641"/>
      <c r="E864" s="1641"/>
      <c r="F864" s="1641"/>
      <c r="H864" s="404"/>
      <c r="I864" s="404"/>
    </row>
    <row r="865" spans="1:9" ht="14.25" customHeight="1">
      <c r="A865" s="552"/>
      <c r="B865" s="14"/>
      <c r="C865" s="405"/>
      <c r="D865" s="1595" t="s">
        <v>1612</v>
      </c>
      <c r="E865" s="1595"/>
      <c r="F865" s="1595"/>
      <c r="H865" s="404"/>
      <c r="I865" s="404"/>
    </row>
    <row r="866" spans="1:9" ht="13.1">
      <c r="A866" s="552"/>
      <c r="B866" s="552"/>
      <c r="C866" s="405"/>
      <c r="D866" s="1595"/>
      <c r="E866" s="1595"/>
      <c r="F866" s="1595"/>
      <c r="H866" s="404"/>
      <c r="I866" s="404"/>
    </row>
    <row r="867" spans="1:9" ht="13.1">
      <c r="A867" s="552"/>
      <c r="B867" s="552"/>
      <c r="C867" s="405"/>
      <c r="D867" s="1595"/>
      <c r="E867" s="1595"/>
      <c r="F867" s="1595"/>
      <c r="H867" s="404"/>
      <c r="I867" s="404"/>
    </row>
    <row r="868" spans="1:9" ht="13.1">
      <c r="A868" s="552"/>
      <c r="B868" s="552"/>
      <c r="C868" s="405"/>
      <c r="D868" s="1595"/>
      <c r="E868" s="1595"/>
      <c r="F868" s="1595"/>
      <c r="H868" s="404"/>
      <c r="I868" s="404"/>
    </row>
    <row r="869" spans="1:9" ht="13.1">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3.1">
      <c r="A871" s="552"/>
      <c r="B871" s="552"/>
      <c r="C871" s="405"/>
      <c r="D871" s="403"/>
      <c r="H871" s="404"/>
      <c r="I871" s="404"/>
    </row>
    <row r="872" spans="1:9" ht="13.1">
      <c r="A872" s="552"/>
      <c r="B872" s="924" t="s">
        <v>135</v>
      </c>
      <c r="C872" s="405"/>
      <c r="D872" s="1595" t="s">
        <v>1270</v>
      </c>
      <c r="E872" s="1595"/>
      <c r="F872" s="1595"/>
      <c r="H872" s="404"/>
      <c r="I872" s="404"/>
    </row>
    <row r="873" spans="1:9" ht="13.1">
      <c r="A873" s="552"/>
      <c r="B873" s="552"/>
      <c r="C873" s="405"/>
      <c r="D873" s="1595" t="s">
        <v>1271</v>
      </c>
      <c r="E873" s="1595"/>
      <c r="F873" s="1595"/>
      <c r="H873" s="404"/>
      <c r="I873" s="404"/>
    </row>
    <row r="874" spans="1:9" ht="13.1">
      <c r="A874" s="552"/>
      <c r="B874" s="552"/>
      <c r="C874" s="405"/>
      <c r="D874" s="330" t="s">
        <v>1557</v>
      </c>
      <c r="E874" s="1648" t="s">
        <v>2310</v>
      </c>
      <c r="F874" s="1648"/>
      <c r="H874" s="404"/>
      <c r="I874" s="404"/>
    </row>
    <row r="875" spans="1:9" ht="13.1">
      <c r="A875" s="552"/>
      <c r="B875" s="552"/>
      <c r="C875" s="405"/>
      <c r="D875" s="403"/>
      <c r="H875" s="404"/>
      <c r="I875" s="404"/>
    </row>
    <row r="876" spans="1:9" ht="13.1">
      <c r="A876" s="552"/>
      <c r="B876" s="924" t="s">
        <v>135</v>
      </c>
      <c r="C876" s="405"/>
      <c r="D876" s="1595" t="s">
        <v>1588</v>
      </c>
      <c r="E876" s="1595"/>
      <c r="F876" s="1595"/>
      <c r="H876" s="404"/>
      <c r="I876" s="404"/>
    </row>
    <row r="877" spans="1:9" ht="13.1">
      <c r="A877" s="552"/>
      <c r="B877" s="552"/>
      <c r="C877" s="405"/>
      <c r="D877" s="1595"/>
      <c r="E877" s="1595"/>
      <c r="F877" s="1595"/>
      <c r="H877" s="404"/>
      <c r="I877" s="404"/>
    </row>
    <row r="878" spans="1:9" ht="13.1">
      <c r="A878" s="552"/>
      <c r="B878" s="552"/>
      <c r="C878" s="405"/>
      <c r="D878" s="1595"/>
      <c r="E878" s="1595"/>
      <c r="F878" s="1595"/>
      <c r="H878" s="404"/>
      <c r="I878" s="404"/>
    </row>
    <row r="879" spans="1:9" ht="13.1">
      <c r="A879" s="552"/>
      <c r="B879" s="552"/>
      <c r="C879" s="405"/>
      <c r="D879" s="1595"/>
      <c r="E879" s="1595"/>
      <c r="F879" s="1595"/>
      <c r="H879" s="404"/>
      <c r="I879" s="404"/>
    </row>
    <row r="880" spans="1:9" ht="13.1">
      <c r="A880" s="414"/>
      <c r="B880" s="414"/>
      <c r="C880" s="298"/>
      <c r="D880" s="287"/>
      <c r="E880" s="282"/>
      <c r="F880" s="282"/>
      <c r="H880" s="404"/>
      <c r="I880" s="404"/>
    </row>
    <row r="881" spans="1:9" ht="13.1">
      <c r="A881" s="416" t="s">
        <v>1524</v>
      </c>
      <c r="B881" s="416"/>
      <c r="C881" s="926"/>
      <c r="D881" s="926"/>
      <c r="E881" s="926"/>
      <c r="F881" s="926"/>
      <c r="G881" s="927"/>
      <c r="H881" s="404"/>
      <c r="I881" s="404"/>
    </row>
    <row r="882" spans="1:9" ht="13.1">
      <c r="A882" s="414"/>
      <c r="B882" s="414"/>
      <c r="C882" s="298"/>
      <c r="D882" s="332"/>
      <c r="E882" s="282"/>
      <c r="F882" s="282"/>
      <c r="H882" s="404"/>
      <c r="I882" s="404"/>
    </row>
    <row r="883" spans="1:9" ht="13.1">
      <c r="A883" s="140"/>
      <c r="B883" s="140"/>
      <c r="C883" s="299"/>
      <c r="D883" s="1561" t="s">
        <v>1653</v>
      </c>
      <c r="E883" s="1561"/>
      <c r="F883" s="1561"/>
      <c r="G883" s="554"/>
      <c r="H883" s="404"/>
      <c r="I883" s="404"/>
    </row>
    <row r="884" spans="1:9" ht="13.1">
      <c r="A884" s="996"/>
      <c r="B884" s="996"/>
      <c r="C884" s="299"/>
      <c r="D884" s="1643" t="s">
        <v>2075</v>
      </c>
      <c r="E884" s="1644"/>
      <c r="F884" s="1644"/>
      <c r="G884" s="554"/>
      <c r="H884" s="404"/>
      <c r="I884" s="404"/>
    </row>
    <row r="885" spans="1:9" ht="13.1">
      <c r="A885" s="996"/>
      <c r="B885" s="996"/>
      <c r="C885" s="299"/>
      <c r="D885" s="989"/>
      <c r="E885" s="989"/>
      <c r="F885" s="989"/>
      <c r="G885" s="554"/>
      <c r="H885" s="404"/>
      <c r="I885" s="404"/>
    </row>
    <row r="886" spans="1:9" ht="13.1">
      <c r="A886" s="413"/>
      <c r="B886" s="924" t="s">
        <v>1498</v>
      </c>
      <c r="C886" s="14"/>
      <c r="D886" s="1554" t="s">
        <v>1611</v>
      </c>
      <c r="E886" s="1554"/>
      <c r="F886" s="1554"/>
      <c r="G886" s="554"/>
      <c r="H886" s="404"/>
      <c r="I886" s="404"/>
    </row>
    <row r="887" spans="1:9" ht="13.1">
      <c r="A887" s="140"/>
      <c r="B887" s="140"/>
      <c r="C887" s="14"/>
      <c r="D887" s="6" t="s">
        <v>1557</v>
      </c>
      <c r="E887" s="1642" t="s">
        <v>2310</v>
      </c>
      <c r="F887" s="1642"/>
      <c r="G887" s="554"/>
    </row>
    <row r="888" spans="1:9" ht="12.6">
      <c r="A888" s="140"/>
      <c r="B888" s="140"/>
      <c r="C888" s="14"/>
      <c r="D888" s="287"/>
      <c r="E888" s="296"/>
      <c r="F888" s="296"/>
      <c r="G888" s="554"/>
      <c r="H888" s="404"/>
      <c r="I888" s="404"/>
    </row>
    <row r="889" spans="1:9" ht="13.1">
      <c r="A889" s="413"/>
      <c r="B889" s="924" t="s">
        <v>1498</v>
      </c>
      <c r="C889" s="14"/>
      <c r="D889" s="1586" t="s">
        <v>2078</v>
      </c>
      <c r="E889" s="1604"/>
      <c r="F889" s="1604"/>
    </row>
    <row r="890" spans="1:9" ht="12.6" customHeight="1">
      <c r="A890" s="140"/>
      <c r="B890" s="140"/>
      <c r="C890" s="14"/>
      <c r="D890" s="1604"/>
      <c r="E890" s="1604"/>
      <c r="F890" s="1604"/>
    </row>
    <row r="891" spans="1:9" ht="13.1">
      <c r="A891" s="413"/>
      <c r="B891" s="413"/>
      <c r="C891" s="14"/>
      <c r="D891" s="287"/>
      <c r="E891" s="296"/>
      <c r="F891" s="296"/>
      <c r="G891" s="554"/>
      <c r="H891" s="404"/>
      <c r="I891" s="404"/>
    </row>
    <row r="892" spans="1:9" ht="12.6">
      <c r="A892" s="14"/>
      <c r="B892" s="924" t="s">
        <v>135</v>
      </c>
      <c r="D892" s="1639" t="s">
        <v>1839</v>
      </c>
      <c r="E892" s="1639"/>
      <c r="F892" s="1639"/>
      <c r="G892" s="554"/>
      <c r="H892" s="404"/>
      <c r="I892" s="404"/>
    </row>
    <row r="893" spans="1:9" ht="29.45" customHeight="1">
      <c r="A893" s="14"/>
      <c r="B893" s="872"/>
      <c r="D893" s="1639"/>
      <c r="E893" s="1639"/>
      <c r="F893" s="1639"/>
      <c r="G893" s="554"/>
      <c r="H893" s="404"/>
      <c r="I893" s="404"/>
    </row>
    <row r="894" spans="1:9" ht="13.1">
      <c r="A894" s="413"/>
      <c r="B894" s="2"/>
      <c r="C894" s="14"/>
      <c r="D894" s="1595" t="s">
        <v>1612</v>
      </c>
      <c r="E894" s="1595"/>
      <c r="F894" s="1595"/>
      <c r="G894" s="554"/>
      <c r="H894" s="404"/>
      <c r="I894" s="404"/>
    </row>
    <row r="895" spans="1:9" ht="13.1">
      <c r="A895" s="413"/>
      <c r="B895" s="413"/>
      <c r="C895" s="14"/>
      <c r="D895" s="1595"/>
      <c r="E895" s="1595"/>
      <c r="F895" s="1595"/>
      <c r="G895" s="554"/>
      <c r="H895" s="404"/>
      <c r="I895" s="404"/>
    </row>
    <row r="896" spans="1:9" ht="13.1">
      <c r="A896" s="413"/>
      <c r="B896" s="413"/>
      <c r="C896" s="14"/>
      <c r="D896" s="1595"/>
      <c r="E896" s="1595"/>
      <c r="F896" s="1595"/>
      <c r="G896" s="554"/>
      <c r="H896" s="404"/>
      <c r="I896" s="404"/>
    </row>
    <row r="897" spans="1:9" ht="13.1">
      <c r="A897" s="413"/>
      <c r="B897" s="413"/>
      <c r="C897" s="14"/>
      <c r="D897" s="1595"/>
      <c r="E897" s="1595"/>
      <c r="F897" s="1595"/>
      <c r="G897" s="554"/>
      <c r="H897" s="404"/>
      <c r="I897" s="404"/>
    </row>
    <row r="898" spans="1:9" ht="13.1">
      <c r="A898" s="413"/>
      <c r="B898" s="413"/>
      <c r="C898" s="14"/>
      <c r="D898" s="1595"/>
      <c r="E898" s="1595"/>
      <c r="F898" s="1595"/>
      <c r="G898" s="554"/>
      <c r="H898" s="404"/>
      <c r="I898" s="404"/>
    </row>
    <row r="899" spans="1:9" ht="13.1">
      <c r="A899" s="413"/>
      <c r="B899" s="413"/>
      <c r="C899" s="14"/>
      <c r="D899" s="1595"/>
      <c r="E899" s="1595"/>
      <c r="F899" s="1595"/>
      <c r="G899" s="554"/>
      <c r="H899" s="404"/>
      <c r="I899" s="404"/>
    </row>
    <row r="900" spans="1:9" ht="13.1">
      <c r="A900" s="413"/>
      <c r="B900" s="413"/>
      <c r="C900" s="14"/>
      <c r="D900" s="287"/>
      <c r="E900" s="296"/>
      <c r="F900" s="296"/>
      <c r="G900" s="554"/>
      <c r="H900" s="404"/>
      <c r="I900" s="404"/>
    </row>
    <row r="901" spans="1:9" ht="13.1">
      <c r="A901" s="413"/>
      <c r="B901" s="924" t="s">
        <v>135</v>
      </c>
      <c r="C901" s="14"/>
      <c r="D901" s="1559" t="s">
        <v>1270</v>
      </c>
      <c r="E901" s="1559"/>
      <c r="F901" s="1559"/>
      <c r="G901" s="554"/>
      <c r="H901" s="404"/>
      <c r="I901" s="404"/>
    </row>
    <row r="902" spans="1:9" ht="13.1">
      <c r="A902" s="413"/>
      <c r="B902" s="413"/>
      <c r="C902" s="14"/>
      <c r="D902" s="1559" t="s">
        <v>1271</v>
      </c>
      <c r="E902" s="1559"/>
      <c r="F902" s="1559"/>
      <c r="G902" s="554"/>
      <c r="H902" s="404"/>
      <c r="I902" s="404"/>
    </row>
    <row r="903" spans="1:9" ht="13.1">
      <c r="A903" s="413"/>
      <c r="B903" s="413"/>
      <c r="C903" s="14"/>
      <c r="D903" s="6" t="s">
        <v>1613</v>
      </c>
      <c r="E903" s="1640" t="s">
        <v>2310</v>
      </c>
      <c r="F903" s="1640"/>
      <c r="G903" s="554"/>
      <c r="H903" s="404"/>
      <c r="I903" s="404"/>
    </row>
    <row r="904" spans="1:9" ht="13.1">
      <c r="A904" s="413"/>
      <c r="B904" s="413"/>
      <c r="C904" s="14"/>
      <c r="D904" s="287"/>
      <c r="E904" s="296"/>
      <c r="F904" s="296"/>
      <c r="G904" s="554"/>
      <c r="H904" s="404"/>
      <c r="I904" s="404"/>
    </row>
    <row r="905" spans="1:9" ht="13.1">
      <c r="A905" s="413"/>
      <c r="B905" s="924" t="s">
        <v>135</v>
      </c>
      <c r="C905" s="14"/>
      <c r="D905" s="1552" t="s">
        <v>1588</v>
      </c>
      <c r="E905" s="1552"/>
      <c r="F905" s="1552"/>
      <c r="G905" s="554"/>
      <c r="H905" s="404"/>
      <c r="I905" s="404"/>
    </row>
    <row r="906" spans="1:9" ht="13.1">
      <c r="A906" s="413"/>
      <c r="B906" s="413"/>
      <c r="C906" s="14"/>
      <c r="D906" s="1552"/>
      <c r="E906" s="1552"/>
      <c r="F906" s="1552"/>
      <c r="G906" s="554"/>
      <c r="H906" s="404"/>
      <c r="I906" s="404"/>
    </row>
    <row r="907" spans="1:9" ht="13.1">
      <c r="A907" s="413"/>
      <c r="B907" s="413"/>
      <c r="C907" s="14"/>
      <c r="D907" s="1552"/>
      <c r="E907" s="1552"/>
      <c r="F907" s="1552"/>
      <c r="G907" s="554"/>
      <c r="H907" s="404"/>
      <c r="I907" s="404"/>
    </row>
    <row r="908" spans="1:9" ht="13.1">
      <c r="A908" s="413"/>
      <c r="B908" s="413"/>
      <c r="C908" s="14"/>
      <c r="D908" s="1552"/>
      <c r="E908" s="1552"/>
      <c r="F908" s="1552"/>
      <c r="G908" s="554"/>
      <c r="H908" s="404"/>
      <c r="I908" s="404"/>
    </row>
    <row r="909" spans="1:9" ht="12.6">
      <c r="A909" s="143"/>
      <c r="B909" s="143"/>
      <c r="C909" s="322"/>
      <c r="D909" s="296"/>
      <c r="E909" s="296"/>
      <c r="F909" s="296"/>
      <c r="G909" s="554"/>
      <c r="H909" s="404"/>
      <c r="I909" s="404"/>
    </row>
    <row r="910" spans="1:9" ht="13.1">
      <c r="A910" s="1560" t="s">
        <v>1525</v>
      </c>
      <c r="B910" s="1560"/>
      <c r="C910" s="1560"/>
      <c r="D910" s="1560"/>
      <c r="E910" s="1560"/>
      <c r="F910" s="1560"/>
      <c r="G910" s="1560"/>
      <c r="H910" s="404"/>
      <c r="I910" s="404"/>
    </row>
    <row r="911" spans="1:9" ht="12.6">
      <c r="A911" s="143"/>
      <c r="B911" s="143"/>
      <c r="C911" s="322"/>
      <c r="D911" s="296"/>
      <c r="E911" s="296"/>
      <c r="F911" s="296"/>
      <c r="G911" s="554"/>
      <c r="H911" s="404"/>
      <c r="I911" s="404"/>
    </row>
    <row r="912" spans="1:9" ht="13.1">
      <c r="A912" s="140"/>
      <c r="B912" s="140"/>
      <c r="C912" s="322"/>
      <c r="D912" s="1614" t="s">
        <v>1788</v>
      </c>
      <c r="E912" s="1614"/>
      <c r="F912" s="1614"/>
      <c r="G912" s="554"/>
      <c r="H912" s="404"/>
      <c r="I912" s="404"/>
    </row>
    <row r="913" spans="1:9" ht="13.1">
      <c r="A913" s="414"/>
      <c r="B913" s="414"/>
      <c r="C913" s="298"/>
      <c r="D913" s="1554" t="s">
        <v>1610</v>
      </c>
      <c r="E913" s="1554"/>
      <c r="F913" s="1554"/>
      <c r="G913" s="554"/>
      <c r="H913" s="404"/>
      <c r="I913" s="404"/>
    </row>
    <row r="914" spans="1:9" ht="13.1">
      <c r="A914" s="414"/>
      <c r="B914" s="414"/>
      <c r="C914" s="298"/>
      <c r="D914" s="282"/>
      <c r="E914" s="282"/>
      <c r="F914" s="296"/>
      <c r="G914" s="554"/>
      <c r="H914" s="404"/>
      <c r="I914" s="404"/>
    </row>
    <row r="915" spans="1:9" ht="13.75" customHeight="1">
      <c r="A915" s="414"/>
      <c r="B915" s="994" t="s">
        <v>135</v>
      </c>
      <c r="C915" s="298"/>
      <c r="D915" s="1650" t="s">
        <v>1798</v>
      </c>
      <c r="E915" s="1650"/>
      <c r="F915" s="1650"/>
      <c r="G915" s="554"/>
      <c r="H915" s="404"/>
      <c r="I915" s="404"/>
    </row>
    <row r="916" spans="1:9" ht="13.1">
      <c r="A916" s="414"/>
      <c r="B916" s="414"/>
      <c r="C916" s="298"/>
      <c r="D916" s="1650"/>
      <c r="E916" s="1650"/>
      <c r="F916" s="1650"/>
      <c r="G916" s="554"/>
      <c r="H916" s="404"/>
      <c r="I916" s="404"/>
    </row>
    <row r="917" spans="1:9" ht="13.1">
      <c r="A917" s="414"/>
      <c r="B917" s="414"/>
      <c r="C917" s="298"/>
      <c r="D917" s="1650"/>
      <c r="E917" s="1650"/>
      <c r="F917" s="1650"/>
      <c r="G917" s="554"/>
      <c r="H917" s="404"/>
      <c r="I917" s="404"/>
    </row>
    <row r="918" spans="1:9" ht="13.1">
      <c r="A918" s="414"/>
      <c r="B918" s="414"/>
      <c r="C918" s="298"/>
      <c r="D918" s="1650"/>
      <c r="E918" s="1650"/>
      <c r="F918" s="1650"/>
      <c r="G918" s="554"/>
      <c r="H918" s="404"/>
      <c r="I918" s="404"/>
    </row>
    <row r="919" spans="1:9" ht="13.1">
      <c r="A919" s="414"/>
      <c r="B919" s="414"/>
      <c r="C919" s="298"/>
      <c r="D919" s="1650"/>
      <c r="E919" s="1650"/>
      <c r="F919" s="1650"/>
      <c r="G919" s="554"/>
      <c r="H919" s="404"/>
      <c r="I919" s="404"/>
    </row>
    <row r="920" spans="1:9" ht="13.1">
      <c r="A920" s="415"/>
      <c r="B920" s="415"/>
      <c r="C920" s="299"/>
      <c r="D920" s="282"/>
      <c r="E920" s="282"/>
      <c r="F920" s="296"/>
      <c r="G920" s="554"/>
      <c r="H920" s="404"/>
      <c r="I920" s="404"/>
    </row>
    <row r="921" spans="1:9" ht="14.25" customHeight="1">
      <c r="A921" s="552"/>
      <c r="B921" s="924" t="s">
        <v>1498</v>
      </c>
      <c r="C921" s="553"/>
      <c r="D921" s="1648" t="s">
        <v>1892</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648" t="s">
        <v>1893</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3.1">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609" t="s">
        <v>1799</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5" customFormat="1" ht="13.1">
      <c r="A947" s="552"/>
      <c r="B947" s="924" t="s">
        <v>135</v>
      </c>
      <c r="C947" s="553"/>
      <c r="D947" s="1648" t="s">
        <v>1800</v>
      </c>
      <c r="E947" s="1648"/>
      <c r="F947" s="1648"/>
      <c r="G947" s="554"/>
      <c r="H947" s="747"/>
    </row>
    <row r="948" spans="1:9" s="685" customFormat="1" ht="13.1">
      <c r="A948" s="552"/>
      <c r="B948" s="552"/>
      <c r="C948" s="553"/>
      <c r="D948" s="1648"/>
      <c r="E948" s="1648"/>
      <c r="F948" s="1648"/>
      <c r="G948" s="554"/>
      <c r="H948" s="747"/>
    </row>
    <row r="949" spans="1:9" s="685" customFormat="1" ht="13.1">
      <c r="A949" s="552"/>
      <c r="B949" s="552"/>
      <c r="C949" s="553"/>
      <c r="D949" s="1648"/>
      <c r="E949" s="1648"/>
      <c r="F949" s="1648"/>
      <c r="G949" s="554"/>
      <c r="H949" s="747"/>
    </row>
    <row r="950" spans="1:9" s="685" customFormat="1" ht="13.1">
      <c r="A950" s="552"/>
      <c r="B950" s="552"/>
      <c r="C950" s="553"/>
      <c r="D950" s="1648"/>
      <c r="E950" s="1648"/>
      <c r="F950" s="1648"/>
      <c r="G950" s="554"/>
      <c r="H950" s="747"/>
    </row>
    <row r="951" spans="1:9" s="685" customFormat="1" ht="13.1">
      <c r="A951" s="552"/>
      <c r="B951" s="552"/>
      <c r="C951" s="553"/>
      <c r="D951" s="330"/>
      <c r="E951" s="329"/>
      <c r="F951" s="554"/>
      <c r="G951" s="554"/>
      <c r="H951" s="747"/>
    </row>
    <row r="952" spans="1:9" ht="14.25" customHeight="1">
      <c r="A952" s="33"/>
      <c r="B952" s="33"/>
      <c r="C952" s="322"/>
      <c r="D952" s="1552" t="s">
        <v>1801</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3.1">
      <c r="A955" s="413"/>
      <c r="B955" s="924" t="s">
        <v>1498</v>
      </c>
      <c r="C955" s="14"/>
      <c r="D955" s="1552" t="s">
        <v>1802</v>
      </c>
      <c r="E955" s="1552"/>
      <c r="F955" s="1552"/>
    </row>
    <row r="956" spans="1:9" ht="12.6">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1791</v>
      </c>
      <c r="E958" s="1614"/>
      <c r="F958" s="1614"/>
      <c r="G958" s="554"/>
      <c r="H958" s="404"/>
      <c r="I958" s="404"/>
    </row>
    <row r="959" spans="1:9" ht="14.25" customHeight="1">
      <c r="A959" s="415"/>
      <c r="B959" s="415"/>
      <c r="C959" s="299"/>
      <c r="D959" s="991"/>
      <c r="E959" s="282"/>
      <c r="F959" s="296"/>
      <c r="G959" s="554"/>
      <c r="H959" s="404"/>
      <c r="I959" s="404"/>
    </row>
    <row r="960" spans="1:9" ht="14.5" customHeight="1">
      <c r="A960" s="413"/>
      <c r="B960" s="924" t="s">
        <v>135</v>
      </c>
      <c r="C960" s="322"/>
      <c r="D960" s="1570" t="s">
        <v>1790</v>
      </c>
      <c r="E960" s="1570"/>
      <c r="F960" s="1570"/>
      <c r="G960" s="554"/>
      <c r="H960" s="404"/>
      <c r="I960" s="404"/>
    </row>
    <row r="961" spans="1:9" ht="12.6">
      <c r="A961" s="355"/>
      <c r="B961" s="355"/>
      <c r="C961" s="322"/>
      <c r="D961" s="1570"/>
      <c r="E961" s="1570"/>
      <c r="F961" s="1570"/>
      <c r="G961" s="554"/>
      <c r="H961" s="404"/>
      <c r="I961" s="404"/>
    </row>
    <row r="962" spans="1:9" ht="12.6">
      <c r="A962" s="355"/>
      <c r="B962" s="355"/>
      <c r="C962" s="322"/>
      <c r="D962" s="1570"/>
      <c r="E962" s="1570"/>
      <c r="F962" s="1570"/>
      <c r="G962" s="554"/>
      <c r="H962" s="404"/>
      <c r="I962" s="404"/>
    </row>
    <row r="963" spans="1:9" ht="12.6">
      <c r="A963" s="355"/>
      <c r="B963" s="355"/>
      <c r="C963" s="322"/>
      <c r="D963" s="1570"/>
      <c r="E963" s="1570"/>
      <c r="F963" s="1570"/>
      <c r="G963" s="554"/>
      <c r="H963" s="404"/>
      <c r="I963" s="404"/>
    </row>
    <row r="964" spans="1:9" ht="12.6">
      <c r="A964" s="355"/>
      <c r="B964" s="355"/>
      <c r="C964" s="322"/>
      <c r="D964" s="1570"/>
      <c r="E964" s="1570"/>
      <c r="F964" s="1570"/>
      <c r="G964" s="554"/>
      <c r="H964" s="404"/>
      <c r="I964" s="404"/>
    </row>
    <row r="965" spans="1:9" ht="12.6">
      <c r="A965" s="355"/>
      <c r="B965" s="355"/>
      <c r="C965" s="322"/>
      <c r="D965" s="1570"/>
      <c r="E965" s="1570"/>
      <c r="F965" s="1570"/>
      <c r="G965" s="554"/>
      <c r="H965" s="404"/>
      <c r="I965" s="404"/>
    </row>
    <row r="966" spans="1:9" ht="12.6">
      <c r="A966" s="355"/>
      <c r="B966" s="355"/>
      <c r="C966" s="322"/>
      <c r="D966" s="993"/>
      <c r="E966" s="993"/>
      <c r="F966" s="993"/>
      <c r="G966" s="554"/>
      <c r="H966" s="404"/>
      <c r="I966" s="404"/>
    </row>
    <row r="967" spans="1:9" ht="14.5" customHeight="1">
      <c r="A967" s="413"/>
      <c r="B967" s="924" t="s">
        <v>135</v>
      </c>
      <c r="C967" s="322"/>
      <c r="D967" s="1570" t="s">
        <v>1789</v>
      </c>
      <c r="E967" s="1570"/>
      <c r="F967" s="1570"/>
      <c r="G967" s="554"/>
      <c r="H967" s="404"/>
      <c r="I967" s="404"/>
    </row>
    <row r="968" spans="1:9" ht="12.6">
      <c r="A968" s="355"/>
      <c r="B968" s="355"/>
      <c r="C968" s="322"/>
      <c r="D968" s="1570"/>
      <c r="E968" s="1570"/>
      <c r="F968" s="1570"/>
      <c r="G968" s="554"/>
      <c r="H968" s="404"/>
      <c r="I968" s="404"/>
    </row>
    <row r="969" spans="1:9" ht="12.6">
      <c r="A969" s="355"/>
      <c r="B969" s="355"/>
      <c r="C969" s="322"/>
      <c r="D969" s="1570"/>
      <c r="E969" s="1570"/>
      <c r="F969" s="1570"/>
      <c r="G969" s="554"/>
      <c r="H969" s="404"/>
      <c r="I969" s="404"/>
    </row>
    <row r="970" spans="1:9" ht="12.6">
      <c r="A970" s="355"/>
      <c r="B970" s="355"/>
      <c r="C970" s="322"/>
      <c r="D970" s="1570"/>
      <c r="E970" s="1570"/>
      <c r="F970" s="1570"/>
      <c r="G970" s="554"/>
      <c r="H970" s="404"/>
      <c r="I970" s="404"/>
    </row>
    <row r="971" spans="1:9" ht="12.6">
      <c r="A971" s="355"/>
      <c r="B971" s="355"/>
      <c r="C971" s="322"/>
      <c r="D971" s="1570"/>
      <c r="E971" s="1570"/>
      <c r="F971" s="1570"/>
      <c r="G971" s="554"/>
      <c r="H971" s="404"/>
      <c r="I971" s="404"/>
    </row>
    <row r="972" spans="1:9" ht="12.6">
      <c r="A972" s="355"/>
      <c r="B972" s="355"/>
      <c r="C972" s="322"/>
      <c r="D972" s="688"/>
      <c r="E972" s="296"/>
      <c r="F972" s="296"/>
      <c r="G972" s="554"/>
      <c r="H972" s="404"/>
      <c r="I972" s="404"/>
    </row>
    <row r="973" spans="1:9" ht="13.1">
      <c r="A973" s="413"/>
      <c r="B973" s="924" t="s">
        <v>135</v>
      </c>
      <c r="C973" s="322"/>
      <c r="D973" s="1570" t="s">
        <v>1792</v>
      </c>
      <c r="E973" s="1570"/>
      <c r="F973" s="1570"/>
      <c r="G973" s="554"/>
      <c r="H973" s="404"/>
      <c r="I973" s="404"/>
    </row>
    <row r="974" spans="1:9" ht="12.6">
      <c r="A974" s="355"/>
      <c r="B974" s="355"/>
      <c r="C974" s="322"/>
      <c r="D974" s="1570"/>
      <c r="E974" s="1570"/>
      <c r="F974" s="1570"/>
      <c r="G974" s="554"/>
      <c r="H974" s="404"/>
      <c r="I974" s="404"/>
    </row>
    <row r="975" spans="1:9" ht="12.6">
      <c r="A975" s="355"/>
      <c r="B975" s="355"/>
      <c r="C975" s="322"/>
      <c r="D975" s="1570"/>
      <c r="E975" s="1570"/>
      <c r="F975" s="1570"/>
      <c r="G975" s="554"/>
      <c r="H975" s="404"/>
      <c r="I975" s="404"/>
    </row>
    <row r="976" spans="1:9" ht="12.6">
      <c r="A976" s="355"/>
      <c r="B976" s="355"/>
      <c r="C976" s="322"/>
      <c r="D976" s="1570"/>
      <c r="E976" s="1570"/>
      <c r="F976" s="1570"/>
      <c r="G976" s="554"/>
      <c r="H976" s="404"/>
      <c r="I976" s="404"/>
    </row>
    <row r="977" spans="1:9" ht="12.6">
      <c r="A977" s="355"/>
      <c r="B977" s="355"/>
      <c r="C977" s="322"/>
      <c r="D977" s="1570"/>
      <c r="E977" s="1570"/>
      <c r="F977" s="1570"/>
      <c r="G977" s="554"/>
      <c r="H977" s="404"/>
      <c r="I977" s="404"/>
    </row>
    <row r="978" spans="1:9" ht="12.6">
      <c r="A978" s="355"/>
      <c r="B978" s="355"/>
      <c r="C978" s="322"/>
      <c r="D978" s="688"/>
      <c r="E978" s="296"/>
      <c r="F978" s="296"/>
      <c r="G978" s="554"/>
      <c r="H978" s="404"/>
      <c r="I978" s="404"/>
    </row>
    <row r="979" spans="1:9" ht="14.5" customHeight="1">
      <c r="A979" s="413"/>
      <c r="B979" s="924" t="s">
        <v>135</v>
      </c>
      <c r="C979" s="322"/>
      <c r="D979" s="1570" t="s">
        <v>1793</v>
      </c>
      <c r="E979" s="1570"/>
      <c r="F979" s="1570"/>
      <c r="G979" s="554"/>
      <c r="H979" s="404"/>
      <c r="I979" s="404"/>
    </row>
    <row r="980" spans="1:9" ht="12.6">
      <c r="A980" s="355"/>
      <c r="B980" s="355"/>
      <c r="C980" s="322"/>
      <c r="D980" s="1570"/>
      <c r="E980" s="1570"/>
      <c r="F980" s="1570"/>
      <c r="G980" s="554"/>
      <c r="H980" s="404"/>
      <c r="I980" s="404"/>
    </row>
    <row r="981" spans="1:9" ht="12.6">
      <c r="A981" s="355"/>
      <c r="B981" s="355"/>
      <c r="C981" s="322"/>
      <c r="D981" s="1570"/>
      <c r="E981" s="1570"/>
      <c r="F981" s="1570"/>
      <c r="G981" s="554"/>
      <c r="H981" s="404"/>
      <c r="I981" s="404"/>
    </row>
    <row r="982" spans="1:9" ht="12.6">
      <c r="A982" s="355"/>
      <c r="B982" s="355"/>
      <c r="C982" s="322"/>
      <c r="D982" s="993"/>
      <c r="E982" s="993"/>
      <c r="F982" s="993"/>
      <c r="G982" s="554"/>
      <c r="H982" s="404"/>
      <c r="I982" s="404"/>
    </row>
    <row r="983" spans="1:9" ht="13.1">
      <c r="A983" s="413"/>
      <c r="B983" s="924" t="s">
        <v>1498</v>
      </c>
      <c r="C983" s="322"/>
      <c r="D983" s="1570" t="s">
        <v>1794</v>
      </c>
      <c r="E983" s="1570"/>
      <c r="F983" s="1570"/>
      <c r="G983" s="554"/>
      <c r="H983" s="404"/>
      <c r="I983" s="404"/>
    </row>
    <row r="984" spans="1:9" ht="12.6">
      <c r="A984" s="355"/>
      <c r="B984" s="355"/>
      <c r="C984" s="322"/>
      <c r="D984" s="1570"/>
      <c r="E984" s="1570"/>
      <c r="F984" s="1570"/>
      <c r="G984" s="554"/>
      <c r="H984" s="404"/>
      <c r="I984" s="404"/>
    </row>
    <row r="985" spans="1:9" ht="12.6">
      <c r="A985" s="355"/>
      <c r="B985" s="355"/>
      <c r="C985" s="322"/>
      <c r="D985" s="688"/>
      <c r="E985" s="296"/>
      <c r="F985" s="296"/>
      <c r="G985" s="554"/>
      <c r="H985" s="404"/>
      <c r="I985" s="404"/>
    </row>
    <row r="986" spans="1:9" ht="12.6">
      <c r="A986" s="355"/>
      <c r="B986" s="924" t="s">
        <v>135</v>
      </c>
      <c r="C986" s="322"/>
      <c r="D986" s="1552" t="s">
        <v>1795</v>
      </c>
      <c r="E986" s="1552"/>
      <c r="F986" s="1552"/>
      <c r="G986" s="554"/>
      <c r="H986" s="404"/>
      <c r="I986" s="404"/>
    </row>
    <row r="987" spans="1:9" ht="12.6">
      <c r="A987" s="355"/>
      <c r="B987" s="355"/>
      <c r="C987" s="322"/>
      <c r="D987" s="1552"/>
      <c r="E987" s="1552"/>
      <c r="F987" s="1552"/>
      <c r="G987" s="554"/>
      <c r="H987" s="404"/>
      <c r="I987" s="404"/>
    </row>
    <row r="988" spans="1:9" ht="12.6">
      <c r="A988" s="355"/>
      <c r="B988" s="355"/>
      <c r="C988" s="322"/>
      <c r="D988" s="296"/>
      <c r="E988" s="296"/>
      <c r="F988" s="296"/>
      <c r="G988" s="554"/>
      <c r="H988" s="404"/>
      <c r="I988" s="404"/>
    </row>
    <row r="989" spans="1:9" ht="12.6">
      <c r="A989" s="355"/>
      <c r="B989" s="924" t="s">
        <v>135</v>
      </c>
      <c r="C989" s="322"/>
      <c r="D989" s="1649" t="s">
        <v>1938</v>
      </c>
      <c r="E989" s="1632"/>
      <c r="F989" s="1632"/>
      <c r="G989" s="554"/>
      <c r="H989" s="404"/>
      <c r="I989" s="404"/>
    </row>
    <row r="990" spans="1:9" ht="12.6">
      <c r="A990" s="355"/>
      <c r="B990" s="355"/>
      <c r="C990" s="322"/>
      <c r="D990" s="1649"/>
      <c r="E990" s="1632"/>
      <c r="F990" s="1632"/>
      <c r="G990" s="554"/>
      <c r="H990" s="404"/>
      <c r="I990" s="404"/>
    </row>
    <row r="991" spans="1:9" ht="12.6">
      <c r="A991" s="355"/>
      <c r="B991" s="355"/>
      <c r="C991" s="322"/>
      <c r="D991" s="1649"/>
      <c r="E991" s="1632"/>
      <c r="F991" s="1632"/>
      <c r="G991" s="554"/>
      <c r="H991" s="404"/>
      <c r="I991" s="404"/>
    </row>
    <row r="992" spans="1:9" ht="12.6">
      <c r="A992" s="355"/>
      <c r="B992" s="355"/>
      <c r="C992" s="322"/>
      <c r="D992" s="1632"/>
      <c r="E992" s="1632"/>
      <c r="F992" s="1632"/>
      <c r="G992" s="554"/>
      <c r="H992" s="404"/>
      <c r="I992" s="404"/>
    </row>
    <row r="993" spans="1:9" ht="12.6">
      <c r="A993" s="355"/>
      <c r="B993" s="355"/>
      <c r="C993" s="322"/>
      <c r="D993" s="287"/>
      <c r="E993" s="296"/>
      <c r="F993" s="296"/>
      <c r="G993" s="554"/>
      <c r="H993" s="404"/>
      <c r="I993" s="404"/>
    </row>
    <row r="994" spans="1:9" ht="12.6">
      <c r="A994" s="355"/>
      <c r="B994" s="924" t="s">
        <v>135</v>
      </c>
      <c r="C994" s="322"/>
      <c r="D994" s="1554" t="s">
        <v>1205</v>
      </c>
      <c r="E994" s="1554"/>
      <c r="F994" s="1554"/>
      <c r="G994" s="554"/>
      <c r="H994" s="404"/>
      <c r="I994" s="404"/>
    </row>
    <row r="995" spans="1:9" ht="12.6">
      <c r="A995" s="355"/>
      <c r="B995" s="355"/>
      <c r="C995" s="322"/>
      <c r="D995" s="287"/>
      <c r="E995" s="296"/>
      <c r="F995" s="296"/>
      <c r="G995" s="554"/>
      <c r="H995" s="404"/>
      <c r="I995" s="404"/>
    </row>
    <row r="996" spans="1:9" ht="12.6">
      <c r="A996" s="355"/>
      <c r="B996" s="924" t="s">
        <v>135</v>
      </c>
      <c r="C996" s="322"/>
      <c r="D996" s="1554" t="s">
        <v>1206</v>
      </c>
      <c r="E996" s="1554"/>
      <c r="F996" s="1554"/>
      <c r="G996" s="554"/>
      <c r="H996" s="404"/>
      <c r="I996" s="404"/>
    </row>
    <row r="997" spans="1:9" ht="12.75" customHeight="1">
      <c r="A997" s="355"/>
      <c r="B997" s="355"/>
      <c r="C997" s="322"/>
      <c r="D997" s="296"/>
      <c r="E997" s="296"/>
      <c r="F997" s="296"/>
      <c r="G997" s="554"/>
      <c r="H997" s="404"/>
      <c r="I997" s="404"/>
    </row>
    <row r="998" spans="1:9" ht="13.1">
      <c r="A998" s="355"/>
      <c r="B998" s="14"/>
      <c r="C998" s="322"/>
      <c r="D998" s="1561" t="s">
        <v>1614</v>
      </c>
      <c r="E998" s="1561"/>
      <c r="F998" s="1561"/>
      <c r="G998" s="554"/>
      <c r="H998" s="404"/>
      <c r="I998" s="404"/>
    </row>
    <row r="999" spans="1:9" ht="13.1">
      <c r="A999" s="355"/>
      <c r="B999" s="14"/>
      <c r="C999" s="322"/>
      <c r="D999" s="991"/>
      <c r="E999" s="296"/>
      <c r="F999" s="296"/>
      <c r="G999" s="554"/>
      <c r="H999" s="404"/>
      <c r="I999" s="404"/>
    </row>
    <row r="1000" spans="1:9" ht="13.1">
      <c r="A1000" s="413"/>
      <c r="B1000" s="924" t="s">
        <v>1498</v>
      </c>
      <c r="C1000" s="322"/>
      <c r="D1000" s="1595" t="s">
        <v>1796</v>
      </c>
      <c r="E1000" s="1595"/>
      <c r="F1000" s="1595"/>
      <c r="G1000" s="554"/>
      <c r="H1000" s="404"/>
      <c r="I1000" s="404"/>
    </row>
    <row r="1001" spans="1:9" ht="12.6">
      <c r="A1001" s="355"/>
      <c r="B1001" s="355"/>
      <c r="C1001" s="322"/>
      <c r="D1001" s="1595"/>
      <c r="E1001" s="1595"/>
      <c r="F1001" s="1595"/>
      <c r="G1001" s="554"/>
      <c r="H1001" s="404"/>
      <c r="I1001" s="404"/>
    </row>
    <row r="1002" spans="1:9" ht="12.6">
      <c r="A1002" s="355"/>
      <c r="B1002" s="355"/>
      <c r="C1002" s="322"/>
      <c r="D1002" s="1595"/>
      <c r="E1002" s="1595"/>
      <c r="F1002" s="1595"/>
      <c r="G1002" s="554"/>
      <c r="H1002" s="404"/>
      <c r="I1002" s="404"/>
    </row>
    <row r="1003" spans="1:9" ht="12.6">
      <c r="A1003" s="355"/>
      <c r="B1003" s="355"/>
      <c r="C1003" s="322"/>
      <c r="D1003" s="1595"/>
      <c r="E1003" s="1595"/>
      <c r="F1003" s="1595"/>
      <c r="G1003" s="554"/>
      <c r="H1003" s="404"/>
      <c r="I1003" s="404"/>
    </row>
    <row r="1004" spans="1:9" ht="12.6">
      <c r="A1004" s="355"/>
      <c r="B1004" s="355"/>
      <c r="C1004" s="322"/>
      <c r="D1004" s="1595"/>
      <c r="E1004" s="1595"/>
      <c r="F1004" s="1595"/>
      <c r="G1004" s="554"/>
      <c r="H1004" s="404"/>
      <c r="I1004" s="404"/>
    </row>
    <row r="1005" spans="1:9" ht="12.6">
      <c r="A1005" s="355"/>
      <c r="B1005" s="355"/>
      <c r="C1005" s="322"/>
      <c r="E1005" s="282"/>
      <c r="F1005" s="282"/>
      <c r="G1005" s="554"/>
      <c r="H1005" s="404"/>
      <c r="I1005" s="404"/>
    </row>
    <row r="1006" spans="1:9" ht="13.1">
      <c r="A1006" s="413"/>
      <c r="B1006" s="924" t="s">
        <v>135</v>
      </c>
      <c r="C1006" s="322"/>
      <c r="D1006" s="1595" t="s">
        <v>1797</v>
      </c>
      <c r="E1006" s="1595"/>
      <c r="F1006" s="1595"/>
      <c r="G1006" s="554"/>
      <c r="H1006" s="404"/>
      <c r="I1006" s="404"/>
    </row>
    <row r="1007" spans="1:9" ht="12.6">
      <c r="A1007" s="355"/>
      <c r="B1007" s="355"/>
      <c r="C1007" s="322"/>
      <c r="D1007" s="1595"/>
      <c r="E1007" s="1595"/>
      <c r="F1007" s="1595"/>
      <c r="G1007" s="554"/>
      <c r="H1007" s="404"/>
      <c r="I1007" s="404"/>
    </row>
    <row r="1008" spans="1:9" ht="12.6">
      <c r="A1008" s="355"/>
      <c r="B1008" s="355"/>
      <c r="C1008" s="322"/>
      <c r="D1008" s="1595"/>
      <c r="E1008" s="1595"/>
      <c r="F1008" s="1595"/>
      <c r="G1008" s="554"/>
      <c r="H1008" s="404"/>
      <c r="I1008" s="404"/>
    </row>
    <row r="1009" spans="1:9" ht="12.6">
      <c r="A1009" s="355"/>
      <c r="B1009" s="355"/>
      <c r="C1009" s="322"/>
      <c r="D1009" s="1595"/>
      <c r="E1009" s="1595"/>
      <c r="F1009" s="1595"/>
      <c r="G1009" s="554"/>
      <c r="H1009" s="404"/>
      <c r="I1009" s="404"/>
    </row>
    <row r="1010" spans="1:9" ht="12.6">
      <c r="A1010" s="355"/>
      <c r="B1010" s="355"/>
      <c r="C1010" s="322"/>
      <c r="D1010" s="1595"/>
      <c r="E1010" s="1595"/>
      <c r="F1010" s="1595"/>
      <c r="G1010" s="554"/>
      <c r="H1010" s="404"/>
      <c r="I1010" s="404"/>
    </row>
    <row r="1011" spans="1:9" ht="12.6">
      <c r="A1011" s="355"/>
      <c r="B1011" s="355"/>
      <c r="C1011" s="322"/>
      <c r="D1011" s="296"/>
      <c r="E1011" s="296"/>
      <c r="F1011" s="296"/>
      <c r="G1011" s="554"/>
      <c r="H1011" s="404"/>
      <c r="I1011" s="404"/>
    </row>
    <row r="1012" spans="1:9" ht="13.1">
      <c r="A1012" s="355"/>
      <c r="B1012" s="355"/>
      <c r="C1012" s="322"/>
      <c r="D1012" s="1561" t="s">
        <v>1615</v>
      </c>
      <c r="E1012" s="1561"/>
      <c r="F1012" s="1561"/>
      <c r="G1012" s="554"/>
      <c r="H1012" s="404"/>
      <c r="I1012" s="404"/>
    </row>
    <row r="1013" spans="1:9" ht="13.1">
      <c r="A1013" s="355"/>
      <c r="B1013" s="355"/>
      <c r="C1013" s="322"/>
      <c r="D1013" s="991"/>
      <c r="E1013" s="296"/>
      <c r="F1013" s="296"/>
      <c r="G1013" s="554"/>
      <c r="H1013" s="404"/>
      <c r="I1013" s="404"/>
    </row>
    <row r="1014" spans="1:9" ht="13.1">
      <c r="A1014" s="413"/>
      <c r="B1014" s="924" t="s">
        <v>1498</v>
      </c>
      <c r="C1014" s="322"/>
      <c r="D1014" s="1595" t="s">
        <v>1803</v>
      </c>
      <c r="E1014" s="1595"/>
      <c r="F1014" s="1595"/>
      <c r="G1014" s="554"/>
      <c r="H1014" s="404"/>
      <c r="I1014" s="404"/>
    </row>
    <row r="1015" spans="1:9" ht="12.6">
      <c r="A1015" s="355"/>
      <c r="B1015" s="355"/>
      <c r="C1015" s="322"/>
      <c r="D1015" s="1595"/>
      <c r="E1015" s="1595"/>
      <c r="F1015" s="1595"/>
      <c r="G1015" s="554"/>
      <c r="H1015" s="404"/>
      <c r="I1015" s="404"/>
    </row>
    <row r="1016" spans="1:9" ht="12.6">
      <c r="A1016" s="355"/>
      <c r="B1016" s="355"/>
      <c r="C1016" s="322"/>
      <c r="D1016" s="1595"/>
      <c r="E1016" s="1595"/>
      <c r="F1016" s="1595"/>
      <c r="G1016" s="554"/>
      <c r="H1016" s="404"/>
      <c r="I1016" s="404"/>
    </row>
    <row r="1017" spans="1:9" ht="12.6">
      <c r="A1017" s="355"/>
      <c r="B1017" s="355"/>
      <c r="C1017" s="322"/>
      <c r="E1017" s="282"/>
      <c r="F1017" s="282"/>
      <c r="G1017" s="554"/>
      <c r="H1017" s="404"/>
      <c r="I1017" s="404"/>
    </row>
    <row r="1018" spans="1:9" ht="13.1">
      <c r="A1018" s="413"/>
      <c r="B1018" s="924" t="s">
        <v>135</v>
      </c>
      <c r="C1018" s="322"/>
      <c r="D1018" s="1595" t="s">
        <v>1804</v>
      </c>
      <c r="E1018" s="1595"/>
      <c r="F1018" s="1595"/>
      <c r="G1018" s="554"/>
      <c r="H1018" s="404"/>
      <c r="I1018" s="404"/>
    </row>
    <row r="1019" spans="1:9" ht="12.6">
      <c r="A1019" s="355"/>
      <c r="B1019" s="355"/>
      <c r="C1019" s="322"/>
      <c r="D1019" s="1595"/>
      <c r="E1019" s="1595"/>
      <c r="F1019" s="1595"/>
      <c r="G1019" s="554"/>
      <c r="H1019" s="404"/>
      <c r="I1019" s="404"/>
    </row>
    <row r="1020" spans="1:9" ht="12.6">
      <c r="A1020" s="355"/>
      <c r="B1020" s="355"/>
      <c r="C1020" s="322"/>
      <c r="D1020" s="1595"/>
      <c r="E1020" s="1595"/>
      <c r="F1020" s="1595"/>
      <c r="G1020" s="554"/>
      <c r="H1020" s="404"/>
      <c r="I1020" s="404"/>
    </row>
    <row r="1021" spans="1:9" ht="12.6">
      <c r="A1021" s="355"/>
      <c r="B1021" s="355"/>
      <c r="C1021" s="322"/>
      <c r="D1021" s="287"/>
      <c r="E1021" s="296"/>
      <c r="F1021" s="296"/>
      <c r="G1021" s="554"/>
      <c r="H1021" s="404"/>
      <c r="I1021" s="404"/>
    </row>
    <row r="1022" spans="1:9" ht="13.1">
      <c r="A1022" s="355"/>
      <c r="B1022" s="355"/>
      <c r="C1022" s="322"/>
      <c r="D1022" s="1561" t="s">
        <v>1616</v>
      </c>
      <c r="E1022" s="1561"/>
      <c r="F1022" s="1561"/>
      <c r="G1022" s="554"/>
      <c r="H1022" s="404"/>
      <c r="I1022" s="404"/>
    </row>
    <row r="1023" spans="1:9" ht="13.1">
      <c r="A1023" s="355"/>
      <c r="B1023" s="355"/>
      <c r="C1023" s="322"/>
      <c r="D1023" s="991"/>
      <c r="E1023" s="296"/>
      <c r="F1023" s="296"/>
      <c r="G1023" s="554"/>
      <c r="H1023" s="404"/>
      <c r="I1023" s="404"/>
    </row>
    <row r="1024" spans="1:9" ht="14.25" customHeight="1">
      <c r="A1024" s="413"/>
      <c r="B1024" s="924" t="s">
        <v>1498</v>
      </c>
      <c r="C1024" s="322"/>
      <c r="D1024" s="1598" t="s">
        <v>1806</v>
      </c>
      <c r="E1024" s="1598"/>
      <c r="F1024" s="1598"/>
      <c r="G1024" s="460"/>
      <c r="H1024" s="463"/>
      <c r="I1024" s="463"/>
    </row>
    <row r="1025" spans="1:9" ht="12.6">
      <c r="A1025" s="355"/>
      <c r="B1025" s="355"/>
      <c r="C1025" s="322"/>
      <c r="D1025" s="1598"/>
      <c r="E1025" s="1598"/>
      <c r="F1025" s="1598"/>
      <c r="G1025" s="460"/>
      <c r="H1025" s="463"/>
      <c r="I1025" s="463"/>
    </row>
    <row r="1026" spans="1:9" ht="12.6">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8" t="s">
        <v>1805</v>
      </c>
      <c r="E1028" s="1598"/>
      <c r="F1028" s="1598"/>
      <c r="G1028" s="463"/>
      <c r="H1028" s="404"/>
      <c r="I1028" s="404"/>
    </row>
    <row r="1029" spans="1:9" ht="12.6">
      <c r="A1029" s="355"/>
      <c r="B1029" s="355"/>
      <c r="C1029" s="322"/>
      <c r="D1029" s="1598"/>
      <c r="E1029" s="1598"/>
      <c r="F1029" s="1598"/>
      <c r="G1029" s="463"/>
      <c r="H1029" s="404"/>
      <c r="I1029" s="404"/>
    </row>
    <row r="1030" spans="1:9" ht="12.6">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1" t="s">
        <v>1807</v>
      </c>
      <c r="E1032" s="1651"/>
      <c r="F1032" s="1651"/>
      <c r="G1032" s="546"/>
      <c r="H1032" s="404"/>
      <c r="I1032" s="404"/>
    </row>
    <row r="1033" spans="1:9" ht="12.6">
      <c r="A1033" s="355"/>
      <c r="B1033" s="355"/>
      <c r="C1033" s="322"/>
      <c r="D1033" s="1651"/>
      <c r="E1033" s="1651"/>
      <c r="F1033" s="1651"/>
      <c r="G1033" s="546"/>
      <c r="H1033" s="404"/>
      <c r="I1033" s="404"/>
    </row>
    <row r="1034" spans="1:9" ht="12.6">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8" t="s">
        <v>1808</v>
      </c>
      <c r="E1036" s="1598"/>
      <c r="F1036" s="1598"/>
      <c r="G1036" s="546"/>
      <c r="H1036" s="546"/>
      <c r="I1036" s="546"/>
    </row>
    <row r="1037" spans="1:9" ht="12.6">
      <c r="A1037" s="355"/>
      <c r="B1037" s="355"/>
      <c r="C1037" s="322"/>
      <c r="D1037" s="1598"/>
      <c r="E1037" s="1598"/>
      <c r="F1037" s="1598"/>
      <c r="G1037" s="546"/>
      <c r="H1037" s="546"/>
      <c r="I1037" s="546"/>
    </row>
    <row r="1038" spans="1:9" ht="12.6">
      <c r="A1038" s="355"/>
      <c r="B1038" s="355"/>
      <c r="C1038" s="322"/>
      <c r="D1038" s="1598"/>
      <c r="E1038" s="1598"/>
      <c r="F1038" s="1598"/>
      <c r="G1038" s="546"/>
      <c r="H1038" s="546"/>
      <c r="I1038" s="546"/>
    </row>
    <row r="1039" spans="1:9" ht="13.1">
      <c r="A1039" s="413"/>
      <c r="B1039" s="413"/>
      <c r="C1039" s="322"/>
      <c r="D1039" s="287"/>
      <c r="E1039" s="296"/>
      <c r="F1039" s="296"/>
      <c r="G1039" s="554"/>
      <c r="H1039" s="404"/>
      <c r="I1039" s="404"/>
    </row>
    <row r="1040" spans="1:9" ht="12.75" customHeight="1">
      <c r="A1040" s="355"/>
      <c r="B1040" s="924" t="s">
        <v>135</v>
      </c>
      <c r="C1040" s="322"/>
      <c r="D1040" s="1598" t="s">
        <v>1809</v>
      </c>
      <c r="E1040" s="1598"/>
      <c r="F1040" s="1598"/>
      <c r="G1040" s="546"/>
      <c r="H1040" s="546"/>
      <c r="I1040" s="546"/>
    </row>
    <row r="1041" spans="1:9" ht="12.6">
      <c r="A1041" s="355"/>
      <c r="B1041" s="355"/>
      <c r="C1041" s="322"/>
      <c r="D1041" s="1598"/>
      <c r="E1041" s="1598"/>
      <c r="F1041" s="1598"/>
      <c r="G1041" s="546"/>
      <c r="H1041" s="546"/>
      <c r="I1041" s="546"/>
    </row>
    <row r="1042" spans="1:9" ht="12.6">
      <c r="A1042" s="355"/>
      <c r="B1042" s="355"/>
      <c r="C1042" s="322"/>
      <c r="D1042" s="1598"/>
      <c r="E1042" s="1598"/>
      <c r="F1042" s="1598"/>
      <c r="G1042" s="546"/>
      <c r="H1042" s="546"/>
      <c r="I1042" s="546"/>
    </row>
    <row r="1043" spans="1:9" ht="12.6">
      <c r="A1043" s="355"/>
      <c r="B1043" s="355"/>
      <c r="C1043" s="322"/>
      <c r="D1043" s="287"/>
      <c r="E1043" s="296"/>
      <c r="F1043" s="296"/>
      <c r="G1043" s="554"/>
      <c r="H1043" s="404"/>
      <c r="I1043" s="404"/>
    </row>
    <row r="1044" spans="1:9" ht="12.75" customHeight="1">
      <c r="A1044" s="355"/>
      <c r="B1044" s="924" t="s">
        <v>135</v>
      </c>
      <c r="C1044" s="322"/>
      <c r="D1044" s="1598" t="s">
        <v>1617</v>
      </c>
      <c r="E1044" s="1598"/>
      <c r="F1044" s="1598"/>
      <c r="G1044" s="460"/>
      <c r="H1044" s="404"/>
      <c r="I1044" s="404"/>
    </row>
    <row r="1045" spans="1:9" ht="12.6">
      <c r="A1045" s="355"/>
      <c r="B1045" s="355"/>
      <c r="C1045" s="322"/>
      <c r="D1045" s="1598"/>
      <c r="E1045" s="1598"/>
      <c r="F1045" s="1598"/>
      <c r="G1045" s="460"/>
      <c r="H1045" s="404"/>
      <c r="I1045" s="404"/>
    </row>
    <row r="1046" spans="1:9" ht="12.6">
      <c r="A1046" s="355"/>
      <c r="B1046" s="355"/>
      <c r="C1046" s="322"/>
      <c r="D1046" s="1598"/>
      <c r="E1046" s="1598"/>
      <c r="F1046" s="1598"/>
      <c r="G1046" s="460"/>
      <c r="H1046" s="404"/>
      <c r="I1046" s="404"/>
    </row>
    <row r="1047" spans="1:9" ht="12.6">
      <c r="A1047" s="355"/>
      <c r="B1047" s="355"/>
      <c r="C1047" s="322"/>
      <c r="D1047" s="460"/>
      <c r="E1047" s="460"/>
      <c r="F1047" s="460"/>
      <c r="G1047" s="460"/>
      <c r="H1047" s="404"/>
      <c r="I1047" s="404"/>
    </row>
    <row r="1048" spans="1:9" ht="12.75" customHeight="1">
      <c r="A1048" s="355"/>
      <c r="B1048" s="924" t="s">
        <v>135</v>
      </c>
      <c r="C1048" s="322"/>
      <c r="D1048" s="1598" t="s">
        <v>1618</v>
      </c>
      <c r="E1048" s="1598"/>
      <c r="F1048" s="1598"/>
      <c r="G1048" s="460"/>
      <c r="H1048" s="404"/>
      <c r="I1048" s="404"/>
    </row>
    <row r="1049" spans="1:9" ht="12.6">
      <c r="A1049" s="355"/>
      <c r="B1049" s="355"/>
      <c r="C1049" s="322"/>
      <c r="D1049" s="1598"/>
      <c r="E1049" s="1598"/>
      <c r="F1049" s="1598"/>
      <c r="G1049" s="460"/>
      <c r="H1049" s="404"/>
      <c r="I1049" s="404"/>
    </row>
    <row r="1050" spans="1:9" ht="12.6">
      <c r="A1050" s="355"/>
      <c r="B1050" s="355"/>
      <c r="C1050" s="322"/>
      <c r="D1050" s="1598"/>
      <c r="E1050" s="1598"/>
      <c r="F1050" s="1598"/>
      <c r="G1050" s="460"/>
      <c r="H1050" s="404"/>
      <c r="I1050" s="404"/>
    </row>
    <row r="1051" spans="1:9" ht="12.6">
      <c r="A1051" s="355"/>
      <c r="B1051" s="355"/>
      <c r="C1051" s="322"/>
      <c r="D1051" s="466"/>
      <c r="E1051" s="466"/>
      <c r="F1051" s="466"/>
      <c r="G1051" s="492"/>
      <c r="H1051" s="404"/>
      <c r="I1051" s="404"/>
    </row>
    <row r="1052" spans="1:9" ht="12.75" customHeight="1">
      <c r="A1052" s="561"/>
      <c r="B1052" s="924" t="s">
        <v>1498</v>
      </c>
      <c r="C1052" s="405"/>
      <c r="D1052" s="1599" t="s">
        <v>1216</v>
      </c>
      <c r="E1052" s="1599"/>
      <c r="F1052" s="1599"/>
      <c r="G1052" s="922"/>
      <c r="H1052" s="404"/>
      <c r="I1052" s="404"/>
    </row>
    <row r="1053" spans="1:9" ht="12.6">
      <c r="A1053" s="561"/>
      <c r="B1053" s="561"/>
      <c r="C1053" s="405"/>
      <c r="D1053" s="1599"/>
      <c r="E1053" s="1599"/>
      <c r="F1053" s="1599"/>
      <c r="G1053" s="922"/>
      <c r="H1053" s="404"/>
      <c r="I1053" s="404"/>
    </row>
    <row r="1054" spans="1:9" ht="12.6">
      <c r="A1054" s="561"/>
      <c r="B1054" s="561"/>
      <c r="C1054" s="405"/>
      <c r="D1054" s="1599"/>
      <c r="E1054" s="1599"/>
      <c r="F1054" s="1599"/>
      <c r="G1054" s="922"/>
      <c r="H1054" s="404"/>
      <c r="I1054" s="404"/>
    </row>
    <row r="1055" spans="1:9" ht="12.6">
      <c r="A1055" s="561"/>
      <c r="B1055" s="561"/>
      <c r="C1055" s="405"/>
      <c r="D1055" s="1599"/>
      <c r="E1055" s="1599"/>
      <c r="F1055" s="1599"/>
      <c r="G1055" s="922"/>
      <c r="H1055" s="404"/>
      <c r="I1055" s="404"/>
    </row>
    <row r="1056" spans="1:9" ht="12.6">
      <c r="A1056" s="561"/>
      <c r="B1056" s="561"/>
      <c r="C1056" s="405"/>
      <c r="D1056" s="1599"/>
      <c r="E1056" s="1599"/>
      <c r="F1056" s="1599"/>
      <c r="G1056" s="922"/>
      <c r="H1056" s="404"/>
      <c r="I1056" s="404"/>
    </row>
    <row r="1057" spans="1:9" ht="12.6">
      <c r="A1057" s="561"/>
      <c r="B1057" s="561"/>
      <c r="C1057" s="405"/>
      <c r="D1057" s="1599"/>
      <c r="E1057" s="1599"/>
      <c r="F1057" s="1599"/>
      <c r="G1057" s="922"/>
      <c r="H1057" s="404"/>
      <c r="I1057" s="404"/>
    </row>
    <row r="1058" spans="1:9" ht="12.6">
      <c r="A1058" s="561"/>
      <c r="B1058" s="561"/>
      <c r="C1058" s="405"/>
      <c r="D1058" s="1599"/>
      <c r="E1058" s="1599"/>
      <c r="F1058" s="1599"/>
      <c r="G1058" s="922"/>
      <c r="H1058" s="404"/>
      <c r="I1058" s="404"/>
    </row>
    <row r="1059" spans="1:9" ht="12.6">
      <c r="A1059" s="561"/>
      <c r="B1059" s="561"/>
      <c r="C1059" s="405"/>
      <c r="D1059" s="1599"/>
      <c r="E1059" s="1599"/>
      <c r="F1059" s="1599"/>
      <c r="G1059" s="922"/>
      <c r="H1059" s="404"/>
      <c r="I1059" s="404"/>
    </row>
    <row r="1060" spans="1:9" ht="12.6">
      <c r="A1060" s="561"/>
      <c r="B1060" s="561"/>
      <c r="C1060" s="405"/>
      <c r="D1060" s="1599"/>
      <c r="E1060" s="1599"/>
      <c r="F1060" s="1599"/>
      <c r="G1060" s="922"/>
      <c r="H1060" s="404"/>
      <c r="I1060" s="404"/>
    </row>
    <row r="1061" spans="1:9" ht="12.6">
      <c r="A1061" s="561"/>
      <c r="B1061" s="561"/>
      <c r="C1061" s="405"/>
      <c r="D1061" s="1599"/>
      <c r="E1061" s="1599"/>
      <c r="F1061" s="1599"/>
      <c r="G1061" s="922"/>
      <c r="H1061" s="404"/>
      <c r="I1061" s="404"/>
    </row>
    <row r="1062" spans="1:9" ht="27.6" customHeight="1">
      <c r="A1062" s="561"/>
      <c r="B1062" s="561"/>
      <c r="C1062" s="405"/>
      <c r="D1062" s="1599"/>
      <c r="E1062" s="1599"/>
      <c r="F1062" s="1599"/>
      <c r="G1062" s="922"/>
      <c r="H1062" s="404"/>
      <c r="I1062" s="404"/>
    </row>
    <row r="1063" spans="1:9" ht="12.6">
      <c r="A1063" s="561"/>
      <c r="B1063" s="561"/>
      <c r="C1063" s="405"/>
      <c r="D1063" s="642"/>
      <c r="E1063" s="642"/>
      <c r="F1063" s="642"/>
      <c r="G1063" s="642"/>
      <c r="H1063" s="404"/>
      <c r="I1063" s="404"/>
    </row>
    <row r="1064" spans="1:9" ht="12.75" customHeight="1">
      <c r="A1064" s="355"/>
      <c r="B1064" s="355"/>
      <c r="C1064" s="322"/>
      <c r="D1064" s="1561" t="s">
        <v>1619</v>
      </c>
      <c r="E1064" s="1561"/>
      <c r="F1064" s="1561"/>
      <c r="G1064" s="642"/>
      <c r="H1064" s="404"/>
      <c r="I1064" s="404"/>
    </row>
    <row r="1065" spans="1:9" ht="12.75" customHeight="1">
      <c r="A1065" s="355"/>
      <c r="B1065" s="355"/>
      <c r="C1065" s="322"/>
      <c r="D1065" s="991"/>
      <c r="E1065" s="988"/>
      <c r="F1065" s="988"/>
      <c r="G1065" s="642"/>
      <c r="H1065" s="404"/>
      <c r="I1065" s="404"/>
    </row>
    <row r="1066" spans="1:9" ht="13.1">
      <c r="A1066" s="413"/>
      <c r="B1066" s="924" t="s">
        <v>1498</v>
      </c>
      <c r="C1066" s="322"/>
      <c r="D1066" s="1552" t="s">
        <v>1810</v>
      </c>
      <c r="E1066" s="1552"/>
      <c r="F1066" s="1552"/>
      <c r="G1066" s="554"/>
      <c r="H1066" s="404"/>
      <c r="I1066" s="404"/>
    </row>
    <row r="1067" spans="1:9" ht="12.6">
      <c r="A1067" s="355"/>
      <c r="B1067" s="355"/>
      <c r="C1067" s="322"/>
      <c r="D1067" s="1552"/>
      <c r="E1067" s="1552"/>
      <c r="F1067" s="1552"/>
      <c r="G1067" s="554"/>
      <c r="H1067" s="404"/>
      <c r="I1067" s="404"/>
    </row>
    <row r="1068" spans="1:9" ht="12.6">
      <c r="A1068" s="355"/>
      <c r="B1068" s="355"/>
      <c r="C1068" s="322"/>
      <c r="D1068" s="1552"/>
      <c r="E1068" s="1552"/>
      <c r="F1068" s="1552"/>
      <c r="G1068" s="554"/>
      <c r="H1068" s="404"/>
      <c r="I1068" s="404"/>
    </row>
    <row r="1069" spans="1:9" ht="12.6">
      <c r="A1069" s="355"/>
      <c r="B1069" s="355"/>
      <c r="C1069" s="322"/>
      <c r="D1069" s="1552"/>
      <c r="E1069" s="1552"/>
      <c r="F1069" s="1552"/>
      <c r="G1069" s="554"/>
      <c r="H1069" s="404"/>
      <c r="I1069" s="404"/>
    </row>
    <row r="1070" spans="1:9" ht="12.6">
      <c r="A1070" s="355"/>
      <c r="B1070" s="355"/>
      <c r="C1070" s="322"/>
      <c r="D1070" s="296"/>
      <c r="E1070" s="296"/>
      <c r="F1070" s="296"/>
      <c r="G1070" s="554"/>
      <c r="H1070" s="404"/>
      <c r="I1070" s="404"/>
    </row>
    <row r="1071" spans="1:9" ht="13.1">
      <c r="A1071" s="413"/>
      <c r="B1071" s="924" t="s">
        <v>135</v>
      </c>
      <c r="C1071" s="322"/>
      <c r="D1071" s="1552" t="s">
        <v>1811</v>
      </c>
      <c r="E1071" s="1552"/>
      <c r="F1071" s="1552"/>
      <c r="G1071" s="554"/>
      <c r="H1071" s="404"/>
      <c r="I1071" s="404"/>
    </row>
    <row r="1072" spans="1:9" ht="12.6">
      <c r="A1072" s="355"/>
      <c r="B1072" s="355"/>
      <c r="C1072" s="322"/>
      <c r="D1072" s="1552"/>
      <c r="E1072" s="1552"/>
      <c r="F1072" s="1552"/>
      <c r="G1072" s="554"/>
      <c r="H1072" s="404"/>
      <c r="I1072" s="404"/>
    </row>
    <row r="1073" spans="1:9" ht="12.6">
      <c r="A1073" s="355"/>
      <c r="B1073" s="355"/>
      <c r="C1073" s="322"/>
      <c r="D1073" s="1552"/>
      <c r="E1073" s="1552"/>
      <c r="F1073" s="1552"/>
      <c r="G1073" s="554"/>
      <c r="H1073" s="404"/>
      <c r="I1073" s="404"/>
    </row>
    <row r="1074" spans="1:9" ht="12.6">
      <c r="A1074" s="355"/>
      <c r="B1074" s="355"/>
      <c r="C1074" s="322"/>
      <c r="D1074" s="1552"/>
      <c r="E1074" s="1552"/>
      <c r="F1074" s="1552"/>
      <c r="G1074" s="554"/>
      <c r="H1074" s="404"/>
      <c r="I1074" s="404"/>
    </row>
    <row r="1075" spans="1:9" ht="12.6">
      <c r="A1075" s="355"/>
      <c r="B1075" s="355"/>
      <c r="C1075" s="322"/>
      <c r="D1075" s="296"/>
      <c r="E1075" s="296"/>
      <c r="F1075" s="296"/>
      <c r="G1075" s="554"/>
    </row>
    <row r="1076" spans="1:9" ht="12.6">
      <c r="A1076" s="355"/>
      <c r="B1076" s="924" t="s">
        <v>135</v>
      </c>
      <c r="C1076" s="322"/>
      <c r="D1076" s="1618" t="s">
        <v>1812</v>
      </c>
      <c r="E1076" s="1618"/>
      <c r="F1076" s="1618"/>
      <c r="G1076" s="554"/>
    </row>
    <row r="1077" spans="1:9" ht="12.6">
      <c r="A1077" s="355"/>
      <c r="B1077" s="355"/>
      <c r="C1077" s="322"/>
      <c r="D1077" s="1618"/>
      <c r="E1077" s="1618"/>
      <c r="F1077" s="1618"/>
      <c r="G1077" s="554"/>
    </row>
    <row r="1078" spans="1:9" ht="12.6">
      <c r="A1078" s="355"/>
      <c r="B1078" s="355"/>
      <c r="C1078" s="322"/>
      <c r="D1078" s="1618"/>
      <c r="E1078" s="1618"/>
      <c r="F1078" s="1618"/>
      <c r="G1078" s="554"/>
    </row>
    <row r="1079" spans="1:9" ht="12.6">
      <c r="A1079" s="355"/>
      <c r="B1079" s="355"/>
      <c r="C1079" s="322"/>
      <c r="D1079" s="296"/>
      <c r="E1079" s="296"/>
      <c r="F1079" s="296"/>
      <c r="G1079" s="554"/>
    </row>
    <row r="1080" spans="1:9" ht="13.1">
      <c r="A1080" s="413"/>
      <c r="B1080" s="924" t="s">
        <v>135</v>
      </c>
      <c r="C1080" s="658"/>
      <c r="D1080" s="1619" t="s">
        <v>1813</v>
      </c>
      <c r="E1080" s="1619"/>
      <c r="F1080" s="1619"/>
      <c r="G1080" s="690"/>
    </row>
    <row r="1081" spans="1:9" ht="12.6">
      <c r="A1081" s="657"/>
      <c r="B1081" s="657"/>
      <c r="C1081" s="658"/>
      <c r="D1081" s="1619"/>
      <c r="E1081" s="1619"/>
      <c r="F1081" s="1619"/>
      <c r="G1081" s="690"/>
    </row>
    <row r="1082" spans="1:9" ht="12.6">
      <c r="A1082" s="657"/>
      <c r="B1082" s="657"/>
      <c r="C1082" s="658"/>
      <c r="D1082" s="1619"/>
      <c r="E1082" s="1619"/>
      <c r="F1082" s="1619"/>
      <c r="G1082" s="690"/>
    </row>
    <row r="1083" spans="1:9" ht="12.6">
      <c r="A1083" s="355"/>
      <c r="B1083" s="355"/>
      <c r="C1083" s="322"/>
      <c r="D1083" s="296"/>
      <c r="E1083" s="296"/>
      <c r="F1083" s="296"/>
      <c r="G1083" s="554"/>
    </row>
    <row r="1084" spans="1:9" ht="13.1">
      <c r="A1084" s="14"/>
      <c r="B1084" s="14"/>
      <c r="C1084" s="322"/>
      <c r="D1084" s="1561" t="s">
        <v>1620</v>
      </c>
      <c r="E1084" s="1561"/>
      <c r="F1084" s="1561"/>
      <c r="G1084" s="554"/>
    </row>
    <row r="1085" spans="1:9" ht="13.1">
      <c r="A1085" s="14"/>
      <c r="B1085" s="14"/>
      <c r="C1085" s="322"/>
      <c r="D1085" s="991"/>
      <c r="E1085" s="296"/>
      <c r="F1085" s="296"/>
      <c r="G1085" s="554"/>
    </row>
    <row r="1086" spans="1:9" ht="12.6">
      <c r="A1086" s="355"/>
      <c r="B1086" s="924" t="s">
        <v>135</v>
      </c>
      <c r="C1086" s="322"/>
      <c r="D1086" s="1595" t="s">
        <v>1814</v>
      </c>
      <c r="E1086" s="1595"/>
      <c r="F1086" s="1595"/>
      <c r="G1086" s="554"/>
    </row>
    <row r="1087" spans="1:9" ht="12.6">
      <c r="A1087" s="355"/>
      <c r="B1087" s="355"/>
      <c r="C1087" s="322"/>
      <c r="D1087" s="1595"/>
      <c r="E1087" s="1595"/>
      <c r="F1087" s="1595"/>
      <c r="G1087" s="554"/>
    </row>
    <row r="1088" spans="1:9" ht="12.6">
      <c r="A1088" s="355"/>
      <c r="B1088" s="355"/>
      <c r="C1088" s="322"/>
      <c r="D1088" s="1595"/>
      <c r="E1088" s="1595"/>
      <c r="F1088" s="1595"/>
      <c r="G1088" s="554"/>
    </row>
    <row r="1089" spans="1:7" ht="12.6">
      <c r="A1089" s="355"/>
      <c r="B1089" s="355"/>
      <c r="C1089" s="322"/>
      <c r="D1089" s="554"/>
      <c r="E1089" s="296"/>
      <c r="F1089" s="296"/>
      <c r="G1089" s="554"/>
    </row>
    <row r="1090" spans="1:7" ht="13.1">
      <c r="A1090" s="413"/>
      <c r="B1090" s="924" t="s">
        <v>135</v>
      </c>
      <c r="C1090" s="322"/>
      <c r="D1090" s="1595" t="s">
        <v>1815</v>
      </c>
      <c r="E1090" s="1595"/>
      <c r="F1090" s="1595"/>
      <c r="G1090" s="554"/>
    </row>
    <row r="1091" spans="1:7" ht="12.6">
      <c r="A1091" s="355"/>
      <c r="B1091" s="355"/>
      <c r="C1091" s="322"/>
      <c r="D1091" s="1595"/>
      <c r="E1091" s="1595"/>
      <c r="F1091" s="1595"/>
      <c r="G1091" s="554"/>
    </row>
    <row r="1092" spans="1:7" ht="12.6">
      <c r="A1092" s="355"/>
      <c r="B1092" s="355"/>
      <c r="C1092" s="322"/>
      <c r="D1092" s="1595"/>
      <c r="E1092" s="1595"/>
      <c r="F1092" s="1595"/>
      <c r="G1092" s="554"/>
    </row>
    <row r="1093" spans="1:7" ht="12.6">
      <c r="A1093" s="355"/>
      <c r="B1093" s="355"/>
      <c r="C1093" s="322"/>
      <c r="D1093" s="296"/>
      <c r="E1093" s="296"/>
      <c r="F1093" s="296"/>
      <c r="G1093" s="554"/>
    </row>
    <row r="1094" spans="1:7" ht="13.1">
      <c r="A1094" s="355"/>
      <c r="B1094" s="355"/>
      <c r="C1094" s="322"/>
      <c r="D1094" s="1561" t="s">
        <v>1207</v>
      </c>
      <c r="E1094" s="1561"/>
      <c r="F1094" s="1561"/>
      <c r="G1094" s="554"/>
    </row>
    <row r="1095" spans="1:7" ht="12.6">
      <c r="A1095" s="355"/>
      <c r="B1095" s="355"/>
      <c r="C1095" s="322"/>
      <c r="D1095" s="1554" t="s">
        <v>1621</v>
      </c>
      <c r="E1095" s="1554"/>
      <c r="F1095" s="1554"/>
      <c r="G1095" s="554"/>
    </row>
    <row r="1096" spans="1:7" ht="12.6">
      <c r="A1096" s="355"/>
      <c r="B1096" s="355"/>
      <c r="C1096" s="322"/>
      <c r="D1096" s="992"/>
      <c r="E1096" s="296"/>
      <c r="F1096" s="296"/>
      <c r="G1096" s="554"/>
    </row>
    <row r="1097" spans="1:7" ht="13.1">
      <c r="A1097" s="413"/>
      <c r="B1097" s="924" t="s">
        <v>135</v>
      </c>
      <c r="C1097" s="322"/>
      <c r="D1097" s="1552" t="s">
        <v>1816</v>
      </c>
      <c r="E1097" s="1552"/>
      <c r="F1097" s="1552"/>
      <c r="G1097" s="554"/>
    </row>
    <row r="1098" spans="1:7" ht="12.6">
      <c r="A1098" s="355"/>
      <c r="B1098" s="355"/>
      <c r="C1098" s="322"/>
      <c r="D1098" s="1552"/>
      <c r="E1098" s="1552"/>
      <c r="F1098" s="1552"/>
      <c r="G1098" s="554"/>
    </row>
    <row r="1099" spans="1:7" ht="12.6">
      <c r="A1099" s="355"/>
      <c r="B1099" s="355"/>
      <c r="C1099" s="322"/>
      <c r="D1099" s="296"/>
      <c r="E1099" s="296"/>
      <c r="F1099" s="296"/>
      <c r="G1099" s="554"/>
    </row>
    <row r="1100" spans="1:7" ht="13.1">
      <c r="A1100" s="413"/>
      <c r="B1100" s="924" t="s">
        <v>135</v>
      </c>
      <c r="C1100" s="322"/>
      <c r="D1100" s="1552" t="s">
        <v>1817</v>
      </c>
      <c r="E1100" s="1552"/>
      <c r="F1100" s="1552"/>
      <c r="G1100" s="554"/>
    </row>
    <row r="1101" spans="1:7" ht="12.6">
      <c r="A1101" s="355"/>
      <c r="B1101" s="355"/>
      <c r="C1101" s="322"/>
      <c r="D1101" s="1552"/>
      <c r="E1101" s="1552"/>
      <c r="F1101" s="1552"/>
      <c r="G1101" s="554"/>
    </row>
    <row r="1102" spans="1:7" ht="12.6">
      <c r="A1102" s="355"/>
      <c r="B1102" s="355"/>
      <c r="C1102" s="322"/>
      <c r="D1102" s="282"/>
      <c r="E1102" s="296"/>
      <c r="F1102" s="296"/>
      <c r="G1102" s="554"/>
    </row>
    <row r="1103" spans="1:7" ht="13.1">
      <c r="A1103" s="355"/>
      <c r="B1103" s="355"/>
      <c r="C1103" s="322"/>
      <c r="D1103" s="1561" t="s">
        <v>1622</v>
      </c>
      <c r="E1103" s="1561"/>
      <c r="F1103" s="1561"/>
      <c r="G1103" s="554"/>
    </row>
    <row r="1104" spans="1:7" ht="13.1">
      <c r="A1104" s="355"/>
      <c r="B1104" s="355"/>
      <c r="C1104" s="322"/>
      <c r="D1104" s="991"/>
      <c r="E1104" s="296"/>
      <c r="F1104" s="296"/>
      <c r="G1104" s="554"/>
    </row>
    <row r="1105" spans="1:7" ht="13.1">
      <c r="A1105" s="413"/>
      <c r="B1105" s="924" t="s">
        <v>1498</v>
      </c>
      <c r="C1105" s="322"/>
      <c r="D1105" s="1552" t="s">
        <v>1818</v>
      </c>
      <c r="E1105" s="1552"/>
      <c r="F1105" s="1552"/>
      <c r="G1105" s="554"/>
    </row>
    <row r="1106" spans="1:7" ht="12.6">
      <c r="A1106" s="355"/>
      <c r="B1106" s="355"/>
      <c r="C1106" s="322"/>
      <c r="D1106" s="1552"/>
      <c r="E1106" s="1552"/>
      <c r="F1106" s="1552"/>
      <c r="G1106" s="554"/>
    </row>
    <row r="1107" spans="1:7" ht="12.6">
      <c r="A1107" s="355"/>
      <c r="B1107" s="355"/>
      <c r="C1107" s="322"/>
      <c r="D1107" s="1552"/>
      <c r="E1107" s="1552"/>
      <c r="F1107" s="1552"/>
      <c r="G1107" s="554"/>
    </row>
    <row r="1108" spans="1:7" ht="12.6">
      <c r="A1108" s="355"/>
      <c r="B1108" s="355"/>
      <c r="C1108" s="322"/>
      <c r="D1108" s="1552"/>
      <c r="E1108" s="1552"/>
      <c r="F1108" s="1552"/>
      <c r="G1108" s="554"/>
    </row>
    <row r="1109" spans="1:7" ht="12.6">
      <c r="A1109" s="355"/>
      <c r="B1109" s="355"/>
      <c r="C1109" s="322"/>
      <c r="D1109" s="1552"/>
      <c r="E1109" s="1552"/>
      <c r="F1109" s="1552"/>
      <c r="G1109" s="554"/>
    </row>
    <row r="1110" spans="1:7" ht="12.6">
      <c r="A1110" s="355"/>
      <c r="B1110" s="355"/>
      <c r="C1110" s="322"/>
      <c r="D1110" s="1552"/>
      <c r="E1110" s="1552"/>
      <c r="F1110" s="1552"/>
      <c r="G1110" s="554"/>
    </row>
    <row r="1111" spans="1:7" ht="12.6">
      <c r="A1111" s="355"/>
      <c r="B1111" s="355"/>
      <c r="C1111" s="322"/>
      <c r="D1111" s="1552"/>
      <c r="E1111" s="1552"/>
      <c r="F1111" s="1552"/>
      <c r="G1111" s="554"/>
    </row>
    <row r="1112" spans="1:7" ht="12.6">
      <c r="A1112" s="355"/>
      <c r="B1112" s="355"/>
      <c r="C1112" s="322"/>
      <c r="D1112" s="296"/>
      <c r="E1112" s="296"/>
      <c r="F1112" s="296"/>
      <c r="G1112" s="554"/>
    </row>
    <row r="1113" spans="1:7" ht="13.1">
      <c r="A1113" s="413"/>
      <c r="B1113" s="924" t="s">
        <v>135</v>
      </c>
      <c r="C1113" s="322"/>
      <c r="D1113" s="1552" t="s">
        <v>1819</v>
      </c>
      <c r="E1113" s="1552"/>
      <c r="F1113" s="1552"/>
      <c r="G1113" s="554"/>
    </row>
    <row r="1114" spans="1:7" ht="12.6">
      <c r="A1114" s="355"/>
      <c r="B1114" s="355"/>
      <c r="C1114" s="322"/>
      <c r="D1114" s="1552"/>
      <c r="E1114" s="1552"/>
      <c r="F1114" s="1552"/>
      <c r="G1114" s="554"/>
    </row>
    <row r="1115" spans="1:7" ht="12.6">
      <c r="A1115" s="355"/>
      <c r="B1115" s="355"/>
      <c r="C1115" s="322"/>
      <c r="D1115" s="1552"/>
      <c r="E1115" s="1552"/>
      <c r="F1115" s="1552"/>
      <c r="G1115" s="554"/>
    </row>
    <row r="1116" spans="1:7" ht="12.6">
      <c r="A1116" s="355"/>
      <c r="B1116" s="355"/>
      <c r="C1116" s="322"/>
      <c r="D1116" s="1552"/>
      <c r="E1116" s="1552"/>
      <c r="F1116" s="1552"/>
      <c r="G1116" s="554"/>
    </row>
    <row r="1117" spans="1:7" ht="12.6">
      <c r="A1117" s="355"/>
      <c r="B1117" s="355"/>
      <c r="C1117" s="322"/>
      <c r="D1117" s="1552"/>
      <c r="E1117" s="1552"/>
      <c r="F1117" s="1552"/>
      <c r="G1117" s="554"/>
    </row>
    <row r="1118" spans="1:7" ht="12.6">
      <c r="A1118" s="355"/>
      <c r="B1118" s="355"/>
      <c r="C1118" s="322"/>
      <c r="D1118" s="1552"/>
      <c r="E1118" s="1552"/>
      <c r="F1118" s="1552"/>
      <c r="G1118" s="554"/>
    </row>
    <row r="1119" spans="1:7" ht="12.6">
      <c r="A1119" s="355"/>
      <c r="B1119" s="355"/>
      <c r="C1119" s="322"/>
      <c r="D1119" s="1552"/>
      <c r="E1119" s="1552"/>
      <c r="F1119" s="1552"/>
      <c r="G1119" s="554"/>
    </row>
    <row r="1120" spans="1:7" ht="12.6">
      <c r="A1120" s="355"/>
      <c r="B1120" s="355"/>
      <c r="C1120" s="322"/>
      <c r="D1120" s="1081"/>
      <c r="E1120" s="1081"/>
      <c r="F1120" s="1081"/>
      <c r="G1120" s="554"/>
    </row>
    <row r="1121" spans="1:7" ht="12.5" customHeight="1">
      <c r="A1121" s="355"/>
      <c r="B1121" s="1083" t="s">
        <v>135</v>
      </c>
      <c r="C1121" s="322"/>
      <c r="D1121" s="1620" t="s">
        <v>1939</v>
      </c>
      <c r="E1121" s="1618"/>
      <c r="F1121" s="1618"/>
      <c r="G1121" s="554"/>
    </row>
    <row r="1122" spans="1:7" ht="12.5" customHeight="1">
      <c r="A1122" s="355"/>
      <c r="B1122" s="355"/>
      <c r="C1122" s="322"/>
      <c r="D1122" s="1618"/>
      <c r="E1122" s="1618"/>
      <c r="F1122" s="1618"/>
      <c r="G1122" s="554"/>
    </row>
    <row r="1123" spans="1:7" ht="12.6">
      <c r="A1123" s="355"/>
      <c r="B1123" s="355"/>
      <c r="C1123" s="322"/>
      <c r="D1123" s="1618"/>
      <c r="E1123" s="1618"/>
      <c r="F1123" s="1618"/>
      <c r="G1123" s="554"/>
    </row>
    <row r="1124" spans="1:7" ht="12.6">
      <c r="A1124" s="355"/>
      <c r="B1124" s="355"/>
      <c r="C1124" s="322"/>
      <c r="D1124" s="1082"/>
      <c r="E1124" s="1082"/>
      <c r="F1124" s="1082"/>
      <c r="G1124" s="554"/>
    </row>
    <row r="1125" spans="1:7" ht="13.1">
      <c r="A1125" s="140"/>
      <c r="B1125" s="140"/>
      <c r="C1125" s="14"/>
      <c r="D1125" s="1561" t="s">
        <v>1623</v>
      </c>
      <c r="E1125" s="1561"/>
      <c r="F1125" s="1561"/>
    </row>
    <row r="1126" spans="1:7" ht="13.1">
      <c r="A1126" s="996"/>
      <c r="B1126" s="996"/>
      <c r="C1126" s="14"/>
      <c r="D1126" s="991"/>
      <c r="E1126" s="282"/>
      <c r="F1126" s="282"/>
    </row>
    <row r="1127" spans="1:7" ht="13.1">
      <c r="A1127" s="413"/>
      <c r="B1127" s="924" t="s">
        <v>1498</v>
      </c>
      <c r="C1127" s="14"/>
      <c r="D1127" s="1595" t="s">
        <v>1820</v>
      </c>
      <c r="E1127" s="1595"/>
      <c r="F1127" s="1595"/>
    </row>
    <row r="1128" spans="1:7" ht="12.6">
      <c r="A1128" s="140"/>
      <c r="B1128" s="140"/>
      <c r="C1128" s="14"/>
      <c r="D1128" s="1595"/>
      <c r="E1128" s="1595"/>
      <c r="F1128" s="1595"/>
    </row>
    <row r="1129" spans="1:7" ht="12.6">
      <c r="A1129" s="140"/>
      <c r="B1129" s="140"/>
      <c r="C1129" s="14"/>
      <c r="E1129" s="282"/>
      <c r="F1129" s="282"/>
    </row>
    <row r="1130" spans="1:7" ht="13.1">
      <c r="A1130" s="413"/>
      <c r="B1130" s="924" t="s">
        <v>135</v>
      </c>
      <c r="C1130" s="14"/>
      <c r="D1130" s="1595" t="s">
        <v>1821</v>
      </c>
      <c r="E1130" s="1595"/>
      <c r="F1130" s="1595"/>
    </row>
    <row r="1131" spans="1:7" ht="12.6">
      <c r="A1131" s="140"/>
      <c r="B1131" s="140"/>
      <c r="C1131" s="14"/>
      <c r="D1131" s="1595"/>
      <c r="E1131" s="1595"/>
      <c r="F1131" s="1595"/>
    </row>
    <row r="1132" spans="1:7" ht="12.6">
      <c r="A1132" s="140"/>
      <c r="B1132" s="140"/>
      <c r="C1132" s="14"/>
      <c r="D1132" s="282"/>
      <c r="E1132" s="282"/>
      <c r="F1132" s="282"/>
    </row>
    <row r="1133" spans="1:7" ht="13.1">
      <c r="A1133" s="140"/>
      <c r="B1133" s="140"/>
      <c r="C1133" s="14"/>
      <c r="D1133" s="1561" t="s">
        <v>1624</v>
      </c>
      <c r="E1133" s="1561"/>
      <c r="F1133" s="1561"/>
    </row>
    <row r="1134" spans="1:7" ht="13.1">
      <c r="A1134" s="996"/>
      <c r="B1134" s="996"/>
      <c r="C1134" s="14"/>
      <c r="D1134" s="991"/>
      <c r="E1134" s="282"/>
      <c r="F1134" s="282"/>
    </row>
    <row r="1135" spans="1:7" ht="13.1">
      <c r="A1135" s="413"/>
      <c r="B1135" s="924" t="s">
        <v>135</v>
      </c>
      <c r="C1135" s="14"/>
      <c r="D1135" s="1554" t="s">
        <v>1822</v>
      </c>
      <c r="E1135" s="1554"/>
      <c r="F1135" s="1554"/>
    </row>
    <row r="1136" spans="1:7" ht="12.6">
      <c r="A1136" s="140"/>
      <c r="B1136" s="140"/>
      <c r="C1136" s="14"/>
      <c r="D1136" s="282"/>
      <c r="E1136" s="282"/>
      <c r="F1136" s="282"/>
    </row>
    <row r="1137" spans="1:7" ht="13.1">
      <c r="A1137" s="413"/>
      <c r="B1137" s="924" t="s">
        <v>135</v>
      </c>
      <c r="C1137" s="14"/>
      <c r="D1137" s="1552" t="s">
        <v>1823</v>
      </c>
      <c r="E1137" s="1552"/>
      <c r="F1137" s="1552"/>
    </row>
    <row r="1138" spans="1:7" ht="13.1">
      <c r="A1138" s="413"/>
      <c r="B1138" s="413"/>
      <c r="C1138" s="14"/>
      <c r="D1138" s="1552"/>
      <c r="E1138" s="1552"/>
      <c r="F1138" s="1552"/>
    </row>
    <row r="1139" spans="1:7" ht="13.1">
      <c r="A1139" s="413"/>
      <c r="B1139" s="413"/>
      <c r="C1139" s="14"/>
      <c r="D1139" s="1000"/>
      <c r="E1139" s="1000"/>
      <c r="F1139" s="1000"/>
      <c r="G1139" s="2"/>
    </row>
    <row r="1140" spans="1:7" ht="13.1">
      <c r="A1140" s="1002"/>
      <c r="B1140" s="1002"/>
      <c r="C1140" s="14"/>
      <c r="D1140" s="1561" t="s">
        <v>1833</v>
      </c>
      <c r="E1140" s="1561"/>
      <c r="F1140" s="1561"/>
      <c r="G1140" s="2"/>
    </row>
    <row r="1141" spans="1:7" ht="13.1">
      <c r="A1141" s="1002"/>
      <c r="B1141" s="1002"/>
      <c r="C1141" s="14"/>
      <c r="D1141" s="1001"/>
      <c r="E1141" s="282"/>
      <c r="F1141" s="282"/>
      <c r="G1141" s="2"/>
    </row>
    <row r="1142" spans="1:7" ht="14.5" customHeight="1">
      <c r="A1142" s="413"/>
      <c r="B1142" s="1003" t="s">
        <v>1498</v>
      </c>
      <c r="C1142" s="14"/>
      <c r="D1142" s="1586" t="s">
        <v>1921</v>
      </c>
      <c r="E1142" s="1552"/>
      <c r="F1142" s="1552"/>
      <c r="G1142" s="2"/>
    </row>
    <row r="1143" spans="1:7" ht="13.1">
      <c r="A1143" s="413"/>
      <c r="B1143" s="413"/>
      <c r="C1143" s="14"/>
      <c r="D1143" s="1552"/>
      <c r="E1143" s="1552"/>
      <c r="F1143" s="1552"/>
      <c r="G1143" s="2"/>
    </row>
    <row r="1144" spans="1:7" ht="13.1">
      <c r="A1144" s="413"/>
      <c r="B1144" s="413"/>
      <c r="C1144" s="14"/>
      <c r="D1144" s="1552"/>
      <c r="E1144" s="1552"/>
      <c r="F1144" s="1552"/>
      <c r="G1144" s="2"/>
    </row>
    <row r="1145" spans="1:7" ht="13.1">
      <c r="A1145" s="413"/>
      <c r="B1145" s="413"/>
      <c r="C1145" s="14"/>
      <c r="D1145" s="1552"/>
      <c r="E1145" s="1552"/>
      <c r="F1145" s="1552"/>
      <c r="G1145" s="2"/>
    </row>
    <row r="1146" spans="1:7" ht="13.1">
      <c r="A1146" s="413"/>
      <c r="B1146" s="413"/>
      <c r="C1146" s="14"/>
      <c r="D1146" s="1552"/>
      <c r="E1146" s="1552"/>
      <c r="F1146" s="1552"/>
      <c r="G1146" s="2"/>
    </row>
    <row r="1147" spans="1:7" ht="13.1">
      <c r="A1147" s="413"/>
      <c r="B1147" s="413"/>
      <c r="C1147" s="14"/>
      <c r="D1147" s="1552"/>
      <c r="E1147" s="1552"/>
      <c r="F1147" s="1552"/>
      <c r="G1147" s="2"/>
    </row>
    <row r="1148" spans="1:7" ht="13.1">
      <c r="A1148" s="413"/>
      <c r="B1148" s="413"/>
      <c r="C1148" s="14"/>
      <c r="D1148" s="1552"/>
      <c r="E1148" s="1552"/>
      <c r="F1148" s="1552"/>
      <c r="G1148" s="2"/>
    </row>
    <row r="1149" spans="1:7" ht="13.1">
      <c r="A1149" s="413"/>
      <c r="B1149" s="413"/>
      <c r="C1149" s="14"/>
      <c r="D1149" s="1552"/>
      <c r="E1149" s="1552"/>
      <c r="F1149" s="1552"/>
      <c r="G1149" s="2"/>
    </row>
    <row r="1150" spans="1:7" ht="13.1">
      <c r="A1150" s="413"/>
      <c r="B1150" s="413"/>
      <c r="C1150" s="14"/>
      <c r="D1150" s="1552"/>
      <c r="E1150" s="1552"/>
      <c r="F1150" s="1552"/>
      <c r="G1150" s="2"/>
    </row>
    <row r="1151" spans="1:7" ht="13.1">
      <c r="A1151" s="413"/>
      <c r="B1151" s="413"/>
      <c r="C1151" s="14"/>
      <c r="D1151" s="1552"/>
      <c r="E1151" s="1552"/>
      <c r="F1151" s="1552"/>
      <c r="G1151" s="2"/>
    </row>
    <row r="1152" spans="1:7" ht="13.1">
      <c r="A1152" s="413"/>
      <c r="B1152" s="413"/>
      <c r="C1152" s="14"/>
      <c r="D1152" s="1552"/>
      <c r="E1152" s="1552"/>
      <c r="F1152" s="1552"/>
      <c r="G1152" s="2"/>
    </row>
    <row r="1153" spans="1:7" ht="13.1">
      <c r="A1153" s="413"/>
      <c r="B1153" s="413"/>
      <c r="C1153" s="14"/>
      <c r="D1153" s="1552"/>
      <c r="E1153" s="1552"/>
      <c r="F1153" s="1552"/>
      <c r="G1153" s="2"/>
    </row>
    <row r="1154" spans="1:7" ht="13.1">
      <c r="A1154" s="413"/>
      <c r="B1154" s="413"/>
      <c r="C1154" s="14"/>
      <c r="D1154" s="1552"/>
      <c r="E1154" s="1552"/>
      <c r="F1154" s="1552"/>
      <c r="G1154" s="2"/>
    </row>
    <row r="1155" spans="1:7" ht="13.1">
      <c r="A1155" s="413"/>
      <c r="B1155" s="413"/>
      <c r="C1155" s="14"/>
      <c r="D1155" s="1552"/>
      <c r="E1155" s="1552"/>
      <c r="F1155" s="1552"/>
    </row>
    <row r="1156" spans="1:7" ht="12.6">
      <c r="A1156" s="140"/>
      <c r="B1156" s="140"/>
      <c r="C1156" s="14"/>
      <c r="D1156" s="282"/>
      <c r="E1156" s="282"/>
      <c r="F1156" s="282"/>
    </row>
    <row r="1157" spans="1:7" ht="13.1">
      <c r="A1157" s="1560" t="s">
        <v>1526</v>
      </c>
      <c r="B1157" s="1560"/>
      <c r="C1157" s="1560"/>
      <c r="D1157" s="1560"/>
      <c r="E1157" s="1560"/>
      <c r="F1157" s="1560"/>
      <c r="G1157" s="1560"/>
    </row>
    <row r="1158" spans="1:7" ht="12.6">
      <c r="A1158" s="143"/>
      <c r="B1158" s="143"/>
      <c r="C1158" s="14"/>
      <c r="D1158" s="282"/>
      <c r="E1158" s="282"/>
      <c r="F1158" s="282"/>
    </row>
    <row r="1159" spans="1:7" ht="13.1">
      <c r="A1159" s="140"/>
      <c r="B1159" s="140"/>
      <c r="C1159" s="322"/>
      <c r="D1159" s="1561" t="s">
        <v>1824</v>
      </c>
      <c r="E1159" s="1561"/>
      <c r="F1159" s="1561"/>
    </row>
    <row r="1160" spans="1:7" ht="13.1">
      <c r="A1160" s="414"/>
      <c r="B1160" s="414"/>
      <c r="C1160" s="298"/>
      <c r="D1160" s="1553" t="s">
        <v>1628</v>
      </c>
      <c r="E1160" s="1554"/>
      <c r="F1160" s="1554"/>
    </row>
    <row r="1161" spans="1:7" ht="13.1">
      <c r="A1161" s="414"/>
      <c r="B1161" s="414"/>
      <c r="C1161" s="298"/>
      <c r="D1161" s="282"/>
      <c r="E1161" s="282"/>
      <c r="F1161" s="296"/>
      <c r="G1161" s="2"/>
    </row>
    <row r="1162" spans="1:7" ht="13.75" customHeight="1">
      <c r="A1162" s="140"/>
      <c r="B1162" s="924" t="s">
        <v>1498</v>
      </c>
      <c r="C1162" s="14"/>
      <c r="D1162" s="1549" t="s">
        <v>2328</v>
      </c>
      <c r="E1162" s="1549"/>
      <c r="F1162" s="1549"/>
      <c r="G1162" s="2"/>
    </row>
    <row r="1163" spans="1:7" ht="12.6">
      <c r="A1163" s="140"/>
      <c r="B1163" s="140"/>
      <c r="C1163" s="14"/>
      <c r="D1163" s="1549"/>
      <c r="E1163" s="1549"/>
      <c r="F1163" s="1549"/>
      <c r="G1163" s="2"/>
    </row>
    <row r="1164" spans="1:7" ht="13.1">
      <c r="A1164" s="140"/>
      <c r="B1164" s="140"/>
      <c r="C1164" s="14"/>
      <c r="D1164" s="22"/>
      <c r="E1164" s="1505" t="s">
        <v>2329</v>
      </c>
      <c r="F1164" s="22"/>
      <c r="G1164" s="2"/>
    </row>
    <row r="1165" spans="1:7" ht="13.1">
      <c r="A1165" s="150"/>
      <c r="B1165" s="150"/>
      <c r="D1165" s="22"/>
      <c r="E1165" s="22"/>
      <c r="F1165" s="22"/>
      <c r="G1165" s="2"/>
    </row>
    <row r="1166" spans="1:7" ht="12.6">
      <c r="A1166" s="150"/>
      <c r="B1166" s="150"/>
      <c r="D1166" s="1548" t="s">
        <v>2327</v>
      </c>
      <c r="E1166" s="1548"/>
      <c r="F1166" s="1548"/>
      <c r="G1166" s="2"/>
    </row>
    <row r="1167" spans="1:7" ht="13.1">
      <c r="A1167" s="415"/>
      <c r="B1167" s="415"/>
      <c r="C1167" s="299"/>
      <c r="D1167" s="1548"/>
      <c r="E1167" s="1548"/>
      <c r="F1167" s="1548"/>
      <c r="G1167" s="2"/>
    </row>
    <row r="1168" spans="1:7" ht="14.5" customHeight="1">
      <c r="A1168" s="415"/>
      <c r="B1168" s="415"/>
      <c r="C1168" s="299"/>
      <c r="D1168" s="1548"/>
      <c r="E1168" s="1548"/>
      <c r="F1168" s="1548"/>
      <c r="G1168" s="2"/>
    </row>
    <row r="1169" spans="1:7" ht="13.1">
      <c r="A1169" s="415"/>
      <c r="B1169" s="415"/>
      <c r="C1169" s="299"/>
      <c r="D1169" s="990"/>
      <c r="E1169" s="990"/>
      <c r="F1169" s="990"/>
      <c r="G1169" s="2"/>
    </row>
    <row r="1170" spans="1:7" ht="13.1">
      <c r="A1170" s="415"/>
      <c r="B1170" s="1007" t="s">
        <v>135</v>
      </c>
      <c r="C1170" s="299"/>
      <c r="D1170" s="1595" t="s">
        <v>1834</v>
      </c>
      <c r="E1170" s="1595"/>
      <c r="F1170" s="1595"/>
      <c r="G1170" s="2"/>
    </row>
    <row r="1171" spans="1:7" ht="13.1">
      <c r="A1171" s="415"/>
      <c r="B1171" s="415"/>
      <c r="C1171" s="299"/>
      <c r="D1171" s="1595"/>
      <c r="E1171" s="1595"/>
      <c r="F1171" s="1595"/>
      <c r="G1171" s="2"/>
    </row>
    <row r="1172" spans="1:7" ht="13.1">
      <c r="A1172" s="415"/>
      <c r="B1172" s="415"/>
      <c r="C1172" s="299"/>
      <c r="D1172" s="1595"/>
      <c r="E1172" s="1595"/>
      <c r="F1172" s="1595"/>
      <c r="G1172" s="2"/>
    </row>
    <row r="1173" spans="1:7" ht="13.1">
      <c r="A1173" s="415"/>
      <c r="B1173" s="415"/>
      <c r="C1173" s="299"/>
      <c r="D1173" s="1595"/>
      <c r="E1173" s="1595"/>
      <c r="F1173" s="1595"/>
      <c r="G1173" s="2"/>
    </row>
    <row r="1174" spans="1:7" ht="13.1">
      <c r="A1174" s="415"/>
      <c r="B1174" s="415"/>
      <c r="C1174" s="299"/>
      <c r="D1174" s="1067"/>
      <c r="E1174" s="1067"/>
      <c r="F1174" s="1067"/>
      <c r="G1174" s="2"/>
    </row>
    <row r="1175" spans="1:7" ht="13.1">
      <c r="A1175" s="415"/>
      <c r="B1175" s="1068" t="s">
        <v>135</v>
      </c>
      <c r="C1175" s="299"/>
      <c r="D1175" s="1562" t="s">
        <v>1922</v>
      </c>
      <c r="E1175" s="1595"/>
      <c r="F1175" s="1595"/>
      <c r="G1175" s="2"/>
    </row>
    <row r="1176" spans="1:7" ht="13.1">
      <c r="A1176" s="415"/>
      <c r="B1176" s="415"/>
      <c r="C1176" s="299"/>
      <c r="D1176" s="1595"/>
      <c r="E1176" s="1595"/>
      <c r="F1176" s="1595"/>
      <c r="G1176" s="2"/>
    </row>
    <row r="1177" spans="1:7" ht="13.1">
      <c r="A1177" s="415"/>
      <c r="B1177" s="415"/>
      <c r="C1177" s="299"/>
      <c r="D1177" s="1067"/>
      <c r="E1177" s="1067"/>
      <c r="F1177" s="1067"/>
      <c r="G1177" s="2"/>
    </row>
    <row r="1178" spans="1:7" ht="13.1">
      <c r="A1178" s="413"/>
      <c r="B1178" s="924" t="s">
        <v>135</v>
      </c>
      <c r="C1178" s="14"/>
      <c r="D1178" s="1554" t="s">
        <v>1825</v>
      </c>
      <c r="E1178" s="1554"/>
      <c r="F1178" s="1554"/>
      <c r="G1178" s="2"/>
    </row>
    <row r="1179" spans="1:7" ht="12.6">
      <c r="A1179" s="140"/>
      <c r="B1179" s="140"/>
      <c r="C1179" s="14"/>
      <c r="D1179" s="282"/>
      <c r="E1179" s="282"/>
      <c r="F1179" s="282"/>
      <c r="G1179" s="2"/>
    </row>
    <row r="1180" spans="1:7" ht="13.1">
      <c r="A1180" s="413"/>
      <c r="B1180" s="924" t="s">
        <v>135</v>
      </c>
      <c r="C1180" s="14"/>
      <c r="D1180" s="1554" t="s">
        <v>1826</v>
      </c>
      <c r="E1180" s="1554"/>
      <c r="F1180" s="1554"/>
      <c r="G1180" s="2"/>
    </row>
    <row r="1181" spans="1:7" ht="12.6">
      <c r="A1181" s="140"/>
      <c r="B1181" s="140"/>
      <c r="C1181" s="14"/>
      <c r="D1181" s="287"/>
      <c r="E1181" s="282"/>
      <c r="F1181" s="282"/>
      <c r="G1181" s="2"/>
    </row>
    <row r="1182" spans="1:7" ht="13.1">
      <c r="A1182" s="413"/>
      <c r="B1182" s="924" t="s">
        <v>1498</v>
      </c>
      <c r="C1182" s="14"/>
      <c r="D1182" s="1554" t="s">
        <v>1827</v>
      </c>
      <c r="E1182" s="1554"/>
      <c r="F1182" s="1554"/>
      <c r="G1182" s="2"/>
    </row>
    <row r="1183" spans="1:7" ht="12.6">
      <c r="A1183" s="140"/>
      <c r="B1183" s="140"/>
      <c r="C1183" s="14"/>
      <c r="D1183" s="287"/>
      <c r="E1183" s="282"/>
      <c r="F1183" s="282"/>
      <c r="G1183" s="2"/>
    </row>
    <row r="1184" spans="1:7" ht="13.1">
      <c r="A1184" s="413"/>
      <c r="B1184" s="924" t="s">
        <v>1498</v>
      </c>
      <c r="C1184" s="14"/>
      <c r="D1184" s="1552" t="s">
        <v>1828</v>
      </c>
      <c r="E1184" s="1552"/>
      <c r="F1184" s="1552"/>
      <c r="G1184" s="2"/>
    </row>
    <row r="1185" spans="1:7" ht="13.1">
      <c r="A1185" s="413"/>
      <c r="B1185" s="413"/>
      <c r="C1185" s="14"/>
      <c r="D1185" s="1552"/>
      <c r="E1185" s="1552"/>
      <c r="F1185" s="1552"/>
      <c r="G1185" s="2"/>
    </row>
    <row r="1186" spans="1:7" ht="13.1">
      <c r="A1186" s="413"/>
      <c r="B1186" s="413"/>
      <c r="C1186" s="14"/>
      <c r="D1186" s="287"/>
      <c r="E1186" s="282"/>
      <c r="F1186" s="282"/>
    </row>
    <row r="1187" spans="1:7" s="685" customFormat="1" ht="13.1">
      <c r="A1187" s="448"/>
      <c r="B1187" s="924" t="s">
        <v>135</v>
      </c>
      <c r="C1187" s="449"/>
      <c r="D1187" s="1603" t="s">
        <v>1829</v>
      </c>
      <c r="E1187" s="1603"/>
      <c r="F1187" s="1603"/>
      <c r="G1187" s="686"/>
    </row>
    <row r="1188" spans="1:7" s="685" customFormat="1" ht="12.6">
      <c r="A1188" s="449"/>
      <c r="B1188" s="449"/>
      <c r="C1188" s="449"/>
      <c r="D1188" s="1603"/>
      <c r="E1188" s="1603"/>
      <c r="F1188" s="1603"/>
      <c r="G1188" s="686"/>
    </row>
    <row r="1189" spans="1:7" s="685" customFormat="1" ht="12.6">
      <c r="A1189" s="449"/>
      <c r="B1189" s="449"/>
      <c r="C1189" s="449"/>
      <c r="D1189" s="450"/>
      <c r="E1189" s="451"/>
      <c r="F1189" s="451"/>
      <c r="G1189" s="686"/>
    </row>
    <row r="1190" spans="1:7" s="685" customFormat="1" ht="13.1">
      <c r="A1190" s="448"/>
      <c r="B1190" s="924" t="s">
        <v>135</v>
      </c>
      <c r="C1190" s="449"/>
      <c r="D1190" s="1652" t="s">
        <v>1830</v>
      </c>
      <c r="E1190" s="1652"/>
      <c r="F1190" s="1652"/>
      <c r="G1190" s="686"/>
    </row>
    <row r="1191" spans="1:7" s="685" customFormat="1" ht="12.6">
      <c r="A1191" s="449"/>
      <c r="B1191" s="449"/>
      <c r="C1191" s="449"/>
      <c r="D1191" s="450"/>
      <c r="E1191" s="451"/>
      <c r="F1191" s="451"/>
      <c r="G1191" s="686"/>
    </row>
    <row r="1192" spans="1:7" ht="13.1">
      <c r="A1192" s="413"/>
      <c r="B1192" s="924" t="s">
        <v>135</v>
      </c>
      <c r="C1192" s="14"/>
      <c r="D1192" s="1554" t="s">
        <v>1831</v>
      </c>
      <c r="E1192" s="1554"/>
      <c r="F1192" s="1554"/>
    </row>
    <row r="1193" spans="1:7" ht="13.1">
      <c r="A1193" s="413"/>
      <c r="B1193" s="413"/>
      <c r="C1193" s="14"/>
      <c r="D1193" s="287"/>
      <c r="E1193" s="282"/>
      <c r="F1193" s="282"/>
    </row>
    <row r="1194" spans="1:7" ht="13.1">
      <c r="A1194" s="413"/>
      <c r="B1194" s="924" t="s">
        <v>135</v>
      </c>
      <c r="C1194" s="14"/>
      <c r="D1194" s="1552" t="s">
        <v>1832</v>
      </c>
      <c r="E1194" s="1552"/>
      <c r="F1194" s="1552"/>
    </row>
    <row r="1195" spans="1:7" ht="13.1">
      <c r="A1195" s="413"/>
      <c r="B1195" s="413"/>
      <c r="C1195" s="14"/>
      <c r="D1195" s="1552"/>
      <c r="E1195" s="1552"/>
      <c r="F1195" s="1552"/>
    </row>
    <row r="1196" spans="1:7" ht="12.6">
      <c r="A1196" s="140"/>
      <c r="B1196" s="140"/>
      <c r="C1196" s="14"/>
      <c r="D1196" s="282"/>
      <c r="E1196" s="282"/>
      <c r="F1196" s="282"/>
    </row>
    <row r="1197" spans="1:7" ht="13.1">
      <c r="A1197" s="1560" t="s">
        <v>2230</v>
      </c>
      <c r="B1197" s="1560"/>
      <c r="C1197" s="1560"/>
      <c r="D1197" s="1560"/>
      <c r="E1197" s="1560"/>
      <c r="F1197" s="1560"/>
      <c r="G1197" s="1560"/>
    </row>
    <row r="1198" spans="1:7" ht="12.6">
      <c r="A1198" s="140"/>
      <c r="B1198" s="140"/>
      <c r="C1198" s="14"/>
      <c r="D1198" s="282"/>
      <c r="E1198" s="282"/>
      <c r="F1198" s="282"/>
    </row>
    <row r="1199" spans="1:7" ht="13.1">
      <c r="A1199" s="1560" t="s">
        <v>1527</v>
      </c>
      <c r="B1199" s="1560"/>
      <c r="C1199" s="1560"/>
      <c r="D1199" s="1560"/>
      <c r="E1199" s="1560"/>
      <c r="F1199" s="1560"/>
      <c r="G1199" s="1560"/>
    </row>
    <row r="1200" spans="1:7" ht="12.6">
      <c r="A1200" s="140"/>
      <c r="B1200" s="140"/>
      <c r="C1200" s="14"/>
      <c r="D1200" s="282"/>
      <c r="E1200" s="282"/>
      <c r="F1200" s="282"/>
    </row>
    <row r="1201" spans="1:7" ht="13.1">
      <c r="A1201" s="150"/>
      <c r="B1201" s="150"/>
      <c r="D1201" s="1614" t="s">
        <v>1648</v>
      </c>
      <c r="E1201" s="1614"/>
      <c r="F1201" s="1614"/>
    </row>
    <row r="1202" spans="1:7" ht="12.6">
      <c r="A1202" s="150"/>
      <c r="B1202" s="150"/>
      <c r="D1202" s="1615" t="s">
        <v>2117</v>
      </c>
      <c r="E1202" s="1615"/>
      <c r="F1202" s="1615"/>
    </row>
    <row r="1203" spans="1:7" ht="13.1">
      <c r="A1203" s="430"/>
      <c r="B1203" s="430"/>
      <c r="C1203" s="406"/>
    </row>
    <row r="1204" spans="1:7" ht="13.1">
      <c r="A1204" s="413"/>
      <c r="B1204" s="413"/>
      <c r="C1204" s="299"/>
      <c r="D1204" s="1614" t="s">
        <v>1649</v>
      </c>
      <c r="E1204" s="1614"/>
      <c r="F1204" s="1614"/>
    </row>
    <row r="1205" spans="1:7" ht="12.6">
      <c r="A1205" s="140"/>
      <c r="B1205" s="924" t="s">
        <v>1498</v>
      </c>
      <c r="C1205" s="14"/>
      <c r="D1205" s="1617" t="s">
        <v>1650</v>
      </c>
      <c r="E1205" s="1617"/>
      <c r="F1205" s="1617"/>
    </row>
    <row r="1206" spans="1:7" ht="12.6">
      <c r="A1206" s="140"/>
      <c r="B1206" s="140"/>
      <c r="C1206" s="14"/>
      <c r="D1206" s="1615" t="s">
        <v>2118</v>
      </c>
      <c r="E1206" s="1615"/>
      <c r="F1206" s="1615"/>
    </row>
    <row r="1207" spans="1:7" ht="12.6">
      <c r="A1207" s="150"/>
      <c r="B1207" s="150"/>
      <c r="G1207" s="2"/>
    </row>
    <row r="1208" spans="1:7" ht="12.75" customHeight="1">
      <c r="A1208" s="150"/>
      <c r="B1208" s="1262" t="s">
        <v>135</v>
      </c>
      <c r="D1208" s="1572" t="s">
        <v>2009</v>
      </c>
      <c r="E1208" s="1572"/>
      <c r="F1208" s="1572"/>
      <c r="G1208" s="2"/>
    </row>
    <row r="1209" spans="1:7" ht="12.6">
      <c r="A1209" s="150"/>
      <c r="B1209" s="150"/>
      <c r="D1209" s="1572"/>
      <c r="E1209" s="1572"/>
      <c r="F1209" s="1572"/>
      <c r="G1209" s="2"/>
    </row>
    <row r="1210" spans="1:7" ht="12.6">
      <c r="A1210" s="150"/>
      <c r="B1210" s="150"/>
      <c r="G1210" s="2"/>
    </row>
    <row r="1211" spans="1:7" ht="12.75" customHeight="1">
      <c r="A1211" s="150"/>
      <c r="B1211" s="150"/>
    </row>
    <row r="1212" spans="1:7" ht="13.1">
      <c r="A1212" s="1600" t="s">
        <v>1529</v>
      </c>
      <c r="B1212" s="1600"/>
      <c r="C1212" s="1600"/>
      <c r="D1212" s="1600"/>
      <c r="E1212" s="1600"/>
      <c r="F1212" s="1600"/>
      <c r="G1212" s="1600"/>
    </row>
    <row r="1213" spans="1:7" ht="12.6">
      <c r="A1213" s="76"/>
      <c r="B1213" s="76"/>
      <c r="C1213" s="285"/>
      <c r="D1213" s="288"/>
      <c r="E1213" s="288"/>
      <c r="F1213" s="288"/>
      <c r="G1213" s="288"/>
    </row>
    <row r="1214" spans="1:7" ht="12.75" customHeight="1">
      <c r="A1214" s="76"/>
      <c r="B1214" s="76"/>
      <c r="C1214" s="285"/>
      <c r="D1214" s="1612" t="s">
        <v>1528</v>
      </c>
      <c r="E1214" s="1612"/>
      <c r="F1214" s="1612"/>
      <c r="G1214" s="288"/>
    </row>
    <row r="1215" spans="1:7" ht="12.75" customHeight="1">
      <c r="A1215" s="76"/>
      <c r="B1215" s="76"/>
      <c r="C1215" s="285"/>
      <c r="D1215" s="1613" t="s">
        <v>1537</v>
      </c>
      <c r="E1215" s="1613"/>
      <c r="F1215" s="1613"/>
      <c r="G1215" s="288"/>
    </row>
    <row r="1216" spans="1:7" ht="12.75" customHeight="1">
      <c r="A1216" s="76"/>
      <c r="B1216" s="76"/>
      <c r="C1216" s="285"/>
      <c r="D1216" s="288"/>
      <c r="E1216" s="288"/>
      <c r="F1216" s="288"/>
      <c r="G1216" s="288"/>
    </row>
    <row r="1217" spans="1:7" ht="13.1">
      <c r="A1217" s="413"/>
      <c r="B1217" s="924" t="s">
        <v>135</v>
      </c>
      <c r="C1217" s="14"/>
      <c r="D1217" s="1559" t="s">
        <v>1097</v>
      </c>
      <c r="E1217" s="1559"/>
      <c r="F1217" s="1559"/>
    </row>
    <row r="1218" spans="1:7" ht="12.6">
      <c r="A1218" s="140"/>
      <c r="B1218" s="140"/>
      <c r="C1218" s="14"/>
      <c r="D1218" s="1554" t="s">
        <v>1225</v>
      </c>
      <c r="E1218" s="1554"/>
      <c r="F1218" s="1554"/>
    </row>
    <row r="1219" spans="1:7" ht="13.1">
      <c r="A1219" s="140"/>
      <c r="B1219" s="140"/>
      <c r="C1219" s="14"/>
      <c r="D1219" s="282"/>
      <c r="E1219" s="1580" t="s">
        <v>2330</v>
      </c>
      <c r="F1219" s="1580"/>
    </row>
    <row r="1220" spans="1:7" ht="13.1">
      <c r="A1220" s="140"/>
      <c r="B1220" s="140"/>
      <c r="C1220" s="14"/>
      <c r="D1220" s="6"/>
      <c r="E1220" s="282"/>
      <c r="F1220" s="282"/>
    </row>
    <row r="1221" spans="1:7" ht="12.6">
      <c r="A1221" s="140"/>
      <c r="B1221" s="140"/>
      <c r="C1221" s="14"/>
      <c r="D1221" s="1611" t="s">
        <v>1375</v>
      </c>
      <c r="E1221" s="1611"/>
      <c r="F1221" s="1611"/>
    </row>
    <row r="1222" spans="1:7" ht="12.6">
      <c r="A1222" s="140"/>
      <c r="B1222" s="924" t="s">
        <v>135</v>
      </c>
      <c r="C1222" s="140"/>
      <c r="D1222" s="1586" t="s">
        <v>2331</v>
      </c>
      <c r="E1222" s="1552"/>
      <c r="F1222" s="1552"/>
      <c r="G1222" s="2"/>
    </row>
    <row r="1223" spans="1:7" ht="12.6">
      <c r="A1223" s="140"/>
      <c r="B1223" s="140"/>
      <c r="C1223" s="14"/>
      <c r="D1223" s="1552"/>
      <c r="E1223" s="1552"/>
      <c r="F1223" s="1552"/>
      <c r="G1223" s="2"/>
    </row>
    <row r="1224" spans="1:7" ht="12.6">
      <c r="A1224" s="140"/>
      <c r="B1224" s="140"/>
      <c r="C1224" s="14"/>
      <c r="D1224" s="784" t="s">
        <v>1378</v>
      </c>
      <c r="E1224" s="2"/>
      <c r="F1224" s="2"/>
      <c r="G1224" s="2"/>
    </row>
    <row r="1225" spans="1:7" ht="13.75" customHeight="1">
      <c r="A1225" s="140"/>
      <c r="B1225" s="140"/>
      <c r="C1225" s="14"/>
      <c r="D1225" s="1586" t="s">
        <v>2332</v>
      </c>
      <c r="E1225" s="1552"/>
      <c r="F1225" s="1552"/>
      <c r="G1225" s="2"/>
    </row>
    <row r="1226" spans="1:7" ht="12.6">
      <c r="A1226" s="140"/>
      <c r="B1226" s="140"/>
      <c r="C1226" s="14"/>
      <c r="D1226" s="1552"/>
      <c r="E1226" s="1552"/>
      <c r="F1226" s="1552"/>
      <c r="G1226" s="2"/>
    </row>
    <row r="1227" spans="1:7" ht="12.6">
      <c r="A1227" s="140"/>
      <c r="B1227" s="140"/>
      <c r="C1227" s="14"/>
      <c r="D1227" s="1552"/>
      <c r="E1227" s="1552"/>
      <c r="F1227" s="1552"/>
      <c r="G1227" s="2"/>
    </row>
    <row r="1228" spans="1:7" ht="12.6">
      <c r="A1228" s="140"/>
      <c r="B1228" s="140"/>
      <c r="C1228" s="14"/>
      <c r="D1228" s="1552"/>
      <c r="E1228" s="1552"/>
      <c r="F1228" s="1552"/>
      <c r="G1228" s="2"/>
    </row>
    <row r="1229" spans="1:7" ht="13.1">
      <c r="A1229" s="140"/>
      <c r="B1229" s="140"/>
      <c r="C1229" s="14"/>
      <c r="D1229" s="1580" t="s">
        <v>1100</v>
      </c>
      <c r="E1229" s="1580"/>
      <c r="F1229" s="1580"/>
      <c r="G1229" s="2"/>
    </row>
    <row r="1230" spans="1:7" ht="12.6">
      <c r="A1230" s="140"/>
      <c r="B1230" s="924" t="s">
        <v>135</v>
      </c>
      <c r="C1230" s="140"/>
      <c r="D1230" s="1559" t="s">
        <v>1376</v>
      </c>
      <c r="E1230" s="1559"/>
      <c r="F1230" s="1559"/>
      <c r="G1230" s="2"/>
    </row>
    <row r="1231" spans="1:7" ht="12.6">
      <c r="A1231" s="140"/>
      <c r="B1231" s="140"/>
      <c r="C1231" s="14"/>
      <c r="D1231" s="282"/>
      <c r="E1231" s="2"/>
      <c r="F1231" s="2"/>
      <c r="G1231" s="2"/>
    </row>
    <row r="1232" spans="1:7" ht="13.1">
      <c r="A1232" s="140"/>
      <c r="B1232" s="140"/>
      <c r="C1232" s="14"/>
      <c r="D1232" s="1571" t="s">
        <v>1377</v>
      </c>
      <c r="E1232" s="1571"/>
      <c r="F1232" s="1571"/>
      <c r="G1232" s="2"/>
    </row>
    <row r="1233" spans="1:7" ht="13.1">
      <c r="A1233" s="140"/>
      <c r="B1233" s="140"/>
      <c r="C1233" s="14"/>
      <c r="D1233" s="6" t="s">
        <v>1098</v>
      </c>
      <c r="E1233" s="2"/>
      <c r="F1233" s="2"/>
      <c r="G1233" s="2"/>
    </row>
    <row r="1234" spans="1:7" ht="14.5" customHeight="1">
      <c r="A1234" s="413"/>
      <c r="B1234" s="924" t="s">
        <v>135</v>
      </c>
      <c r="C1234" s="140"/>
      <c r="D1234" s="1552" t="s">
        <v>1651</v>
      </c>
      <c r="E1234" s="1552"/>
      <c r="F1234" s="1552"/>
      <c r="G1234" s="2"/>
    </row>
    <row r="1235" spans="1:7" ht="13.1">
      <c r="A1235" s="413"/>
      <c r="B1235" s="413"/>
      <c r="C1235" s="140"/>
      <c r="D1235" s="1552"/>
      <c r="E1235" s="1552"/>
      <c r="F1235" s="1552"/>
      <c r="G1235" s="2"/>
    </row>
    <row r="1236" spans="1:7" ht="13.1">
      <c r="A1236" s="413"/>
      <c r="B1236" s="413"/>
      <c r="C1236" s="140"/>
      <c r="D1236" s="1552"/>
      <c r="E1236" s="1552"/>
      <c r="F1236" s="1552"/>
      <c r="G1236" s="2"/>
    </row>
    <row r="1237" spans="1:7" ht="13.1">
      <c r="A1237" s="413"/>
      <c r="B1237" s="413"/>
      <c r="C1237" s="14"/>
      <c r="D1237" s="282"/>
      <c r="E1237" s="2"/>
      <c r="F1237" s="2"/>
      <c r="G1237" s="2"/>
    </row>
    <row r="1238" spans="1:7" ht="13.1">
      <c r="A1238" s="413"/>
      <c r="B1238" s="413"/>
      <c r="C1238" s="14"/>
      <c r="D1238" s="643" t="s">
        <v>1223</v>
      </c>
      <c r="E1238" s="643"/>
      <c r="F1238" s="643"/>
    </row>
    <row r="1239" spans="1:7" ht="13.1">
      <c r="A1239" s="413"/>
      <c r="B1239" s="924" t="s">
        <v>135</v>
      </c>
      <c r="C1239" s="14"/>
      <c r="D1239" s="1552" t="s">
        <v>1652</v>
      </c>
      <c r="E1239" s="1552"/>
      <c r="F1239" s="1552"/>
    </row>
    <row r="1240" spans="1:7" ht="13.1">
      <c r="A1240" s="413"/>
      <c r="B1240" s="413"/>
      <c r="C1240" s="14"/>
      <c r="D1240" s="1552"/>
      <c r="E1240" s="1552"/>
      <c r="F1240" s="1552"/>
    </row>
    <row r="1241" spans="1:7" ht="13.1">
      <c r="A1241" s="413"/>
      <c r="B1241" s="413"/>
      <c r="C1241" s="14"/>
      <c r="D1241" s="1552"/>
      <c r="E1241" s="1552"/>
      <c r="F1241" s="1552"/>
    </row>
    <row r="1242" spans="1:7" ht="13.1">
      <c r="A1242" s="413"/>
      <c r="B1242" s="413"/>
      <c r="C1242" s="14"/>
      <c r="D1242" s="1552"/>
      <c r="E1242" s="1552"/>
      <c r="F1242" s="1552"/>
    </row>
    <row r="1243" spans="1:7" ht="13.1">
      <c r="A1243" s="413"/>
      <c r="B1243" s="413"/>
      <c r="C1243" s="14"/>
      <c r="D1243" s="1552"/>
      <c r="E1243" s="1552"/>
      <c r="F1243" s="1552"/>
    </row>
    <row r="1244" spans="1:7" ht="12.75" customHeight="1">
      <c r="A1244" s="76"/>
      <c r="B1244" s="76"/>
      <c r="C1244" s="285"/>
      <c r="D1244" s="288"/>
      <c r="E1244" s="288"/>
      <c r="F1244" s="288"/>
      <c r="G1244" s="288"/>
    </row>
    <row r="1245" spans="1:7" ht="13.1">
      <c r="A1245" s="1600" t="s">
        <v>1566</v>
      </c>
      <c r="B1245" s="1600"/>
      <c r="C1245" s="1600"/>
      <c r="D1245" s="1600"/>
      <c r="E1245" s="1600"/>
      <c r="F1245" s="1600"/>
      <c r="G1245" s="1600"/>
    </row>
    <row r="1246" spans="1:7" ht="12.6">
      <c r="A1246" s="76"/>
      <c r="B1246" s="76"/>
      <c r="C1246" s="285"/>
      <c r="D1246" s="288"/>
      <c r="E1246" s="288"/>
      <c r="F1246" s="288"/>
      <c r="G1246" s="288"/>
    </row>
    <row r="1247" spans="1:7" ht="13.1">
      <c r="A1247" s="76"/>
      <c r="B1247" s="76"/>
      <c r="C1247" s="285"/>
      <c r="D1247" s="1596" t="s">
        <v>1567</v>
      </c>
      <c r="E1247" s="1596"/>
      <c r="F1247" s="1596"/>
      <c r="G1247" s="288"/>
    </row>
    <row r="1248" spans="1:7" ht="12.6">
      <c r="A1248" s="419"/>
      <c r="B1248" s="419"/>
      <c r="C1248" s="407"/>
      <c r="D1248" s="1597" t="s">
        <v>1583</v>
      </c>
      <c r="E1248" s="1597"/>
      <c r="F1248" s="1597"/>
      <c r="G1248" s="408"/>
    </row>
    <row r="1249" spans="1:7" ht="10.45" customHeight="1">
      <c r="A1249" s="150"/>
      <c r="B1249" s="150"/>
    </row>
    <row r="1250" spans="1:7" ht="13.1">
      <c r="A1250" s="413"/>
      <c r="B1250" s="924" t="s">
        <v>135</v>
      </c>
      <c r="D1250" s="1559" t="s">
        <v>1226</v>
      </c>
      <c r="E1250" s="1559"/>
      <c r="F1250" s="1559"/>
    </row>
    <row r="1251" spans="1:7" ht="13.1">
      <c r="A1251" s="150"/>
      <c r="B1251" s="150"/>
      <c r="D1251" s="282"/>
      <c r="E1251" s="1580" t="s">
        <v>2333</v>
      </c>
      <c r="F1251" s="1580"/>
    </row>
    <row r="1252" spans="1:7" ht="13.1">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zoomScale="120" zoomScaleNormal="120" zoomScaleSheetLayoutView="100" workbookViewId="0">
      <selection activeCell="H15" sqref="H15:AJ15"/>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6" width="11.453125" style="16" hidden="1" customWidth="1"/>
    <col min="67" max="67" width="3.7265625" style="16" hidden="1" customWidth="1"/>
    <col min="68" max="74" width="10.453125" style="16" hidden="1" customWidth="1"/>
    <col min="75"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45" ht="12.6">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6">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6">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6">
      <c r="A4" s="35"/>
      <c r="B4" s="35"/>
      <c r="C4" s="35"/>
      <c r="D4" s="35"/>
      <c r="E4" s="35"/>
      <c r="F4" s="35"/>
      <c r="G4" s="35"/>
      <c r="H4" s="35"/>
      <c r="I4" s="35"/>
      <c r="J4" s="35"/>
      <c r="K4" s="35"/>
      <c r="L4" s="35"/>
      <c r="M4" s="35"/>
      <c r="N4" s="35"/>
      <c r="O4" s="35"/>
      <c r="P4" s="35"/>
      <c r="Q4" s="35"/>
      <c r="R4" s="35"/>
      <c r="S4" s="35"/>
      <c r="T4" s="35"/>
      <c r="U4" s="35"/>
      <c r="V4" s="35"/>
      <c r="W4" s="35"/>
      <c r="X4" s="35"/>
    </row>
    <row r="5" spans="1:45" ht="12.6">
      <c r="A5" s="35"/>
      <c r="B5" s="35"/>
      <c r="C5" s="35"/>
      <c r="D5" s="35"/>
      <c r="E5" s="35"/>
      <c r="F5" s="35"/>
      <c r="G5" s="3"/>
      <c r="H5" s="35"/>
      <c r="I5" s="35"/>
      <c r="J5" s="35"/>
      <c r="K5" s="35"/>
      <c r="L5" s="35"/>
      <c r="M5" s="35"/>
      <c r="N5" s="35"/>
      <c r="O5" s="35"/>
      <c r="P5" s="35"/>
      <c r="Q5" s="35"/>
      <c r="R5" s="35"/>
      <c r="S5" s="35"/>
      <c r="T5" s="35"/>
      <c r="U5" s="35"/>
      <c r="V5" s="35"/>
      <c r="W5" s="35"/>
      <c r="X5" s="35"/>
    </row>
    <row r="6" spans="1:45" ht="12.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6" t="s">
        <v>860</v>
      </c>
      <c r="B9" s="1986"/>
      <c r="C9" s="1986"/>
      <c r="D9" s="1986"/>
      <c r="E9" s="1986"/>
      <c r="F9" s="1986"/>
      <c r="G9" s="1986"/>
      <c r="H9" s="1986"/>
      <c r="I9" s="1986"/>
      <c r="J9" s="1986"/>
      <c r="K9" s="1986"/>
      <c r="L9" s="1986"/>
      <c r="M9" s="1986"/>
      <c r="N9" s="1986"/>
      <c r="O9" s="1986"/>
      <c r="P9" s="1986"/>
      <c r="Q9" s="1986"/>
      <c r="R9" s="1986"/>
      <c r="S9" s="1986"/>
      <c r="T9" s="1986"/>
      <c r="U9" s="1986"/>
      <c r="V9" s="1986"/>
      <c r="W9" s="1986"/>
      <c r="X9" s="1986"/>
      <c r="Y9" s="1986"/>
      <c r="Z9" s="1986"/>
      <c r="AA9" s="1986"/>
      <c r="AB9" s="1986"/>
      <c r="AC9" s="1986"/>
      <c r="AD9" s="1986"/>
      <c r="AE9" s="1986"/>
      <c r="AF9" s="1986"/>
      <c r="AG9" s="1986"/>
      <c r="AH9" s="1986"/>
      <c r="AI9" s="1986"/>
      <c r="AJ9" s="1986"/>
      <c r="AK9" s="1986"/>
      <c r="AL9" s="1986"/>
    </row>
    <row r="10" spans="1:45" ht="15" customHeight="1">
      <c r="A10" s="1988" t="s">
        <v>2285</v>
      </c>
      <c r="B10" s="1988"/>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988"/>
      <c r="AD10" s="1988"/>
      <c r="AE10" s="1988"/>
      <c r="AF10" s="1988"/>
      <c r="AG10" s="1988"/>
      <c r="AH10" s="1988"/>
      <c r="AI10" s="1988"/>
      <c r="AJ10" s="1988"/>
      <c r="AK10" s="1988"/>
      <c r="AL10" s="1988"/>
    </row>
    <row r="11" spans="1:45" s="622" customFormat="1" ht="12.6">
      <c r="A11" s="1989" t="s">
        <v>2335</v>
      </c>
      <c r="B11" s="1990"/>
      <c r="C11" s="1990"/>
      <c r="D11" s="1990"/>
      <c r="E11" s="1990"/>
      <c r="F11" s="1990"/>
      <c r="G11" s="1990"/>
      <c r="H11" s="1990"/>
      <c r="I11" s="1990"/>
      <c r="J11" s="1990"/>
      <c r="K11" s="1990"/>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c r="AH11" s="1990"/>
      <c r="AI11" s="1990"/>
      <c r="AJ11" s="1990"/>
      <c r="AK11" s="1990"/>
      <c r="AL11" s="1990"/>
    </row>
    <row r="12" spans="1:45" ht="12.6">
      <c r="A12" s="1517" t="s">
        <v>2068</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8" t="s">
        <v>2336</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861</v>
      </c>
      <c r="C17" s="8"/>
      <c r="D17" s="8"/>
      <c r="E17" s="8"/>
      <c r="F17" s="8"/>
      <c r="G17" s="8"/>
      <c r="H17" s="1678" t="s">
        <v>2337</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8" t="s">
        <v>1189</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2" t="s">
        <v>1461</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4">
        <f>ROUND('Basis &amp; Credits'!AB55,0)</f>
        <v>1742754</v>
      </c>
      <c r="N25" s="1974"/>
      <c r="O25" s="1974"/>
      <c r="P25" s="1974"/>
      <c r="Q25" s="1974"/>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4">
        <f>'Basis &amp; Credits'!AB76</f>
        <v>0</v>
      </c>
      <c r="N27" s="1974"/>
      <c r="O27" s="1974"/>
      <c r="P27" s="1974"/>
      <c r="Q27" s="1974"/>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8" t="s">
        <v>135</v>
      </c>
      <c r="P33" s="1658"/>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6">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6">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6">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6">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6">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6">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6">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6">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6">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6">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6">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6">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6">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6">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6">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6">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6">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6">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6">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6">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6"/>
    <row r="87" spans="1:39" ht="12.6">
      <c r="A87" s="222" t="s">
        <v>327</v>
      </c>
      <c r="AM87" s="41"/>
    </row>
    <row r="88" spans="1:39" ht="12.75" customHeight="1">
      <c r="A88" s="222" t="s">
        <v>328</v>
      </c>
      <c r="AM88" s="41"/>
    </row>
    <row r="89" spans="1:39" ht="12.6">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6">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6">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6">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6">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6">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6">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6">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6">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6">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6">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6">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6">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6">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6">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6">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6">
      <c r="A116" s="427" t="s">
        <v>1465</v>
      </c>
    </row>
    <row r="117" spans="1:39" ht="12.6">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6">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6">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6">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6">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6">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6"/>
    <row r="124" spans="1:39" ht="12.6">
      <c r="A124" s="222" t="s">
        <v>979</v>
      </c>
    </row>
    <row r="125" spans="1:39" ht="12.6">
      <c r="A125" s="222" t="s">
        <v>1122</v>
      </c>
      <c r="V125" s="72"/>
      <c r="W125" s="72"/>
      <c r="AL125" s="72"/>
    </row>
    <row r="126" spans="1:39" ht="12.6">
      <c r="A126" s="72"/>
      <c r="B126" s="72"/>
      <c r="AL126" s="72"/>
    </row>
    <row r="127" spans="1:39" ht="12.6">
      <c r="A127" s="72"/>
      <c r="B127" s="72"/>
      <c r="AL127" s="72"/>
    </row>
    <row r="128" spans="1:39" ht="12.6">
      <c r="A128" s="72"/>
      <c r="B128" s="72"/>
      <c r="C128" s="72" t="s">
        <v>457</v>
      </c>
      <c r="E128" s="72"/>
      <c r="F128" s="72"/>
      <c r="G128" s="1849"/>
      <c r="H128" s="1849"/>
      <c r="I128" s="72" t="s">
        <v>458</v>
      </c>
      <c r="J128" s="72"/>
      <c r="L128" s="1840"/>
      <c r="M128" s="1840"/>
      <c r="N128" s="1840"/>
      <c r="O128" s="72" t="s">
        <v>2295</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6">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6">
      <c r="A130" s="72"/>
      <c r="B130" s="72"/>
      <c r="C130" s="1991" t="s">
        <v>2338</v>
      </c>
      <c r="D130" s="1840"/>
      <c r="E130" s="1840"/>
      <c r="F130" s="1840"/>
      <c r="G130" s="1840"/>
      <c r="H130" s="1840"/>
      <c r="I130" s="1840"/>
      <c r="J130" s="1840"/>
      <c r="K130" s="1840"/>
      <c r="L130" s="477" t="s">
        <v>2339</v>
      </c>
      <c r="M130" s="72"/>
      <c r="O130" s="72"/>
      <c r="P130" s="72"/>
      <c r="Q130" s="72"/>
      <c r="R130" s="72"/>
      <c r="S130" s="72"/>
      <c r="T130" s="72"/>
      <c r="U130" s="72"/>
      <c r="V130" s="72"/>
      <c r="W130" s="72"/>
      <c r="X130" s="72"/>
      <c r="AL130" s="72"/>
    </row>
    <row r="131" spans="1:56" ht="12.6">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8" t="s">
        <v>2340</v>
      </c>
      <c r="Z131" s="1659"/>
      <c r="AA131" s="1659"/>
      <c r="AB131" s="1659"/>
      <c r="AC131" s="1659"/>
      <c r="AD131" s="1659"/>
      <c r="AE131" s="1659"/>
      <c r="AF131" s="1659"/>
      <c r="AG131" s="1659"/>
      <c r="AH131" s="1659"/>
      <c r="AI131" s="1659"/>
      <c r="AJ131" s="1659"/>
      <c r="AK131" s="1659"/>
      <c r="AL131" s="72"/>
    </row>
    <row r="132" spans="1:56" ht="12.6">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6">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6">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8" t="s">
        <v>2341</v>
      </c>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6">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6">
      <c r="A136" s="753"/>
      <c r="B136" s="8"/>
      <c r="AL136" s="754"/>
    </row>
    <row r="137" spans="1:56" ht="12.6">
      <c r="A137" s="72"/>
      <c r="B137" s="8"/>
      <c r="AL137" s="72"/>
    </row>
    <row r="138" spans="1:56" ht="12.6">
      <c r="A138" s="72"/>
      <c r="AL138" s="72"/>
    </row>
    <row r="139" spans="1:56" ht="12.6">
      <c r="A139" s="72"/>
      <c r="AL139" s="72"/>
    </row>
    <row r="140" spans="1:56" ht="12.6">
      <c r="A140" s="72"/>
      <c r="AL140" s="72"/>
    </row>
    <row r="141" spans="1:56" ht="12.6">
      <c r="A141" s="72"/>
      <c r="AL141" s="72"/>
    </row>
    <row r="142" spans="1:56" ht="12.6">
      <c r="A142" s="72"/>
      <c r="AL142" s="72"/>
    </row>
    <row r="143" spans="1:56" ht="12.6">
      <c r="A143" s="72"/>
      <c r="AL143" s="72"/>
    </row>
    <row r="144" spans="1:56" ht="12.6">
      <c r="A144" s="72"/>
      <c r="AL144" s="72"/>
    </row>
    <row r="145" spans="1:72" ht="12.6">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6">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6">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6">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6">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78" t="s">
        <v>2342</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86</v>
      </c>
    </row>
    <row r="157" spans="1:72" ht="12.75" customHeight="1">
      <c r="D157" s="711" t="s">
        <v>598</v>
      </c>
      <c r="F157" s="42"/>
      <c r="G157" s="42"/>
      <c r="H157" s="42"/>
      <c r="I157" s="42"/>
      <c r="J157" s="42"/>
      <c r="K157" s="42"/>
      <c r="L157" s="42"/>
      <c r="M157" s="42"/>
      <c r="N157" s="42"/>
      <c r="O157" s="1662" t="s">
        <v>2343</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770</v>
      </c>
      <c r="BN157" s="47" t="s">
        <v>467</v>
      </c>
      <c r="BT157" s="16" t="s">
        <v>32</v>
      </c>
    </row>
    <row r="158" spans="1:72" ht="12.75" customHeight="1">
      <c r="D158" s="17" t="s">
        <v>599</v>
      </c>
      <c r="F158" s="17"/>
      <c r="G158" s="17"/>
      <c r="H158" s="17"/>
      <c r="I158" s="17"/>
      <c r="J158" s="17"/>
      <c r="K158" s="17"/>
      <c r="L158" s="17"/>
      <c r="M158" s="17"/>
      <c r="N158" s="17"/>
      <c r="O158" s="1838" t="s">
        <v>600</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468</v>
      </c>
      <c r="BT158" s="16" t="s">
        <v>33</v>
      </c>
    </row>
    <row r="159" spans="1:72" ht="12.75" customHeight="1">
      <c r="D159" s="42" t="s">
        <v>708</v>
      </c>
      <c r="F159" s="42"/>
      <c r="G159" s="42"/>
      <c r="H159" s="42"/>
      <c r="I159" s="42"/>
      <c r="J159" s="42"/>
      <c r="K159" s="42"/>
      <c r="L159" s="42"/>
      <c r="M159" s="42"/>
      <c r="N159" s="42"/>
      <c r="O159" s="1661" t="s">
        <v>2344</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80</v>
      </c>
      <c r="BT159" s="16" t="s">
        <v>429</v>
      </c>
    </row>
    <row r="160" spans="1:72" ht="12.75" customHeight="1">
      <c r="D160" s="42" t="s">
        <v>709</v>
      </c>
      <c r="F160" s="42"/>
      <c r="G160" s="42"/>
      <c r="H160" s="42"/>
      <c r="I160" s="42"/>
      <c r="J160" s="42"/>
      <c r="K160" s="42"/>
      <c r="L160" s="42"/>
      <c r="M160" s="42"/>
      <c r="N160" s="42"/>
      <c r="O160" s="1678" t="s">
        <v>2345</v>
      </c>
      <c r="P160" s="1659"/>
      <c r="Q160" s="1659"/>
      <c r="R160" s="1659"/>
      <c r="S160" s="1659"/>
      <c r="T160" s="1659"/>
      <c r="U160" s="1659"/>
      <c r="V160" s="1659"/>
      <c r="W160" s="1659"/>
      <c r="X160" s="1659"/>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43">
        <v>95948</v>
      </c>
      <c r="P161" s="1843"/>
      <c r="Q161" s="1843"/>
      <c r="R161" s="1843"/>
      <c r="S161" s="19"/>
      <c r="T161" s="19"/>
      <c r="U161" s="19"/>
      <c r="V161" s="19"/>
      <c r="W161" s="19"/>
      <c r="X161" s="19"/>
      <c r="Y161" s="19"/>
      <c r="Z161" s="19"/>
      <c r="AA161" s="19"/>
      <c r="AB161" s="19"/>
      <c r="AC161" s="19"/>
      <c r="AD161" s="19"/>
      <c r="AE161" s="19"/>
      <c r="AF161" s="19"/>
      <c r="BJ161" s="16" t="s">
        <v>527</v>
      </c>
      <c r="BN161" s="47" t="s">
        <v>83</v>
      </c>
      <c r="BT161" s="16" t="s">
        <v>431</v>
      </c>
    </row>
    <row r="162" spans="1:72" ht="12.75" customHeight="1">
      <c r="D162" s="42" t="s">
        <v>711</v>
      </c>
      <c r="F162" s="42"/>
      <c r="G162" s="42"/>
      <c r="H162" s="42"/>
      <c r="I162" s="42"/>
      <c r="J162" s="42"/>
      <c r="K162" s="42"/>
      <c r="L162" s="42"/>
      <c r="M162" s="42"/>
      <c r="N162" s="42"/>
      <c r="O162" s="1832" t="s">
        <v>2346</v>
      </c>
      <c r="P162" s="1832"/>
      <c r="Q162" s="1832"/>
      <c r="R162" s="1832"/>
      <c r="S162" s="1832"/>
      <c r="T162" s="1832"/>
      <c r="V162" s="271" t="s">
        <v>12</v>
      </c>
      <c r="W162" s="1844"/>
      <c r="X162" s="1844"/>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32" t="s">
        <v>2347</v>
      </c>
      <c r="P163" s="1832"/>
      <c r="Q163" s="1832"/>
      <c r="R163" s="1832"/>
      <c r="S163" s="1832"/>
      <c r="T163" s="1832"/>
      <c r="U163" s="20"/>
      <c r="V163" s="20"/>
      <c r="W163" s="20"/>
      <c r="X163" s="20"/>
      <c r="Y163" s="20"/>
      <c r="Z163" s="20"/>
      <c r="AA163" s="20"/>
      <c r="AB163" s="20"/>
      <c r="AC163" s="20"/>
      <c r="AD163" s="20"/>
      <c r="AE163" s="20"/>
      <c r="AF163" s="20"/>
      <c r="BN163" s="47" t="s">
        <v>521</v>
      </c>
      <c r="BT163" s="16" t="s">
        <v>433</v>
      </c>
    </row>
    <row r="164" spans="1:72" ht="12.75" customHeight="1">
      <c r="D164" s="42" t="s">
        <v>713</v>
      </c>
      <c r="F164" s="42"/>
      <c r="G164" s="42"/>
      <c r="H164" s="42"/>
      <c r="I164" s="42"/>
      <c r="J164" s="42"/>
      <c r="K164" s="42"/>
      <c r="L164" s="42"/>
      <c r="M164" s="42"/>
      <c r="N164" s="42"/>
      <c r="O164" s="1668" t="s">
        <v>2348</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522</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436</v>
      </c>
    </row>
    <row r="167" spans="1:72" ht="12.75" customHeight="1">
      <c r="C167" s="240"/>
      <c r="D167" s="1842" t="s">
        <v>2126</v>
      </c>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398"/>
      <c r="AA167" s="394"/>
      <c r="AB167" s="394"/>
      <c r="AC167" s="394"/>
      <c r="AD167" s="394"/>
      <c r="AE167" s="394"/>
      <c r="AF167" s="394"/>
      <c r="AG167" s="394"/>
      <c r="AH167" s="394"/>
      <c r="AI167" s="50"/>
      <c r="AJ167" s="50"/>
      <c r="AK167" s="50"/>
      <c r="AL167" s="50"/>
      <c r="BN167" s="47" t="s">
        <v>528</v>
      </c>
      <c r="BT167" s="16" t="s">
        <v>437</v>
      </c>
    </row>
    <row r="168" spans="1:72" ht="12.75" customHeight="1">
      <c r="BN168" s="47" t="s">
        <v>529</v>
      </c>
      <c r="BT168" s="16" t="s">
        <v>438</v>
      </c>
    </row>
    <row r="169" spans="1:72" ht="13.1">
      <c r="A169" s="1664" t="s">
        <v>420</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531</v>
      </c>
      <c r="BT169" s="16" t="s">
        <v>439</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532</v>
      </c>
      <c r="BT170" s="16" t="s">
        <v>440</v>
      </c>
    </row>
    <row r="171" spans="1:72" ht="13.6" thickTop="1">
      <c r="A171" s="35"/>
      <c r="B171" s="35"/>
      <c r="C171" s="35"/>
      <c r="D171" s="35"/>
      <c r="E171" s="35"/>
      <c r="F171" s="35"/>
      <c r="G171" s="3"/>
      <c r="H171" s="35"/>
      <c r="AK171" s="3"/>
      <c r="AL171" s="3"/>
      <c r="AM171" s="35"/>
      <c r="BN171" s="47" t="s">
        <v>533</v>
      </c>
      <c r="BT171" s="16" t="s">
        <v>441</v>
      </c>
    </row>
    <row r="172" spans="1:72" ht="13.1">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442</v>
      </c>
    </row>
    <row r="173" spans="1:72" ht="13.1">
      <c r="A173" s="35"/>
      <c r="C173" s="49"/>
      <c r="D173" s="50" t="s">
        <v>482</v>
      </c>
      <c r="J173" s="1839" t="s">
        <v>559</v>
      </c>
      <c r="K173" s="1839"/>
      <c r="L173" s="1839"/>
      <c r="M173" s="1839"/>
      <c r="N173" s="1839"/>
      <c r="O173" s="1839"/>
      <c r="P173" s="1839"/>
      <c r="Q173" s="1839"/>
      <c r="R173" s="1839"/>
      <c r="S173" s="1839"/>
      <c r="U173" s="51"/>
      <c r="X173" s="51"/>
      <c r="AF173" s="35"/>
      <c r="AH173" s="35"/>
      <c r="AJ173" s="3"/>
      <c r="AK173" s="3"/>
      <c r="AL173" s="3"/>
      <c r="BN173" s="47" t="s">
        <v>536</v>
      </c>
      <c r="BT173" s="16" t="s">
        <v>443</v>
      </c>
    </row>
    <row r="174" spans="1:72" ht="13.1">
      <c r="A174" s="35"/>
      <c r="C174" s="49"/>
      <c r="D174" s="35" t="s">
        <v>483</v>
      </c>
      <c r="E174" s="35"/>
      <c r="F174" s="35"/>
      <c r="G174" s="35"/>
      <c r="H174" s="35"/>
      <c r="I174" s="35"/>
      <c r="J174" s="35"/>
      <c r="K174" s="35"/>
      <c r="L174" s="35"/>
      <c r="M174" s="35"/>
      <c r="N174" s="35"/>
      <c r="O174" s="35"/>
      <c r="P174" s="35"/>
      <c r="Q174" s="35"/>
      <c r="R174" s="35"/>
      <c r="S174" s="35"/>
      <c r="U174" s="1658" t="s">
        <v>527</v>
      </c>
      <c r="V174" s="1658"/>
      <c r="W174" s="3"/>
      <c r="X174" s="3"/>
      <c r="Y174" s="3"/>
      <c r="Z174" s="3"/>
      <c r="AA174" s="3"/>
      <c r="AH174" s="35"/>
      <c r="AJ174" s="3"/>
      <c r="AK174" s="3"/>
      <c r="AL174" s="3"/>
      <c r="BN174" s="47" t="s">
        <v>655</v>
      </c>
      <c r="BT174" s="16" t="s">
        <v>444</v>
      </c>
    </row>
    <row r="175" spans="1:72" ht="13.1">
      <c r="A175" s="35"/>
      <c r="C175" s="17"/>
      <c r="D175" s="52"/>
      <c r="E175" s="16" t="s">
        <v>255</v>
      </c>
      <c r="O175" s="53"/>
      <c r="P175" s="35" t="s">
        <v>256</v>
      </c>
      <c r="Q175" s="35"/>
      <c r="R175" s="35"/>
      <c r="S175" s="35" t="s">
        <v>257</v>
      </c>
      <c r="U175" s="1833"/>
      <c r="V175" s="1833"/>
      <c r="W175" s="4" t="s">
        <v>258</v>
      </c>
      <c r="X175" s="1841"/>
      <c r="Y175" s="1841"/>
      <c r="Z175" s="35"/>
      <c r="AC175" s="35"/>
      <c r="AD175" s="35"/>
      <c r="AE175" s="35"/>
      <c r="AF175" s="35"/>
      <c r="AH175" s="35"/>
      <c r="AJ175" s="3"/>
      <c r="AK175" s="3"/>
      <c r="AL175" s="3"/>
      <c r="BN175" s="47" t="s">
        <v>656</v>
      </c>
      <c r="BT175" s="16" t="s">
        <v>445</v>
      </c>
    </row>
    <row r="176" spans="1:72" ht="13.1">
      <c r="A176" s="35"/>
      <c r="C176" s="54"/>
      <c r="D176" s="35" t="s">
        <v>306</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658</v>
      </c>
      <c r="BT176" s="16" t="s">
        <v>446</v>
      </c>
    </row>
    <row r="177" spans="1:72" ht="13.1">
      <c r="A177" s="35"/>
      <c r="C177" s="54"/>
      <c r="D177" s="578" t="s">
        <v>1332</v>
      </c>
      <c r="AD177" s="35"/>
      <c r="AF177" s="35"/>
      <c r="AH177" s="35"/>
      <c r="AJ177" s="3"/>
      <c r="AK177" s="3"/>
      <c r="AL177" s="3"/>
      <c r="BN177" s="47" t="s">
        <v>659</v>
      </c>
      <c r="BT177" s="16" t="s">
        <v>447</v>
      </c>
    </row>
    <row r="178" spans="1:72" ht="13.1">
      <c r="A178" s="35"/>
      <c r="C178" s="54"/>
      <c r="E178" s="759" t="s">
        <v>256</v>
      </c>
      <c r="F178" s="579"/>
      <c r="G178" s="759"/>
      <c r="H178" s="759" t="s">
        <v>257</v>
      </c>
      <c r="I178" s="579"/>
      <c r="J178" s="1981"/>
      <c r="K178" s="1981"/>
      <c r="L178" s="758" t="s">
        <v>258</v>
      </c>
      <c r="M178" s="1848"/>
      <c r="N178" s="1848"/>
      <c r="O178" s="579"/>
      <c r="P178" s="579"/>
      <c r="Q178" s="579"/>
      <c r="R178" s="579"/>
      <c r="U178" s="720" t="s">
        <v>1333</v>
      </c>
      <c r="V178" s="579"/>
      <c r="W178" s="759"/>
      <c r="X178" s="759"/>
      <c r="Y178" s="759"/>
      <c r="Z178" s="759"/>
      <c r="AA178" s="759"/>
      <c r="AB178" s="759"/>
      <c r="AD178" s="1982"/>
      <c r="AE178" s="1982"/>
      <c r="AF178" s="1982"/>
      <c r="AG178" s="1982"/>
      <c r="AH178" s="1982"/>
      <c r="AJ178" s="3"/>
      <c r="AK178" s="3"/>
      <c r="AL178" s="3"/>
      <c r="BN178" s="47" t="s">
        <v>660</v>
      </c>
      <c r="BT178" s="16" t="s">
        <v>448</v>
      </c>
    </row>
    <row r="179" spans="1:72" ht="13.1">
      <c r="A179" s="35"/>
      <c r="C179" s="54"/>
      <c r="AE179" s="35"/>
      <c r="AJ179" s="3"/>
      <c r="AK179" s="3"/>
      <c r="AL179" s="3"/>
      <c r="BN179" s="47" t="s">
        <v>661</v>
      </c>
      <c r="BT179" s="16" t="s">
        <v>449</v>
      </c>
    </row>
    <row r="180" spans="1:72" ht="13.1">
      <c r="A180" s="35"/>
      <c r="C180" s="55"/>
      <c r="D180" s="3" t="s">
        <v>601</v>
      </c>
      <c r="O180" s="579"/>
      <c r="P180" s="759"/>
      <c r="Q180" s="579"/>
      <c r="R180" s="579"/>
      <c r="Y180" s="1658" t="s">
        <v>527</v>
      </c>
      <c r="Z180" s="1836"/>
      <c r="AE180" s="35"/>
      <c r="AJ180" s="3"/>
      <c r="AK180" s="3"/>
      <c r="AL180" s="3"/>
      <c r="BN180" s="47" t="s">
        <v>663</v>
      </c>
      <c r="BT180" s="16" t="s">
        <v>450</v>
      </c>
    </row>
    <row r="181" spans="1:72" ht="13.1">
      <c r="A181" s="35"/>
      <c r="C181" s="55"/>
      <c r="D181" s="57"/>
      <c r="E181" s="578" t="s">
        <v>1331</v>
      </c>
      <c r="R181" s="579"/>
      <c r="Z181" s="35"/>
      <c r="AA181" s="35"/>
      <c r="AE181" s="35"/>
      <c r="AF181" s="35"/>
      <c r="AH181" s="35"/>
      <c r="AJ181" s="3"/>
      <c r="AK181" s="3"/>
      <c r="AL181" s="3"/>
      <c r="BN181" s="47" t="s">
        <v>664</v>
      </c>
      <c r="BT181" s="16" t="s">
        <v>451</v>
      </c>
    </row>
    <row r="182" spans="1:72" ht="13.1">
      <c r="A182" s="35"/>
      <c r="C182" s="55"/>
      <c r="D182" s="56"/>
      <c r="E182" s="35"/>
      <c r="AJ182" s="3"/>
      <c r="AK182" s="3"/>
      <c r="AL182" s="3"/>
      <c r="BN182" s="47" t="s">
        <v>665</v>
      </c>
      <c r="BT182" s="16" t="s">
        <v>452</v>
      </c>
    </row>
    <row r="183" spans="1:72" ht="13.1">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1">
      <c r="A184" s="35"/>
      <c r="C184" s="58"/>
      <c r="D184" s="35" t="s">
        <v>10</v>
      </c>
      <c r="E184" s="35"/>
      <c r="F184" s="35"/>
      <c r="G184" s="35"/>
      <c r="H184" s="35"/>
      <c r="I184" s="1827" t="str">
        <f>H17</f>
        <v>Orchard View Apartments</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630</v>
      </c>
      <c r="BT184" s="16" t="s">
        <v>454</v>
      </c>
    </row>
    <row r="185" spans="1:72" ht="13.1">
      <c r="A185" s="35"/>
      <c r="C185" s="58"/>
      <c r="D185" s="35" t="s">
        <v>474</v>
      </c>
      <c r="E185" s="35"/>
      <c r="F185" s="35"/>
      <c r="G185" s="35"/>
      <c r="H185" s="35"/>
      <c r="I185" s="1653" t="s">
        <v>2349</v>
      </c>
      <c r="J185" s="1653"/>
      <c r="K185" s="1653"/>
      <c r="L185" s="1653"/>
      <c r="M185" s="1653"/>
      <c r="N185" s="1653"/>
      <c r="O185" s="1653"/>
      <c r="P185" s="1653"/>
      <c r="Q185" s="1653"/>
      <c r="R185" s="1653"/>
      <c r="S185" s="1653"/>
      <c r="T185" s="1653"/>
      <c r="U185" s="1653"/>
      <c r="V185" s="1653"/>
      <c r="W185" s="1653"/>
      <c r="X185" s="1653"/>
      <c r="Y185" s="1653"/>
      <c r="Z185" s="1653"/>
      <c r="AA185" s="1653"/>
      <c r="AB185" s="1653"/>
      <c r="AC185" s="1653"/>
      <c r="AD185" s="1653"/>
      <c r="AE185" s="1653"/>
      <c r="AF185" s="35"/>
      <c r="AH185" s="35"/>
      <c r="AJ185" s="3"/>
      <c r="AK185" s="3"/>
      <c r="AL185" s="3"/>
      <c r="BC185" s="326" t="s">
        <v>132</v>
      </c>
      <c r="BN185" s="47" t="s">
        <v>631</v>
      </c>
      <c r="BT185" s="16" t="s">
        <v>913</v>
      </c>
    </row>
    <row r="186" spans="1:72" ht="13.1">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83"/>
      <c r="F187" s="1983"/>
      <c r="G187" s="1983"/>
      <c r="H187" s="1983"/>
      <c r="I187" s="1983"/>
      <c r="J187" s="1983"/>
      <c r="K187" s="1983"/>
      <c r="L187" s="1983"/>
      <c r="M187" s="1983"/>
      <c r="N187" s="1983"/>
      <c r="O187" s="1983"/>
      <c r="P187" s="1983"/>
      <c r="Q187" s="1983"/>
      <c r="R187" s="1983"/>
      <c r="S187" s="1983"/>
      <c r="T187" s="1983"/>
      <c r="U187" s="1983"/>
      <c r="V187" s="1983"/>
      <c r="W187" s="1983"/>
      <c r="X187" s="1983"/>
      <c r="Y187" s="1983"/>
      <c r="Z187" s="1983"/>
      <c r="AA187" s="1983"/>
      <c r="AB187" s="1983"/>
      <c r="AC187" s="1983"/>
      <c r="AD187" s="1983"/>
      <c r="AE187" s="1983"/>
      <c r="AF187" s="35"/>
      <c r="AH187" s="35"/>
      <c r="AJ187" s="3"/>
      <c r="AK187" s="3"/>
      <c r="AL187" s="3"/>
      <c r="BN187" s="47" t="s">
        <v>633</v>
      </c>
      <c r="BT187" s="16" t="s">
        <v>915</v>
      </c>
    </row>
    <row r="188" spans="1:72" ht="13.1">
      <c r="A188" s="35"/>
      <c r="C188" s="58"/>
      <c r="D188" s="35"/>
      <c r="E188" s="1984"/>
      <c r="F188" s="1984"/>
      <c r="G188" s="1984"/>
      <c r="H188" s="1984"/>
      <c r="I188" s="1984"/>
      <c r="J188" s="1984"/>
      <c r="K188" s="1984"/>
      <c r="L188" s="1984"/>
      <c r="M188" s="1984"/>
      <c r="N188" s="1984"/>
      <c r="O188" s="1984"/>
      <c r="P188" s="1984"/>
      <c r="Q188" s="1984"/>
      <c r="R188" s="1984"/>
      <c r="S188" s="1984"/>
      <c r="T188" s="1984"/>
      <c r="U188" s="1984"/>
      <c r="V188" s="1984"/>
      <c r="W188" s="1984"/>
      <c r="X188" s="1984"/>
      <c r="Y188" s="1984"/>
      <c r="Z188" s="1984"/>
      <c r="AA188" s="1984"/>
      <c r="AB188" s="1984"/>
      <c r="AC188" s="1984"/>
      <c r="AD188" s="1984"/>
      <c r="AE188" s="1984"/>
      <c r="AF188" s="35"/>
      <c r="AH188" s="35"/>
      <c r="AJ188" s="3"/>
      <c r="AK188" s="3"/>
      <c r="AL188" s="3"/>
      <c r="BN188" s="47" t="s">
        <v>635</v>
      </c>
      <c r="BT188" s="16" t="s">
        <v>916</v>
      </c>
    </row>
    <row r="189" spans="1:72" ht="13.1">
      <c r="A189" s="35"/>
      <c r="C189" s="58"/>
      <c r="D189" s="35" t="s">
        <v>475</v>
      </c>
      <c r="E189" s="35"/>
      <c r="I189" s="1661" t="s">
        <v>2345</v>
      </c>
      <c r="J189" s="1661"/>
      <c r="K189" s="1661"/>
      <c r="L189" s="1661"/>
      <c r="M189" s="1661"/>
      <c r="N189" s="1661"/>
      <c r="O189" s="1661"/>
      <c r="P189" s="1661"/>
      <c r="Q189" s="35" t="s">
        <v>477</v>
      </c>
      <c r="T189" s="1661" t="s">
        <v>430</v>
      </c>
      <c r="U189" s="1661"/>
      <c r="V189" s="1661"/>
      <c r="W189" s="1661"/>
      <c r="X189" s="1661"/>
      <c r="Y189" s="1661"/>
      <c r="Z189" s="1661"/>
      <c r="AA189" s="1661"/>
      <c r="AB189" s="1661"/>
      <c r="AC189" s="1661"/>
      <c r="AD189" s="1661"/>
      <c r="AE189" s="1661"/>
      <c r="AH189" s="35"/>
      <c r="AJ189" s="3"/>
      <c r="AK189" s="3"/>
      <c r="AL189" s="3"/>
      <c r="BC189" s="16" t="s">
        <v>86</v>
      </c>
      <c r="BH189" s="72" t="s">
        <v>135</v>
      </c>
      <c r="BN189" s="47" t="s">
        <v>636</v>
      </c>
      <c r="BT189" s="16" t="s">
        <v>120</v>
      </c>
    </row>
    <row r="190" spans="1:72" ht="13.1">
      <c r="A190" s="35"/>
      <c r="C190" s="59"/>
      <c r="D190" s="35" t="s">
        <v>478</v>
      </c>
      <c r="E190" s="35"/>
      <c r="F190" s="35"/>
      <c r="G190" s="35"/>
      <c r="I190" s="1653">
        <v>95948</v>
      </c>
      <c r="J190" s="1653"/>
      <c r="K190" s="1653"/>
      <c r="L190" s="1653"/>
      <c r="M190" s="1653"/>
      <c r="N190" s="1653"/>
      <c r="O190" s="35" t="s">
        <v>480</v>
      </c>
      <c r="P190" s="35"/>
      <c r="Q190" s="35"/>
      <c r="R190" s="35"/>
      <c r="S190" s="35"/>
      <c r="T190" s="1834">
        <v>35.020000000000003</v>
      </c>
      <c r="U190" s="1834"/>
      <c r="V190" s="1834"/>
      <c r="W190" s="1834"/>
      <c r="X190" s="1834"/>
      <c r="Y190" s="1834"/>
      <c r="Z190" s="1834"/>
      <c r="AA190" s="1834"/>
      <c r="AB190" s="1834"/>
      <c r="AC190" s="1834"/>
      <c r="AD190" s="1834"/>
      <c r="AE190" s="1834"/>
      <c r="AF190" s="35"/>
      <c r="AH190" s="35"/>
      <c r="AJ190" s="3"/>
      <c r="AK190" s="3"/>
      <c r="AL190" s="3"/>
      <c r="BC190" s="16" t="s">
        <v>724</v>
      </c>
      <c r="BH190" s="16" t="s">
        <v>724</v>
      </c>
      <c r="BN190" s="47" t="s">
        <v>466</v>
      </c>
      <c r="BT190" s="16" t="s">
        <v>121</v>
      </c>
    </row>
    <row r="191" spans="1:72" ht="13.1">
      <c r="A191" s="35"/>
      <c r="C191" s="59"/>
      <c r="D191" s="35" t="s">
        <v>92</v>
      </c>
      <c r="E191" s="35"/>
      <c r="F191" s="35"/>
      <c r="G191" s="35"/>
      <c r="H191" s="35"/>
      <c r="I191" s="35"/>
      <c r="J191" s="35"/>
      <c r="K191" s="35"/>
      <c r="L191" s="35"/>
      <c r="M191" s="35"/>
      <c r="N191" s="1983" t="s">
        <v>2350</v>
      </c>
      <c r="O191" s="1983"/>
      <c r="P191" s="1983"/>
      <c r="Q191" s="1983"/>
      <c r="R191" s="1983"/>
      <c r="S191" s="1983"/>
      <c r="T191" s="1983"/>
      <c r="U191" s="1983"/>
      <c r="V191" s="1983"/>
      <c r="W191" s="1983"/>
      <c r="X191" s="1983"/>
      <c r="Y191" s="1983"/>
      <c r="Z191" s="1983"/>
      <c r="AA191" s="1983"/>
      <c r="AB191" s="1983"/>
      <c r="AC191" s="1983"/>
      <c r="AD191" s="1983"/>
      <c r="AE191" s="1983"/>
      <c r="AF191" s="35"/>
      <c r="AH191" s="35"/>
      <c r="AJ191" s="3"/>
      <c r="AK191" s="3"/>
      <c r="AL191" s="3"/>
      <c r="BC191" s="16" t="s">
        <v>1548</v>
      </c>
      <c r="BH191" s="16" t="s">
        <v>1548</v>
      </c>
      <c r="BN191" s="47" t="s">
        <v>638</v>
      </c>
      <c r="BT191" s="16" t="s">
        <v>122</v>
      </c>
    </row>
    <row r="192" spans="1:72" ht="13.1">
      <c r="A192" s="35"/>
      <c r="C192" s="59"/>
      <c r="D192" s="35"/>
      <c r="E192" s="35"/>
      <c r="F192" s="35"/>
      <c r="G192" s="35"/>
      <c r="H192" s="35"/>
      <c r="I192" s="35"/>
      <c r="J192" s="35"/>
      <c r="K192" s="35"/>
      <c r="L192" s="35"/>
      <c r="M192" s="316"/>
      <c r="N192" s="1984"/>
      <c r="O192" s="1984"/>
      <c r="P192" s="1984"/>
      <c r="Q192" s="1984"/>
      <c r="R192" s="1984"/>
      <c r="S192" s="1984"/>
      <c r="T192" s="1984"/>
      <c r="U192" s="1984"/>
      <c r="V192" s="1984"/>
      <c r="W192" s="1984"/>
      <c r="X192" s="1984"/>
      <c r="Y192" s="1984"/>
      <c r="Z192" s="1984"/>
      <c r="AA192" s="1984"/>
      <c r="AB192" s="1984"/>
      <c r="AC192" s="1984"/>
      <c r="AD192" s="1984"/>
      <c r="AE192" s="1984"/>
      <c r="AF192" s="35"/>
      <c r="AH192" s="35"/>
      <c r="AJ192" s="3"/>
      <c r="AK192" s="3"/>
      <c r="AL192" s="3"/>
      <c r="BC192" s="16" t="s">
        <v>725</v>
      </c>
      <c r="BH192" s="8" t="s">
        <v>1555</v>
      </c>
      <c r="BN192" s="47" t="s">
        <v>639</v>
      </c>
      <c r="BT192" s="16" t="s">
        <v>123</v>
      </c>
    </row>
    <row r="193" spans="1:73" ht="13.1">
      <c r="A193" s="35"/>
      <c r="C193" s="59"/>
      <c r="D193" s="3" t="s">
        <v>481</v>
      </c>
      <c r="E193" s="3"/>
      <c r="F193" s="3"/>
      <c r="G193" s="3"/>
      <c r="H193" s="3"/>
      <c r="I193" s="3"/>
      <c r="J193" s="3"/>
      <c r="K193" s="3"/>
      <c r="L193" s="3"/>
      <c r="M193" s="3"/>
      <c r="N193" s="35"/>
      <c r="O193" s="35"/>
      <c r="P193" s="35"/>
      <c r="Q193" s="35"/>
      <c r="R193" s="35"/>
      <c r="T193" s="1658" t="s">
        <v>527</v>
      </c>
      <c r="U193" s="1658"/>
      <c r="W193" s="72" t="s">
        <v>2085</v>
      </c>
      <c r="AA193" s="1831" t="s">
        <v>135</v>
      </c>
      <c r="AB193" s="1831"/>
      <c r="AC193" s="1831"/>
      <c r="AJ193" s="3"/>
      <c r="AK193" s="3"/>
      <c r="AL193" s="3"/>
      <c r="BC193" s="16" t="s">
        <v>620</v>
      </c>
      <c r="BH193" s="8" t="s">
        <v>1556</v>
      </c>
      <c r="BN193" s="47" t="s">
        <v>640</v>
      </c>
      <c r="BT193" s="16" t="s">
        <v>124</v>
      </c>
    </row>
    <row r="194" spans="1:73" ht="13.1">
      <c r="A194" s="35"/>
      <c r="C194" s="59"/>
      <c r="D194" s="3" t="s">
        <v>129</v>
      </c>
      <c r="E194" s="3"/>
      <c r="F194" s="3"/>
      <c r="G194" s="3"/>
      <c r="H194" s="3"/>
      <c r="I194" s="3"/>
      <c r="J194" s="3"/>
      <c r="K194" s="3"/>
      <c r="L194" s="3"/>
      <c r="M194" s="3"/>
      <c r="N194" s="35"/>
      <c r="O194" s="35"/>
      <c r="P194" s="35"/>
      <c r="Q194" s="35"/>
      <c r="R194" s="35"/>
      <c r="T194" s="1712" t="s">
        <v>527</v>
      </c>
      <c r="U194" s="1712"/>
      <c r="W194" s="35" t="s">
        <v>68</v>
      </c>
      <c r="X194" s="35"/>
      <c r="Y194" s="35"/>
      <c r="Z194" s="35"/>
      <c r="AA194" s="35"/>
      <c r="AB194" s="35"/>
      <c r="AC194" s="35"/>
      <c r="AD194" s="35"/>
      <c r="AE194" s="35"/>
      <c r="AF194" s="35"/>
      <c r="AG194" s="35"/>
      <c r="AH194" s="35"/>
      <c r="AI194" s="1658" t="s">
        <v>527</v>
      </c>
      <c r="AJ194" s="1658"/>
      <c r="AK194" s="3"/>
      <c r="AL194" s="3"/>
      <c r="AX194" s="8" t="s">
        <v>135</v>
      </c>
      <c r="BC194" s="16" t="s">
        <v>676</v>
      </c>
      <c r="BN194" s="47" t="s">
        <v>817</v>
      </c>
      <c r="BT194" s="16" t="s">
        <v>125</v>
      </c>
    </row>
    <row r="195" spans="1:73" ht="13.1">
      <c r="A195" s="35"/>
      <c r="C195" s="59"/>
      <c r="D195" s="1070" t="s">
        <v>1898</v>
      </c>
      <c r="E195" s="3"/>
      <c r="F195" s="3"/>
      <c r="G195" s="3"/>
      <c r="H195" s="3"/>
      <c r="I195" s="3"/>
      <c r="J195" s="3"/>
      <c r="K195" s="3"/>
      <c r="L195" s="3"/>
      <c r="M195" s="3"/>
      <c r="N195" s="35"/>
      <c r="O195" s="35"/>
      <c r="P195" s="35"/>
      <c r="Q195" s="35"/>
      <c r="R195" s="35"/>
      <c r="T195" s="1712" t="s">
        <v>527</v>
      </c>
      <c r="U195" s="1712"/>
      <c r="X195" s="1309" t="s">
        <v>2107</v>
      </c>
      <c r="AJ195" s="3"/>
      <c r="AK195" s="3"/>
      <c r="AL195" s="3"/>
      <c r="AX195" s="8" t="s">
        <v>1244</v>
      </c>
      <c r="BN195" s="47" t="s">
        <v>818</v>
      </c>
      <c r="BT195" s="16" t="s">
        <v>126</v>
      </c>
    </row>
    <row r="196" spans="1:73" ht="13.1">
      <c r="A196" s="35"/>
      <c r="C196" s="59"/>
      <c r="D196" s="74" t="s">
        <v>1250</v>
      </c>
      <c r="E196" s="35"/>
      <c r="F196" s="35"/>
      <c r="G196" s="35"/>
      <c r="H196" s="35"/>
      <c r="I196" s="35"/>
      <c r="J196" s="35"/>
      <c r="K196" s="35"/>
      <c r="L196" s="35"/>
      <c r="M196" s="35"/>
      <c r="N196" s="35"/>
      <c r="O196" s="35"/>
      <c r="P196" s="35"/>
      <c r="Q196" s="35"/>
      <c r="R196" s="35"/>
      <c r="T196" s="1712" t="s">
        <v>527</v>
      </c>
      <c r="U196" s="1712"/>
      <c r="W196" s="3"/>
      <c r="X196" s="3"/>
      <c r="Y196" s="3"/>
      <c r="Z196" s="3"/>
      <c r="AA196" s="3"/>
      <c r="AB196" s="3"/>
      <c r="AC196" s="3"/>
      <c r="AD196" s="3"/>
      <c r="AE196" s="3"/>
      <c r="AF196" s="3"/>
      <c r="AG196" s="3"/>
      <c r="AH196" s="3"/>
      <c r="AI196" s="3"/>
      <c r="AJ196" s="3"/>
      <c r="AK196" s="1830"/>
      <c r="AL196" s="1830"/>
      <c r="AX196" s="8" t="s">
        <v>1245</v>
      </c>
      <c r="BN196" s="47" t="s">
        <v>819</v>
      </c>
      <c r="BT196" s="16" t="s">
        <v>127</v>
      </c>
    </row>
    <row r="197" spans="1:73" ht="13.1">
      <c r="A197" s="35"/>
      <c r="C197" s="59"/>
      <c r="D197" s="72" t="s">
        <v>2086</v>
      </c>
      <c r="T197" s="1658" t="s">
        <v>527</v>
      </c>
      <c r="U197" s="1658"/>
      <c r="AJ197" s="3"/>
      <c r="AK197" s="3"/>
      <c r="AL197" s="3"/>
      <c r="AX197" s="8" t="s">
        <v>1246</v>
      </c>
      <c r="BC197" s="16" t="s">
        <v>86</v>
      </c>
      <c r="BN197" s="47" t="s">
        <v>820</v>
      </c>
      <c r="BT197" s="16" t="s">
        <v>128</v>
      </c>
    </row>
    <row r="198" spans="1:73" ht="13.1">
      <c r="A198" s="35"/>
      <c r="C198" s="59"/>
      <c r="D198" s="1070" t="s">
        <v>2116</v>
      </c>
      <c r="W198" s="1837" t="s">
        <v>527</v>
      </c>
      <c r="X198" s="1658"/>
      <c r="AG198" s="35"/>
      <c r="AH198" s="3"/>
      <c r="AI198" s="3"/>
      <c r="AJ198" s="3"/>
      <c r="AK198" s="3"/>
      <c r="AL198" s="3"/>
      <c r="AX198" s="8" t="s">
        <v>1247</v>
      </c>
      <c r="BC198" s="623" t="s">
        <v>1191</v>
      </c>
      <c r="BN198" s="47" t="s">
        <v>821</v>
      </c>
      <c r="BT198" s="16" t="s">
        <v>877</v>
      </c>
    </row>
    <row r="199" spans="1:73" ht="13.1">
      <c r="A199" s="35"/>
      <c r="C199" s="59"/>
      <c r="D199" s="1070" t="s">
        <v>2250</v>
      </c>
      <c r="L199" s="1458"/>
      <c r="M199" s="1458"/>
      <c r="N199" s="1458"/>
      <c r="O199" s="1458"/>
      <c r="P199" s="1458"/>
      <c r="Q199" s="1458"/>
      <c r="R199" s="1829" t="s">
        <v>2243</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1">
      <c r="A200" s="35"/>
      <c r="C200" s="59"/>
      <c r="D200" s="3" t="s">
        <v>616</v>
      </c>
      <c r="AB200" s="35"/>
      <c r="AC200" s="35"/>
      <c r="AE200" s="35"/>
      <c r="AF200" s="35"/>
      <c r="AG200" s="35"/>
      <c r="AH200" s="390"/>
      <c r="AI200" s="390"/>
      <c r="AJ200" s="3"/>
      <c r="AK200" s="3"/>
      <c r="AL200" s="3"/>
      <c r="AX200" s="72" t="s">
        <v>2283</v>
      </c>
      <c r="BC200" s="1056" t="s">
        <v>2284</v>
      </c>
      <c r="BN200" s="1492" t="s">
        <v>719</v>
      </c>
      <c r="BO200" s="65"/>
      <c r="BP200" s="68"/>
      <c r="BQ200" s="68"/>
      <c r="BR200" s="68"/>
      <c r="BS200" s="68"/>
      <c r="BT200" s="68" t="s">
        <v>879</v>
      </c>
    </row>
    <row r="201" spans="1:73" ht="12.75" customHeight="1">
      <c r="A201" s="35"/>
      <c r="C201" s="59"/>
      <c r="G201" s="1457" t="s">
        <v>2248</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3.1">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881</v>
      </c>
      <c r="BU202" s="65"/>
    </row>
    <row r="203" spans="1:73" ht="13.1">
      <c r="A203" s="35"/>
      <c r="C203" s="35"/>
      <c r="D203" s="1827" t="str">
        <f>IF(AND(M25&gt;0,M27&gt;0),"Federal and State","Federal Only")</f>
        <v>Federal Only</v>
      </c>
      <c r="E203" s="1827"/>
      <c r="F203" s="1827"/>
      <c r="G203" s="1827"/>
      <c r="H203" s="1827"/>
      <c r="I203" s="1827"/>
      <c r="J203" s="1827"/>
      <c r="K203" s="1827"/>
      <c r="L203" s="1827"/>
      <c r="M203" s="1827"/>
      <c r="P203" s="1987">
        <f>M25</f>
        <v>1742754</v>
      </c>
      <c r="Q203" s="1987"/>
      <c r="R203" s="1987"/>
      <c r="S203" s="1987"/>
      <c r="T203" s="1987"/>
      <c r="U203" s="1987"/>
      <c r="V203" s="35"/>
      <c r="W203" s="1987">
        <f>M27</f>
        <v>0</v>
      </c>
      <c r="X203" s="1987"/>
      <c r="Y203" s="1987"/>
      <c r="Z203" s="1987"/>
      <c r="AA203" s="1987"/>
      <c r="AB203" s="1987"/>
      <c r="AD203" s="35"/>
      <c r="AE203" s="35"/>
      <c r="AF203" s="35"/>
      <c r="AG203" s="35"/>
      <c r="AH203" s="35"/>
      <c r="AI203" s="35"/>
      <c r="AJ203" s="3"/>
      <c r="AK203" s="3"/>
      <c r="AL203" s="3"/>
      <c r="AV203" s="16" t="s">
        <v>135</v>
      </c>
      <c r="AX203" s="8" t="s">
        <v>725</v>
      </c>
      <c r="BC203" s="3" t="s">
        <v>1562</v>
      </c>
      <c r="BN203" s="47" t="s">
        <v>722</v>
      </c>
      <c r="BT203" s="69" t="s">
        <v>882</v>
      </c>
      <c r="BU203" s="65"/>
    </row>
    <row r="204" spans="1:73" ht="13.1">
      <c r="A204" s="35"/>
      <c r="C204" s="58"/>
      <c r="E204" s="35"/>
      <c r="F204" s="35"/>
      <c r="G204" s="35"/>
      <c r="P204" s="1976" t="s">
        <v>191</v>
      </c>
      <c r="Q204" s="1976"/>
      <c r="R204" s="1976"/>
      <c r="S204" s="1976"/>
      <c r="T204" s="1976"/>
      <c r="U204" s="1976"/>
      <c r="V204" s="60"/>
      <c r="W204" s="1976" t="s">
        <v>192</v>
      </c>
      <c r="X204" s="1976"/>
      <c r="Y204" s="1976"/>
      <c r="Z204" s="1976"/>
      <c r="AA204" s="1976"/>
      <c r="AB204" s="1976"/>
      <c r="AD204" s="35"/>
      <c r="AE204" s="35"/>
      <c r="AF204" s="35"/>
      <c r="AG204" s="35"/>
      <c r="AH204" s="35"/>
      <c r="AI204" s="35"/>
      <c r="AJ204" s="3"/>
      <c r="AK204" s="3"/>
      <c r="AL204" s="3"/>
      <c r="AV204" s="16" t="s">
        <v>119</v>
      </c>
      <c r="AX204" s="8" t="s">
        <v>1497</v>
      </c>
      <c r="BC204" s="272" t="s">
        <v>936</v>
      </c>
      <c r="BN204" s="47" t="s">
        <v>723</v>
      </c>
      <c r="BT204" s="69" t="s">
        <v>883</v>
      </c>
      <c r="BU204" s="70"/>
    </row>
    <row r="205" spans="1:73" ht="13.6"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1565</v>
      </c>
      <c r="BN206" s="47" t="s">
        <v>981</v>
      </c>
      <c r="BT206" s="69" t="s">
        <v>884</v>
      </c>
    </row>
    <row r="207" spans="1:73" ht="13.1">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2242</v>
      </c>
      <c r="BC207" s="272" t="s">
        <v>1923</v>
      </c>
      <c r="BN207" s="47" t="s">
        <v>1</v>
      </c>
      <c r="BT207" s="69" t="s">
        <v>885</v>
      </c>
    </row>
    <row r="208" spans="1:73" ht="13.1">
      <c r="A208" s="35"/>
      <c r="C208" s="58"/>
      <c r="D208" s="1659" t="s">
        <v>2351</v>
      </c>
      <c r="E208" s="1659"/>
      <c r="F208" s="1659"/>
      <c r="G208" s="1659"/>
      <c r="H208" s="1659"/>
      <c r="I208" s="1659"/>
      <c r="J208" s="1659"/>
      <c r="K208" s="1659"/>
      <c r="L208" s="1659"/>
      <c r="M208" s="1659"/>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2243</v>
      </c>
      <c r="BC208" s="3" t="s">
        <v>1563</v>
      </c>
      <c r="BN208" s="47" t="s">
        <v>2</v>
      </c>
      <c r="BT208" s="69" t="s">
        <v>886</v>
      </c>
    </row>
    <row r="209" spans="1:72" ht="13.1">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2244</v>
      </c>
      <c r="BC209" s="272" t="s">
        <v>81</v>
      </c>
      <c r="BN209" s="47" t="s">
        <v>3</v>
      </c>
      <c r="BT209" s="69" t="s">
        <v>887</v>
      </c>
    </row>
    <row r="210" spans="1:72" ht="13.1">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2245</v>
      </c>
      <c r="BN210" s="47" t="s">
        <v>4</v>
      </c>
      <c r="BT210" s="69" t="s">
        <v>888</v>
      </c>
    </row>
    <row r="211" spans="1:72" ht="13.1">
      <c r="C211" s="58"/>
      <c r="D211" s="1659" t="s">
        <v>1246</v>
      </c>
      <c r="E211" s="1659"/>
      <c r="F211" s="1659"/>
      <c r="G211" s="1659"/>
      <c r="H211" s="1659"/>
      <c r="I211" s="1659"/>
      <c r="J211" s="1659"/>
      <c r="K211" s="1659"/>
      <c r="L211" s="1659"/>
      <c r="M211" s="1659"/>
      <c r="N211" s="1659"/>
      <c r="O211" s="1659"/>
      <c r="P211" s="1659"/>
      <c r="X211" s="1321"/>
      <c r="Y211" s="1835" t="s">
        <v>527</v>
      </c>
      <c r="Z211" s="1835"/>
      <c r="AA211" s="1322"/>
      <c r="AB211" s="1322"/>
      <c r="AC211" s="1322"/>
      <c r="AD211" s="1322"/>
      <c r="AE211" s="1322"/>
      <c r="AF211" s="1322"/>
      <c r="AG211" s="1322"/>
      <c r="AH211" s="1322"/>
      <c r="AI211" s="1322"/>
      <c r="AJ211" s="1322"/>
      <c r="AK211" s="1323"/>
      <c r="AL211" s="3"/>
      <c r="AX211" s="16" t="s">
        <v>2246</v>
      </c>
      <c r="BN211" s="47" t="s">
        <v>21</v>
      </c>
      <c r="BT211" s="69" t="s">
        <v>22</v>
      </c>
    </row>
    <row r="212" spans="1:72" ht="13.6" thickBot="1">
      <c r="X212" s="1326"/>
      <c r="Y212" s="1324"/>
      <c r="Z212" s="1324"/>
      <c r="AA212" s="1324"/>
      <c r="AB212" s="1324"/>
      <c r="AC212" s="1324"/>
      <c r="AD212" s="1324"/>
      <c r="AE212" s="1324"/>
      <c r="AF212" s="1324"/>
      <c r="AG212" s="1324"/>
      <c r="AH212" s="1324"/>
      <c r="AI212" s="1324"/>
      <c r="AJ212" s="1324"/>
      <c r="AK212" s="1325"/>
      <c r="AL212" s="3"/>
      <c r="AX212" s="16" t="s">
        <v>2247</v>
      </c>
      <c r="BC212" s="727" t="s">
        <v>86</v>
      </c>
      <c r="BN212" s="47" t="s">
        <v>5</v>
      </c>
      <c r="BT212" s="69" t="s">
        <v>889</v>
      </c>
    </row>
    <row r="213" spans="1:72" ht="13.1">
      <c r="A213" s="63" t="s">
        <v>136</v>
      </c>
      <c r="C213" s="63" t="s">
        <v>1549</v>
      </c>
      <c r="AG213" s="3"/>
      <c r="AJ213" s="3"/>
      <c r="AK213" s="3"/>
      <c r="AL213" s="3"/>
      <c r="AX213" s="72" t="s">
        <v>2249</v>
      </c>
      <c r="BC213" s="16" t="s">
        <v>687</v>
      </c>
      <c r="BN213" s="47" t="s">
        <v>6</v>
      </c>
      <c r="BT213" s="69" t="s">
        <v>890</v>
      </c>
    </row>
    <row r="214" spans="1:72" ht="13.1">
      <c r="C214" s="58"/>
      <c r="D214" s="1659" t="s">
        <v>724</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691</v>
      </c>
      <c r="BN214" s="47" t="s">
        <v>488</v>
      </c>
      <c r="BT214" s="69" t="s">
        <v>891</v>
      </c>
    </row>
    <row r="215" spans="1:72" ht="12.6">
      <c r="D215" s="64"/>
      <c r="E215" s="8" t="s">
        <v>1561</v>
      </c>
      <c r="AE215" s="1985">
        <v>0</v>
      </c>
      <c r="AF215" s="1985"/>
      <c r="AG215" s="3"/>
      <c r="AJ215" s="3"/>
      <c r="AK215" s="3"/>
      <c r="AL215" s="3"/>
      <c r="BC215" s="16" t="s">
        <v>688</v>
      </c>
    </row>
    <row r="216" spans="1:72" ht="12.75" customHeight="1">
      <c r="D216" s="64"/>
      <c r="E216" s="8" t="s">
        <v>1559</v>
      </c>
      <c r="AG216" s="3"/>
      <c r="AJ216" s="3"/>
      <c r="AK216" s="3"/>
      <c r="AL216" s="3"/>
      <c r="BC216" s="16" t="s">
        <v>807</v>
      </c>
    </row>
    <row r="217" spans="1:72" ht="12.6">
      <c r="E217" s="1993" t="s">
        <v>135</v>
      </c>
      <c r="F217" s="1984"/>
      <c r="G217" s="1984"/>
      <c r="H217" s="1984"/>
      <c r="I217" s="1984"/>
      <c r="J217" s="1984"/>
      <c r="K217" s="1984"/>
      <c r="L217" s="1984"/>
      <c r="M217" s="1984"/>
      <c r="N217" s="1984"/>
      <c r="O217" s="1984"/>
      <c r="P217" s="1984"/>
      <c r="Q217" s="1984"/>
      <c r="R217" s="1984"/>
      <c r="S217" s="1984"/>
      <c r="T217" s="1984"/>
      <c r="U217" s="1984"/>
      <c r="V217" s="1984"/>
      <c r="W217" s="1984"/>
      <c r="X217" s="1984"/>
      <c r="Y217" s="1984"/>
      <c r="Z217" s="1984"/>
      <c r="AA217" s="83"/>
      <c r="AB217" s="83"/>
      <c r="AC217" s="83"/>
      <c r="AD217" s="83"/>
      <c r="AE217" s="83"/>
      <c r="AF217" s="83"/>
      <c r="AG217" s="3"/>
      <c r="AJ217" s="3"/>
      <c r="AK217" s="3"/>
      <c r="AL217" s="3"/>
      <c r="BC217" s="16" t="s">
        <v>689</v>
      </c>
    </row>
    <row r="218" spans="1:72" ht="12.6">
      <c r="E218" s="72" t="s">
        <v>2171</v>
      </c>
      <c r="AA218" s="83"/>
      <c r="AC218" s="1826"/>
      <c r="AD218" s="1826"/>
      <c r="AE218" s="1826"/>
      <c r="AF218" s="1826"/>
      <c r="AG218" s="1826"/>
      <c r="AH218" s="1826"/>
      <c r="AI218" s="1826"/>
      <c r="AJ218" s="1826"/>
      <c r="AK218" s="1826"/>
      <c r="AL218" s="1826"/>
      <c r="AM218" s="1826"/>
      <c r="BC218" s="16" t="s">
        <v>690</v>
      </c>
      <c r="BI218" s="67"/>
    </row>
    <row r="219" spans="1:72" ht="12.75" customHeight="1">
      <c r="E219" s="72" t="s">
        <v>2172</v>
      </c>
      <c r="AA219" s="83"/>
      <c r="AC219" s="1826"/>
      <c r="AD219" s="1826"/>
      <c r="AE219" s="1826"/>
      <c r="AF219" s="1826"/>
      <c r="AG219" s="1826"/>
      <c r="AH219" s="1826"/>
      <c r="AI219" s="1826"/>
      <c r="AJ219" s="1826"/>
      <c r="AK219" s="1826"/>
      <c r="AL219" s="1826"/>
      <c r="AM219" s="1826"/>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6">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8" t="s">
        <v>1563</v>
      </c>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1678"/>
      <c r="AD223" s="1678"/>
      <c r="AE223" s="1678"/>
      <c r="AF223" s="1678"/>
      <c r="AG223" s="1678"/>
      <c r="AH223" s="1678"/>
      <c r="AI223" s="1678"/>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8">
        <v>1</v>
      </c>
      <c r="P225" s="1658"/>
    </row>
    <row r="226" spans="1:59" ht="12.75" customHeight="1">
      <c r="D226" s="35" t="s">
        <v>614</v>
      </c>
      <c r="E226" s="35"/>
      <c r="F226" s="35"/>
      <c r="G226" s="35"/>
      <c r="H226" s="35"/>
      <c r="I226" s="35"/>
      <c r="J226" s="35"/>
      <c r="K226" s="35"/>
      <c r="L226" s="35"/>
      <c r="M226" s="35"/>
      <c r="N226" s="35"/>
      <c r="O226" s="1658">
        <v>3</v>
      </c>
      <c r="P226" s="1658"/>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8">
        <v>4</v>
      </c>
      <c r="P227" s="1658"/>
      <c r="BB227" s="8" t="s">
        <v>699</v>
      </c>
      <c r="BG227" s="624">
        <f>IF(AND(AND($M$251="for profit",$M$259="nonprofit",$M$267="for profit")),2,0)</f>
        <v>0</v>
      </c>
    </row>
    <row r="228" spans="1:59" ht="12.6">
      <c r="D228" s="3" t="s">
        <v>616</v>
      </c>
      <c r="BB228" s="16" t="s">
        <v>699</v>
      </c>
      <c r="BG228" s="624">
        <f>IF(AND(AND($M$251="nonprofit",$M$259="for profit",$M$267="for profit")),2,0)</f>
        <v>0</v>
      </c>
    </row>
    <row r="229" spans="1:59" ht="12.6">
      <c r="D229" s="562" t="s">
        <v>1277</v>
      </c>
      <c r="U229" s="562" t="s">
        <v>1278</v>
      </c>
      <c r="BB229" s="16" t="s">
        <v>699</v>
      </c>
      <c r="BG229" s="624">
        <f>IF(AND(AND($M$251="for profit",$M$259="nonprofit",$M$267="(select one)")),2,0)</f>
        <v>0</v>
      </c>
    </row>
    <row r="230" spans="1:59" ht="12.6">
      <c r="BB230" s="16" t="s">
        <v>699</v>
      </c>
      <c r="BG230" s="625">
        <f>IF(AND(AND($M$251="nonprofit",$M$259="for profit",$M$267="(select one)")),2,0)</f>
        <v>2</v>
      </c>
    </row>
    <row r="231" spans="1:59" ht="12.6">
      <c r="A231" s="1664" t="s">
        <v>540</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6"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699</v>
      </c>
      <c r="BC232" s="63"/>
      <c r="BD232" s="63"/>
      <c r="BE232" s="63"/>
      <c r="BF232" s="63"/>
      <c r="BG232" s="305">
        <f>IF(AND(AND($M$251="nonprofit",$M$259="nonprofit",$M$267="for profit")),2,0)</f>
        <v>0</v>
      </c>
    </row>
    <row r="233" spans="1:59" ht="13.6"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1">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1">
      <c r="D235" s="71" t="s">
        <v>412</v>
      </c>
      <c r="E235" s="71"/>
      <c r="F235" s="71"/>
      <c r="G235" s="71"/>
      <c r="H235" s="71"/>
      <c r="I235" s="71"/>
      <c r="J235" s="71"/>
      <c r="K235" s="8"/>
      <c r="M235" s="1975" t="str">
        <f>H15</f>
        <v>Gridley Orchard Associates, a Californa Limited Partnership</v>
      </c>
      <c r="N235" s="1975"/>
      <c r="O235" s="1975"/>
      <c r="P235" s="1975"/>
      <c r="Q235" s="1975"/>
      <c r="R235" s="1975"/>
      <c r="S235" s="1975"/>
      <c r="T235" s="1975"/>
      <c r="U235" s="1975"/>
      <c r="V235" s="1975"/>
      <c r="W235" s="1975"/>
      <c r="X235" s="1975"/>
      <c r="Y235" s="1975"/>
      <c r="Z235" s="1975"/>
      <c r="AA235" s="1975"/>
      <c r="AB235" s="1975"/>
      <c r="AC235" s="1975"/>
      <c r="AD235" s="1975"/>
      <c r="AE235" s="1975"/>
      <c r="AF235" s="1975"/>
      <c r="AG235" s="1975"/>
      <c r="AH235" s="1975"/>
      <c r="AI235" s="1975"/>
      <c r="AJ235" s="1975"/>
      <c r="AK235" s="1975"/>
      <c r="BB235" s="62"/>
      <c r="BC235" s="35"/>
      <c r="BD235" s="35"/>
      <c r="BE235" s="35"/>
      <c r="BF235" s="35"/>
      <c r="BG235" s="71"/>
    </row>
    <row r="236" spans="1:59" ht="12.75" customHeight="1">
      <c r="D236" s="71" t="s">
        <v>413</v>
      </c>
      <c r="E236" s="71"/>
      <c r="F236" s="71"/>
      <c r="G236" s="71"/>
      <c r="H236" s="71"/>
      <c r="I236" s="71"/>
      <c r="J236" s="71"/>
      <c r="K236" s="8"/>
      <c r="M236" s="1678" t="s">
        <v>2352</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698</v>
      </c>
      <c r="BG236" s="624">
        <f>IF(AND(AND($M$251="nonprofit",$M$259="nonprofit",$M$267="nonprofit")),1,0)</f>
        <v>0</v>
      </c>
    </row>
    <row r="237" spans="1:59" ht="12.6">
      <c r="D237" s="71" t="s">
        <v>475</v>
      </c>
      <c r="E237" s="71"/>
      <c r="M237" s="1678" t="s">
        <v>2338</v>
      </c>
      <c r="N237" s="1659"/>
      <c r="O237" s="1659"/>
      <c r="P237" s="1659"/>
      <c r="Q237" s="1659"/>
      <c r="R237" s="1659"/>
      <c r="S237" s="1659"/>
      <c r="T237" s="1659"/>
      <c r="V237" s="73" t="s">
        <v>414</v>
      </c>
      <c r="W237" s="1662" t="s">
        <v>2353</v>
      </c>
      <c r="X237" s="1663"/>
      <c r="Y237" s="71" t="s">
        <v>478</v>
      </c>
      <c r="AC237" s="1659">
        <v>83616</v>
      </c>
      <c r="AD237" s="1659"/>
      <c r="AE237" s="1659"/>
      <c r="AN237" s="72"/>
      <c r="BB237" s="16" t="s">
        <v>698</v>
      </c>
      <c r="BG237" s="624">
        <f>IF(AND(AND($M$251="nonprofit",$M$259="nonprofit",$M$267="(select one)")),1,0)</f>
        <v>0</v>
      </c>
    </row>
    <row r="238" spans="1:59" ht="12.6">
      <c r="D238" s="74" t="s">
        <v>415</v>
      </c>
      <c r="E238" s="8"/>
      <c r="F238" s="8"/>
      <c r="G238" s="8"/>
      <c r="H238" s="8"/>
      <c r="I238" s="8"/>
      <c r="J238" s="8"/>
      <c r="K238" s="39"/>
      <c r="M238" s="1678" t="s">
        <v>2340</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698</v>
      </c>
      <c r="BG238" s="624">
        <f>IF(AND(AND($M$251="nonprofit",$M$259="(select one)",$M$267="(select one)")),1,0)</f>
        <v>0</v>
      </c>
    </row>
    <row r="239" spans="1:59" ht="12.6">
      <c r="D239" s="74" t="s">
        <v>416</v>
      </c>
      <c r="E239" s="8"/>
      <c r="F239" s="8"/>
      <c r="M239" s="1656" t="s">
        <v>2354</v>
      </c>
      <c r="N239" s="1657"/>
      <c r="O239" s="1657"/>
      <c r="P239" s="1657"/>
      <c r="Q239" s="1657"/>
      <c r="R239" s="1657"/>
      <c r="S239" s="8" t="s">
        <v>892</v>
      </c>
      <c r="T239" s="8"/>
      <c r="U239" s="1663">
        <v>3015</v>
      </c>
      <c r="V239" s="1663"/>
      <c r="W239" s="1663"/>
      <c r="X239" s="8" t="s">
        <v>417</v>
      </c>
      <c r="Z239" s="1656" t="s">
        <v>2355</v>
      </c>
      <c r="AA239" s="1657"/>
      <c r="AB239" s="1657"/>
      <c r="AC239" s="1657"/>
      <c r="AD239" s="1657"/>
      <c r="AE239" s="1657"/>
      <c r="AM239" s="72"/>
      <c r="AN239" s="72"/>
      <c r="BB239" s="16" t="s">
        <v>1093</v>
      </c>
      <c r="BG239" s="624">
        <f>IF(AND(AND($M$251="for profit",$M$259="for profit",$M$267="for profit")),3,0)</f>
        <v>0</v>
      </c>
    </row>
    <row r="240" spans="1:59" ht="12.6">
      <c r="D240" s="74" t="s">
        <v>418</v>
      </c>
      <c r="E240" s="8"/>
      <c r="F240" s="8"/>
      <c r="M240" s="1668" t="s">
        <v>2356</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1093</v>
      </c>
      <c r="BG240" s="625">
        <f>IF(AND(AND($M$251="for profit",$M$259="for profit",$M$267="(select one)")),3,0)</f>
        <v>0</v>
      </c>
    </row>
    <row r="241" spans="1:67" ht="13.1">
      <c r="A241" s="63" t="s">
        <v>8</v>
      </c>
      <c r="C241" s="48" t="s">
        <v>686</v>
      </c>
      <c r="M241" s="1653" t="s">
        <v>689</v>
      </c>
      <c r="N241" s="1653"/>
      <c r="O241" s="1653"/>
      <c r="P241" s="1653"/>
      <c r="Q241" s="1653"/>
      <c r="R241" s="1653"/>
      <c r="S241" s="1653"/>
      <c r="T241" s="1653"/>
      <c r="U241" s="8" t="s">
        <v>1236</v>
      </c>
      <c r="AA241" s="1654" t="s">
        <v>135</v>
      </c>
      <c r="AB241" s="1655"/>
      <c r="AC241" s="1655"/>
      <c r="AD241" s="1655"/>
      <c r="AE241" s="1655"/>
      <c r="AF241" s="1655"/>
      <c r="AG241" s="1655"/>
      <c r="AH241" s="1655"/>
      <c r="AI241" s="1655"/>
      <c r="AJ241" s="1655"/>
      <c r="AK241" s="1655"/>
      <c r="AL241" s="72"/>
      <c r="AM241" s="8"/>
      <c r="AN241" s="72"/>
      <c r="AO241" s="72"/>
      <c r="BB241" s="16" t="s">
        <v>1093</v>
      </c>
      <c r="BC241" s="35"/>
      <c r="BD241" s="35"/>
      <c r="BE241" s="35"/>
      <c r="BF241" s="35"/>
      <c r="BG241" s="625">
        <f>IF(AND(AND($M$251="for profit",$M$259="(select one)",$M$267="(select one)")),3,0)</f>
        <v>0</v>
      </c>
    </row>
    <row r="242" spans="1:67" ht="12.6">
      <c r="D242" s="16" t="s">
        <v>692</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6">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1">
      <c r="A245" s="39"/>
      <c r="C245" s="147" t="s">
        <v>1599</v>
      </c>
      <c r="D245" s="71" t="s">
        <v>693</v>
      </c>
      <c r="E245" s="71"/>
      <c r="F245" s="71"/>
      <c r="G245" s="71"/>
      <c r="H245" s="71"/>
      <c r="I245" s="71"/>
      <c r="J245" s="71"/>
      <c r="K245" s="71"/>
      <c r="L245" s="8"/>
      <c r="M245" s="1828" t="s">
        <v>2357</v>
      </c>
      <c r="N245" s="1828"/>
      <c r="O245" s="1828"/>
      <c r="P245" s="1828"/>
      <c r="Q245" s="1828"/>
      <c r="R245" s="1828"/>
      <c r="S245" s="1828"/>
      <c r="T245" s="1828"/>
      <c r="U245" s="1828"/>
      <c r="V245" s="1828"/>
      <c r="W245" s="1828"/>
      <c r="X245" s="1828"/>
      <c r="Y245" s="1828"/>
      <c r="Z245" s="1828"/>
      <c r="AA245" s="1828"/>
      <c r="AB245" s="1828"/>
      <c r="AC245" s="1828"/>
      <c r="AD245" s="1828"/>
      <c r="AE245" s="1828"/>
      <c r="AF245" s="1666" t="s">
        <v>2358</v>
      </c>
      <c r="AG245" s="1666"/>
      <c r="AH245" s="1666"/>
      <c r="AI245" s="1666"/>
      <c r="AJ245" s="1666"/>
      <c r="AK245" s="1666"/>
      <c r="AM245" s="8"/>
      <c r="AN245" s="72"/>
      <c r="BB245" s="8" t="s">
        <v>973</v>
      </c>
      <c r="BH245" s="16">
        <v>2</v>
      </c>
      <c r="BI245" s="16" t="s">
        <v>807</v>
      </c>
      <c r="BO245" s="626" t="str">
        <f>VLOOKUP(AT260,BH244:BI246,2,FALSE)</f>
        <v>Joint Venture</v>
      </c>
    </row>
    <row r="246" spans="1:67" ht="12.6">
      <c r="A246" s="39"/>
      <c r="B246" s="8"/>
      <c r="C246" s="8"/>
      <c r="D246" s="71" t="s">
        <v>413</v>
      </c>
      <c r="E246" s="71"/>
      <c r="F246" s="71"/>
      <c r="G246" s="71"/>
      <c r="H246" s="71"/>
      <c r="I246" s="71"/>
      <c r="J246" s="71"/>
      <c r="K246" s="71"/>
      <c r="L246" s="8"/>
      <c r="M246" s="1678" t="s">
        <v>2359</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499</v>
      </c>
      <c r="BH246" s="16">
        <v>3</v>
      </c>
      <c r="BI246" s="16" t="s">
        <v>697</v>
      </c>
    </row>
    <row r="247" spans="1:67" ht="12.6">
      <c r="A247" s="39"/>
      <c r="B247" s="8"/>
      <c r="C247" s="8"/>
      <c r="D247" s="71" t="s">
        <v>475</v>
      </c>
      <c r="E247" s="71"/>
      <c r="M247" s="1678" t="s">
        <v>2360</v>
      </c>
      <c r="N247" s="1659"/>
      <c r="O247" s="1659"/>
      <c r="P247" s="1659"/>
      <c r="Q247" s="1659"/>
      <c r="R247" s="1659"/>
      <c r="S247" s="1659"/>
      <c r="T247" s="1659"/>
      <c r="V247" s="73" t="s">
        <v>414</v>
      </c>
      <c r="W247" s="1662" t="s">
        <v>2361</v>
      </c>
      <c r="X247" s="1663"/>
      <c r="Y247" s="71" t="s">
        <v>478</v>
      </c>
      <c r="AC247" s="1659">
        <v>95928</v>
      </c>
      <c r="AD247" s="1659"/>
      <c r="AE247" s="1659"/>
      <c r="AN247" s="72"/>
    </row>
    <row r="248" spans="1:67" ht="12.6">
      <c r="A248" s="39"/>
      <c r="B248" s="8"/>
      <c r="C248" s="8"/>
      <c r="D248" s="74" t="s">
        <v>415</v>
      </c>
      <c r="E248" s="8"/>
      <c r="F248" s="8"/>
      <c r="G248" s="8"/>
      <c r="H248" s="8"/>
      <c r="I248" s="8"/>
      <c r="J248" s="8"/>
      <c r="K248" s="8"/>
      <c r="L248" s="39"/>
      <c r="M248" s="1678" t="s">
        <v>2362</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6">
      <c r="A249" s="39"/>
      <c r="B249" s="8"/>
      <c r="C249" s="8"/>
      <c r="D249" s="74" t="s">
        <v>416</v>
      </c>
      <c r="E249" s="8"/>
      <c r="F249" s="8"/>
      <c r="M249" s="1656" t="s">
        <v>2363</v>
      </c>
      <c r="N249" s="1657"/>
      <c r="O249" s="1657"/>
      <c r="P249" s="1657"/>
      <c r="Q249" s="1657"/>
      <c r="R249" s="1657"/>
      <c r="S249" s="8" t="s">
        <v>892</v>
      </c>
      <c r="T249" s="8"/>
      <c r="U249" s="1663">
        <v>215</v>
      </c>
      <c r="V249" s="1663"/>
      <c r="W249" s="1663"/>
      <c r="X249" s="8" t="s">
        <v>417</v>
      </c>
      <c r="Z249" s="1656" t="s">
        <v>2364</v>
      </c>
      <c r="AA249" s="1657"/>
      <c r="AB249" s="1657"/>
      <c r="AC249" s="1657"/>
      <c r="AD249" s="1657"/>
      <c r="AE249" s="1657"/>
      <c r="AM249" s="8"/>
      <c r="AN249" s="72"/>
    </row>
    <row r="250" spans="1:67" ht="12.6">
      <c r="A250" s="39"/>
      <c r="B250" s="8"/>
      <c r="C250" s="8"/>
      <c r="D250" s="74" t="s">
        <v>418</v>
      </c>
      <c r="E250" s="8"/>
      <c r="F250" s="8"/>
      <c r="M250" s="1668" t="s">
        <v>2365</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3.1">
      <c r="A251" s="33"/>
      <c r="B251" s="8"/>
      <c r="C251" s="147"/>
      <c r="D251" s="74" t="s">
        <v>696</v>
      </c>
      <c r="E251" s="8"/>
      <c r="F251" s="8"/>
      <c r="G251" s="8"/>
      <c r="H251" s="8"/>
      <c r="I251" s="8"/>
      <c r="J251" s="8"/>
      <c r="K251" s="8"/>
      <c r="L251" s="8"/>
      <c r="M251" s="1653" t="s">
        <v>695</v>
      </c>
      <c r="N251" s="1653"/>
      <c r="O251" s="1653"/>
      <c r="P251" s="1653"/>
      <c r="Q251" s="1653"/>
      <c r="R251" s="1653"/>
      <c r="S251" s="1653"/>
      <c r="T251" s="1653"/>
      <c r="U251" s="8" t="s">
        <v>1236</v>
      </c>
      <c r="AA251" s="1654" t="s">
        <v>135</v>
      </c>
      <c r="AB251" s="1655"/>
      <c r="AC251" s="1655"/>
      <c r="AD251" s="1655"/>
      <c r="AE251" s="1655"/>
      <c r="AF251" s="1655"/>
      <c r="AG251" s="1655"/>
      <c r="AH251" s="1655"/>
      <c r="AI251" s="1655"/>
      <c r="AJ251" s="1655"/>
      <c r="AK251" s="1655"/>
      <c r="AM251" s="8"/>
    </row>
    <row r="252" spans="1:67" ht="13" customHeight="1">
      <c r="A252" s="39"/>
      <c r="B252" s="8"/>
      <c r="C252" s="8"/>
      <c r="D252" s="8"/>
      <c r="E252" s="8"/>
      <c r="F252" s="8"/>
      <c r="G252" s="8"/>
      <c r="H252" s="8"/>
      <c r="I252" s="8"/>
      <c r="J252" s="8"/>
      <c r="K252" s="8"/>
      <c r="L252" s="8"/>
      <c r="AG252" s="8"/>
      <c r="AH252" s="8"/>
      <c r="AI252" s="8"/>
      <c r="AJ252" s="71"/>
    </row>
    <row r="253" spans="1:67" ht="13.1">
      <c r="A253" s="116"/>
      <c r="B253" s="8"/>
      <c r="C253" s="147" t="s">
        <v>1600</v>
      </c>
      <c r="D253" s="71" t="s">
        <v>1312</v>
      </c>
      <c r="E253" s="71"/>
      <c r="F253" s="71"/>
      <c r="G253" s="71"/>
      <c r="H253" s="71"/>
      <c r="I253" s="71"/>
      <c r="J253" s="71"/>
      <c r="K253" s="71"/>
      <c r="L253" s="8"/>
      <c r="M253" s="1828" t="s">
        <v>2366</v>
      </c>
      <c r="N253" s="1828"/>
      <c r="O253" s="1828"/>
      <c r="P253" s="1828"/>
      <c r="Q253" s="1828"/>
      <c r="R253" s="1828"/>
      <c r="S253" s="1828"/>
      <c r="T253" s="1828"/>
      <c r="U253" s="1828"/>
      <c r="V253" s="1828"/>
      <c r="W253" s="1828"/>
      <c r="X253" s="1828"/>
      <c r="Y253" s="1828"/>
      <c r="Z253" s="1828"/>
      <c r="AA253" s="1828"/>
      <c r="AB253" s="1828"/>
      <c r="AC253" s="1828"/>
      <c r="AD253" s="1828"/>
      <c r="AE253" s="1828"/>
      <c r="AF253" s="1666" t="s">
        <v>2367</v>
      </c>
      <c r="AG253" s="1666"/>
      <c r="AH253" s="1666"/>
      <c r="AI253" s="1666"/>
      <c r="AJ253" s="1666"/>
      <c r="AK253" s="1666"/>
      <c r="AM253" s="8"/>
    </row>
    <row r="254" spans="1:67" ht="12.6">
      <c r="A254" s="39"/>
      <c r="B254" s="8"/>
      <c r="C254" s="8"/>
      <c r="D254" s="71" t="s">
        <v>413</v>
      </c>
      <c r="E254" s="71"/>
      <c r="F254" s="71"/>
      <c r="G254" s="71"/>
      <c r="H254" s="71"/>
      <c r="I254" s="71"/>
      <c r="J254" s="71"/>
      <c r="K254" s="71"/>
      <c r="L254" s="8"/>
      <c r="M254" s="1678" t="s">
        <v>2352</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6">
      <c r="A255" s="39"/>
      <c r="B255" s="8"/>
      <c r="C255" s="8"/>
      <c r="D255" s="71" t="s">
        <v>475</v>
      </c>
      <c r="E255" s="71"/>
      <c r="M255" s="1678" t="s">
        <v>2338</v>
      </c>
      <c r="N255" s="1659"/>
      <c r="O255" s="1659"/>
      <c r="P255" s="1659"/>
      <c r="Q255" s="1659"/>
      <c r="R255" s="1659"/>
      <c r="S255" s="1659"/>
      <c r="T255" s="1659"/>
      <c r="V255" s="73" t="s">
        <v>414</v>
      </c>
      <c r="W255" s="1662" t="s">
        <v>2353</v>
      </c>
      <c r="X255" s="1663"/>
      <c r="Y255" s="71" t="s">
        <v>478</v>
      </c>
      <c r="AC255" s="1659">
        <v>83616</v>
      </c>
      <c r="AD255" s="1659"/>
      <c r="AE255" s="1659"/>
    </row>
    <row r="256" spans="1:67" ht="12.6">
      <c r="A256" s="39"/>
      <c r="B256" s="8"/>
      <c r="C256" s="8"/>
      <c r="D256" s="74" t="s">
        <v>415</v>
      </c>
      <c r="E256" s="8"/>
      <c r="F256" s="8"/>
      <c r="G256" s="8"/>
      <c r="H256" s="8"/>
      <c r="I256" s="8"/>
      <c r="J256" s="8"/>
      <c r="K256" s="8"/>
      <c r="L256" s="39"/>
      <c r="M256" s="1678" t="s">
        <v>2340</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6">
      <c r="A257" s="39"/>
      <c r="B257" s="8"/>
      <c r="C257" s="8"/>
      <c r="D257" s="74" t="s">
        <v>416</v>
      </c>
      <c r="E257" s="8"/>
      <c r="F257" s="8"/>
      <c r="M257" s="1656" t="s">
        <v>2354</v>
      </c>
      <c r="N257" s="1657"/>
      <c r="O257" s="1657"/>
      <c r="P257" s="1657"/>
      <c r="Q257" s="1657"/>
      <c r="R257" s="1657"/>
      <c r="S257" s="8" t="s">
        <v>892</v>
      </c>
      <c r="T257" s="8"/>
      <c r="U257" s="1663">
        <v>3015</v>
      </c>
      <c r="V257" s="1663"/>
      <c r="W257" s="1663"/>
      <c r="X257" s="8" t="s">
        <v>417</v>
      </c>
      <c r="Z257" s="1656" t="s">
        <v>2355</v>
      </c>
      <c r="AA257" s="1657"/>
      <c r="AB257" s="1657"/>
      <c r="AC257" s="1657"/>
      <c r="AD257" s="1657"/>
      <c r="AE257" s="1657"/>
      <c r="BA257" s="75"/>
    </row>
    <row r="258" spans="1:53" ht="12.6">
      <c r="A258" s="39"/>
      <c r="B258" s="8"/>
      <c r="C258" s="8"/>
      <c r="D258" s="74" t="s">
        <v>418</v>
      </c>
      <c r="E258" s="8"/>
      <c r="F258" s="8"/>
      <c r="M258" s="1668" t="s">
        <v>2356</v>
      </c>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3.1">
      <c r="A259" s="33"/>
      <c r="B259" s="8"/>
      <c r="C259" s="147"/>
      <c r="D259" s="74" t="s">
        <v>696</v>
      </c>
      <c r="E259" s="8"/>
      <c r="F259" s="8"/>
      <c r="G259" s="8"/>
      <c r="H259" s="8"/>
      <c r="I259" s="8"/>
      <c r="J259" s="8"/>
      <c r="K259" s="8"/>
      <c r="L259" s="8"/>
      <c r="M259" s="1653" t="s">
        <v>697</v>
      </c>
      <c r="N259" s="1653"/>
      <c r="O259" s="1653"/>
      <c r="P259" s="1653"/>
      <c r="Q259" s="1653"/>
      <c r="R259" s="1653"/>
      <c r="S259" s="1653"/>
      <c r="T259" s="1653"/>
      <c r="U259" s="8" t="s">
        <v>1236</v>
      </c>
      <c r="AA259" s="1654" t="s">
        <v>2368</v>
      </c>
      <c r="AB259" s="1655"/>
      <c r="AC259" s="1655"/>
      <c r="AD259" s="1655"/>
      <c r="AE259" s="1655"/>
      <c r="AF259" s="1655"/>
      <c r="AG259" s="1655"/>
      <c r="AH259" s="1655"/>
      <c r="AI259" s="1655"/>
      <c r="AJ259" s="1655"/>
      <c r="AK259" s="1655"/>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
      <c r="A261" s="33"/>
      <c r="B261" s="8"/>
      <c r="C261" s="147" t="s">
        <v>2084</v>
      </c>
      <c r="D261" s="71" t="s">
        <v>693</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86</v>
      </c>
      <c r="AG261" s="1666"/>
      <c r="AH261" s="1666"/>
      <c r="AI261" s="1666"/>
      <c r="AJ261" s="1666"/>
      <c r="AK261" s="1666"/>
      <c r="AL261" s="72"/>
      <c r="BA261" s="3"/>
    </row>
    <row r="262" spans="1:53" ht="13.1">
      <c r="A262" s="33"/>
      <c r="B262" s="8"/>
      <c r="C262" s="8"/>
      <c r="D262" s="71" t="s">
        <v>413</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3.1">
      <c r="A263" s="33"/>
      <c r="B263" s="8"/>
      <c r="C263" s="8"/>
      <c r="D263" s="71" t="s">
        <v>475</v>
      </c>
      <c r="E263" s="71"/>
      <c r="M263" s="1659"/>
      <c r="N263" s="1659"/>
      <c r="O263" s="1659"/>
      <c r="P263" s="1659"/>
      <c r="Q263" s="1659"/>
      <c r="R263" s="1659"/>
      <c r="S263" s="1659"/>
      <c r="T263" s="1659"/>
      <c r="V263" s="73" t="s">
        <v>414</v>
      </c>
      <c r="W263" s="1663"/>
      <c r="X263" s="1663"/>
      <c r="Y263" s="71" t="s">
        <v>478</v>
      </c>
      <c r="AC263" s="1659"/>
      <c r="AD263" s="1659"/>
      <c r="AE263" s="1659"/>
      <c r="AL263" s="72"/>
      <c r="BA263" s="75"/>
    </row>
    <row r="264" spans="1:53" ht="13.1">
      <c r="A264" s="33"/>
      <c r="B264" s="8"/>
      <c r="C264" s="8"/>
      <c r="D264" s="74" t="s">
        <v>415</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3.1">
      <c r="A265" s="33"/>
      <c r="B265" s="8"/>
      <c r="C265" s="8"/>
      <c r="D265" s="74" t="s">
        <v>416</v>
      </c>
      <c r="E265" s="8"/>
      <c r="F265" s="8"/>
      <c r="M265" s="1657"/>
      <c r="N265" s="1657"/>
      <c r="O265" s="1657"/>
      <c r="P265" s="1657"/>
      <c r="Q265" s="1657"/>
      <c r="R265" s="1657"/>
      <c r="S265" s="8" t="s">
        <v>892</v>
      </c>
      <c r="T265" s="8"/>
      <c r="U265" s="1663"/>
      <c r="V265" s="1663"/>
      <c r="W265" s="1663"/>
      <c r="X265" s="8" t="s">
        <v>417</v>
      </c>
      <c r="Z265" s="1657"/>
      <c r="AA265" s="1657"/>
      <c r="AB265" s="1657"/>
      <c r="AC265" s="1657"/>
      <c r="AD265" s="1657"/>
      <c r="AE265" s="1657"/>
      <c r="AL265" s="72"/>
      <c r="BA265" s="75"/>
    </row>
    <row r="266" spans="1:53" ht="13.1">
      <c r="A266" s="33"/>
      <c r="B266" s="8"/>
      <c r="C266" s="8"/>
      <c r="D266" s="74" t="s">
        <v>418</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3.1">
      <c r="A267" s="33"/>
      <c r="B267" s="8"/>
      <c r="C267" s="147"/>
      <c r="D267" s="74" t="s">
        <v>696</v>
      </c>
      <c r="E267" s="8"/>
      <c r="F267" s="8"/>
      <c r="G267" s="8"/>
      <c r="H267" s="8"/>
      <c r="I267" s="8"/>
      <c r="J267" s="8"/>
      <c r="K267" s="8"/>
      <c r="L267" s="8"/>
      <c r="M267" s="1653" t="s">
        <v>86</v>
      </c>
      <c r="N267" s="1653"/>
      <c r="O267" s="1653"/>
      <c r="P267" s="1653"/>
      <c r="Q267" s="1653"/>
      <c r="R267" s="1653"/>
      <c r="S267" s="1653"/>
      <c r="T267" s="1653"/>
      <c r="U267" s="8" t="s">
        <v>1236</v>
      </c>
      <c r="AA267" s="1655"/>
      <c r="AB267" s="1655"/>
      <c r="AC267" s="1655"/>
      <c r="AD267" s="1655"/>
      <c r="AE267" s="1655"/>
      <c r="AF267" s="1655"/>
      <c r="AG267" s="1655"/>
      <c r="AH267" s="1655"/>
      <c r="AI267" s="1655"/>
      <c r="AJ267" s="1655"/>
      <c r="AK267" s="1655"/>
      <c r="AL267" s="72"/>
      <c r="BA267" s="75"/>
    </row>
    <row r="268" spans="1:53" ht="12.6">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67" t="str">
        <f>BO245</f>
        <v>Joint Venture</v>
      </c>
      <c r="U269" s="1667"/>
      <c r="V269" s="1667"/>
      <c r="W269" s="1667"/>
      <c r="X269" s="1667"/>
      <c r="Z269" s="734" t="s">
        <v>1313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1">
      <c r="A271" s="63" t="s">
        <v>134</v>
      </c>
      <c r="B271" s="8"/>
      <c r="C271" s="63" t="s">
        <v>498</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6">
      <c r="A272" s="71"/>
      <c r="B272" s="77">
        <v>0</v>
      </c>
      <c r="D272" s="1659" t="s">
        <v>973</v>
      </c>
      <c r="E272" s="1659"/>
      <c r="F272" s="1659"/>
      <c r="G272" s="1659"/>
      <c r="H272" s="1659"/>
      <c r="J272" s="16" t="s">
        <v>972</v>
      </c>
      <c r="X272" s="1845"/>
      <c r="Y272" s="1845"/>
      <c r="Z272" s="1845"/>
      <c r="AA272" s="1845"/>
      <c r="AB272" s="1845"/>
      <c r="AC272" s="1845"/>
      <c r="BA272" s="75"/>
    </row>
    <row r="273" spans="1:53" ht="12.6">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85" customHeight="1">
      <c r="D276" s="71" t="s">
        <v>295</v>
      </c>
      <c r="E276" s="71"/>
      <c r="F276" s="71"/>
      <c r="G276" s="71"/>
      <c r="H276" s="71"/>
      <c r="I276" s="71"/>
      <c r="J276" s="71"/>
      <c r="K276" s="8"/>
      <c r="L276" s="1828" t="s">
        <v>2369</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413</v>
      </c>
      <c r="E277" s="71"/>
      <c r="F277" s="71"/>
      <c r="G277" s="71"/>
      <c r="H277" s="71"/>
      <c r="I277" s="71"/>
      <c r="J277" s="71"/>
      <c r="K277" s="8"/>
      <c r="L277" s="1678" t="s">
        <v>2352</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6">
      <c r="D278" s="71" t="s">
        <v>475</v>
      </c>
      <c r="E278" s="71"/>
      <c r="L278" s="1678" t="s">
        <v>2338</v>
      </c>
      <c r="M278" s="1659"/>
      <c r="N278" s="1659"/>
      <c r="O278" s="1659"/>
      <c r="P278" s="1659"/>
      <c r="Q278" s="1659"/>
      <c r="R278" s="1659"/>
      <c r="S278" s="1659"/>
      <c r="U278" s="73" t="s">
        <v>414</v>
      </c>
      <c r="V278" s="1662" t="s">
        <v>2353</v>
      </c>
      <c r="W278" s="1663"/>
      <c r="X278" s="71" t="s">
        <v>478</v>
      </c>
      <c r="AB278" s="1659">
        <v>83616</v>
      </c>
      <c r="AC278" s="1659"/>
      <c r="AD278" s="1659"/>
      <c r="AK278" s="72"/>
      <c r="AL278" s="72"/>
      <c r="BA278" s="75"/>
    </row>
    <row r="279" spans="1:53" ht="12.6">
      <c r="D279" s="74" t="s">
        <v>415</v>
      </c>
      <c r="E279" s="8"/>
      <c r="F279" s="8"/>
      <c r="G279" s="8"/>
      <c r="H279" s="8"/>
      <c r="I279" s="8"/>
      <c r="J279" s="8"/>
      <c r="K279" s="39"/>
      <c r="L279" s="1678" t="s">
        <v>2370</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6">
      <c r="D280" s="74" t="s">
        <v>416</v>
      </c>
      <c r="E280" s="8"/>
      <c r="F280" s="8"/>
      <c r="L280" s="1656" t="s">
        <v>2371</v>
      </c>
      <c r="M280" s="1657"/>
      <c r="N280" s="1657"/>
      <c r="O280" s="1657"/>
      <c r="P280" s="1657"/>
      <c r="Q280" s="1657"/>
      <c r="R280" s="8" t="s">
        <v>892</v>
      </c>
      <c r="S280" s="8"/>
      <c r="T280" s="1663"/>
      <c r="U280" s="1663"/>
      <c r="V280" s="1663"/>
      <c r="W280" s="8" t="s">
        <v>417</v>
      </c>
      <c r="Y280" s="1656" t="s">
        <v>2355</v>
      </c>
      <c r="Z280" s="1657"/>
      <c r="AA280" s="1657"/>
      <c r="AB280" s="1657"/>
      <c r="AC280" s="1657"/>
      <c r="AD280" s="1657"/>
      <c r="BA280" s="75"/>
    </row>
    <row r="281" spans="1:53" ht="12.6">
      <c r="D281" s="74" t="s">
        <v>418</v>
      </c>
      <c r="E281" s="8"/>
      <c r="F281" s="8"/>
      <c r="L281" s="1668" t="s">
        <v>2372</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6">
      <c r="D282" s="72" t="s">
        <v>202</v>
      </c>
      <c r="E282" s="72"/>
      <c r="F282" s="72"/>
      <c r="G282" s="72"/>
      <c r="H282" s="72"/>
      <c r="I282" s="72"/>
      <c r="L282" s="1662" t="s">
        <v>2373</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6">
      <c r="L283" s="46" t="s">
        <v>203</v>
      </c>
      <c r="BA283" s="75"/>
    </row>
    <row r="284" spans="1:53" ht="12.6">
      <c r="A284" s="1664" t="s">
        <v>541</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1"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1"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6">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1" t="s">
        <v>2369</v>
      </c>
      <c r="I289" s="1661"/>
      <c r="J289" s="1661"/>
      <c r="K289" s="1661"/>
      <c r="L289" s="1661"/>
      <c r="M289" s="1661"/>
      <c r="N289" s="1661"/>
      <c r="O289" s="1661"/>
      <c r="P289" s="1661"/>
      <c r="Q289" s="1661"/>
      <c r="R289" s="1661"/>
      <c r="T289" s="72" t="s">
        <v>808</v>
      </c>
      <c r="V289" s="72"/>
      <c r="W289" s="72"/>
      <c r="X289" s="72"/>
      <c r="Y289" s="72"/>
      <c r="AA289" s="1661" t="s">
        <v>2374</v>
      </c>
      <c r="AB289" s="1661"/>
      <c r="AC289" s="1661"/>
      <c r="AD289" s="1661"/>
      <c r="AE289" s="1661"/>
      <c r="AF289" s="1661"/>
      <c r="AG289" s="1661"/>
      <c r="AH289" s="1661"/>
      <c r="AI289" s="1661"/>
      <c r="AJ289" s="1661"/>
      <c r="AK289" s="1661"/>
      <c r="BA289" s="75"/>
    </row>
    <row r="290" spans="2:53" ht="12.6">
      <c r="B290" s="72" t="s">
        <v>760</v>
      </c>
      <c r="C290" s="72"/>
      <c r="D290" s="72"/>
      <c r="E290" s="72"/>
      <c r="F290" s="72"/>
      <c r="H290" s="1653" t="s">
        <v>2352</v>
      </c>
      <c r="I290" s="1653"/>
      <c r="J290" s="1653"/>
      <c r="K290" s="1653"/>
      <c r="L290" s="1653"/>
      <c r="M290" s="1653"/>
      <c r="N290" s="1653"/>
      <c r="O290" s="1653"/>
      <c r="P290" s="1653"/>
      <c r="Q290" s="1653"/>
      <c r="R290" s="1653"/>
      <c r="T290" s="72" t="s">
        <v>760</v>
      </c>
      <c r="V290" s="72"/>
      <c r="W290" s="72"/>
      <c r="X290" s="72"/>
      <c r="Y290" s="72"/>
      <c r="AA290" s="1653" t="s">
        <v>2352</v>
      </c>
      <c r="AB290" s="1653"/>
      <c r="AC290" s="1653"/>
      <c r="AD290" s="1653"/>
      <c r="AE290" s="1653"/>
      <c r="AF290" s="1653"/>
      <c r="AG290" s="1653"/>
      <c r="AH290" s="1653"/>
      <c r="AI290" s="1653"/>
      <c r="AJ290" s="1653"/>
      <c r="AK290" s="1653"/>
      <c r="BA290" s="75"/>
    </row>
    <row r="291" spans="2:53" ht="12.6">
      <c r="B291" s="72" t="s">
        <v>762</v>
      </c>
      <c r="C291" s="72"/>
      <c r="D291" s="72"/>
      <c r="E291" s="72"/>
      <c r="F291" s="72"/>
      <c r="H291" s="1653" t="s">
        <v>2375</v>
      </c>
      <c r="I291" s="1653"/>
      <c r="J291" s="1653"/>
      <c r="K291" s="1653"/>
      <c r="L291" s="1653"/>
      <c r="M291" s="1653"/>
      <c r="N291" s="1653"/>
      <c r="O291" s="1653"/>
      <c r="P291" s="1653"/>
      <c r="Q291" s="1653"/>
      <c r="R291" s="1653"/>
      <c r="T291" s="72" t="s">
        <v>761</v>
      </c>
      <c r="V291" s="72"/>
      <c r="W291" s="72"/>
      <c r="X291" s="72"/>
      <c r="Y291" s="72"/>
      <c r="AA291" s="1653" t="s">
        <v>2375</v>
      </c>
      <c r="AB291" s="1653"/>
      <c r="AC291" s="1653"/>
      <c r="AD291" s="1653"/>
      <c r="AE291" s="1653"/>
      <c r="AF291" s="1653"/>
      <c r="AG291" s="1653"/>
      <c r="AH291" s="1653"/>
      <c r="AI291" s="1653"/>
      <c r="AJ291" s="1653"/>
      <c r="AK291" s="1653"/>
      <c r="BA291" s="75"/>
    </row>
    <row r="292" spans="2:53" ht="12.6">
      <c r="B292" s="72" t="s">
        <v>415</v>
      </c>
      <c r="C292" s="72"/>
      <c r="D292" s="72"/>
      <c r="E292" s="72"/>
      <c r="F292" s="72"/>
      <c r="H292" s="1653" t="s">
        <v>2340</v>
      </c>
      <c r="I292" s="1653"/>
      <c r="J292" s="1653"/>
      <c r="K292" s="1653"/>
      <c r="L292" s="1653"/>
      <c r="M292" s="1653"/>
      <c r="N292" s="1653"/>
      <c r="O292" s="1653"/>
      <c r="P292" s="1653"/>
      <c r="Q292" s="1653"/>
      <c r="R292" s="1653"/>
      <c r="T292" s="72" t="s">
        <v>415</v>
      </c>
      <c r="V292" s="72"/>
      <c r="W292" s="72"/>
      <c r="X292" s="72"/>
      <c r="Y292" s="72"/>
      <c r="AA292" s="1653" t="s">
        <v>2376</v>
      </c>
      <c r="AB292" s="1653"/>
      <c r="AC292" s="1653"/>
      <c r="AD292" s="1653"/>
      <c r="AE292" s="1653"/>
      <c r="AF292" s="1653"/>
      <c r="AG292" s="1653"/>
      <c r="AH292" s="1653"/>
      <c r="AI292" s="1653"/>
      <c r="AJ292" s="1653"/>
      <c r="AK292" s="1653"/>
      <c r="BA292" s="75"/>
    </row>
    <row r="293" spans="2:53" ht="12.75" customHeight="1">
      <c r="B293" s="72" t="s">
        <v>416</v>
      </c>
      <c r="C293" s="72"/>
      <c r="D293" s="72"/>
      <c r="E293" s="72"/>
      <c r="F293" s="72"/>
      <c r="G293" s="72"/>
      <c r="H293" s="1654" t="s">
        <v>2354</v>
      </c>
      <c r="I293" s="1655"/>
      <c r="J293" s="1655"/>
      <c r="K293" s="1655"/>
      <c r="L293" s="1655"/>
      <c r="M293" s="1655"/>
      <c r="N293" s="8" t="s">
        <v>892</v>
      </c>
      <c r="O293" s="8"/>
      <c r="P293" s="1659">
        <v>3015</v>
      </c>
      <c r="Q293" s="1659"/>
      <c r="R293" s="1659"/>
      <c r="S293" s="72"/>
      <c r="T293" s="72" t="s">
        <v>416</v>
      </c>
      <c r="V293" s="72"/>
      <c r="W293" s="72"/>
      <c r="X293" s="72"/>
      <c r="Y293" s="72"/>
      <c r="AA293" s="1654" t="s">
        <v>2354</v>
      </c>
      <c r="AB293" s="1655"/>
      <c r="AC293" s="1655"/>
      <c r="AD293" s="1655"/>
      <c r="AE293" s="1655"/>
      <c r="AF293" s="1655"/>
      <c r="AG293" s="8" t="s">
        <v>892</v>
      </c>
      <c r="AH293" s="8"/>
      <c r="AI293" s="1659">
        <v>3021</v>
      </c>
      <c r="AJ293" s="1659"/>
      <c r="AK293" s="1659"/>
      <c r="BA293" s="75"/>
    </row>
    <row r="294" spans="2:53" ht="12.6">
      <c r="B294" s="72" t="s">
        <v>417</v>
      </c>
      <c r="C294" s="72"/>
      <c r="D294" s="72"/>
      <c r="E294" s="72"/>
      <c r="F294" s="72"/>
      <c r="G294" s="72"/>
      <c r="H294" s="1656" t="s">
        <v>2355</v>
      </c>
      <c r="I294" s="1657"/>
      <c r="J294" s="1657"/>
      <c r="K294" s="1657"/>
      <c r="L294" s="1657"/>
      <c r="M294" s="1657"/>
      <c r="N294" s="74"/>
      <c r="O294" s="74"/>
      <c r="P294" s="76"/>
      <c r="Q294" s="76"/>
      <c r="R294" s="76"/>
      <c r="S294" s="72"/>
      <c r="T294" s="72" t="s">
        <v>417</v>
      </c>
      <c r="V294" s="72"/>
      <c r="W294" s="72"/>
      <c r="X294" s="72"/>
      <c r="Y294" s="72"/>
      <c r="AA294" s="1656" t="s">
        <v>2377</v>
      </c>
      <c r="AB294" s="1657"/>
      <c r="AC294" s="1657"/>
      <c r="AD294" s="1657"/>
      <c r="AE294" s="1657"/>
      <c r="AF294" s="1657"/>
      <c r="AG294" s="74"/>
      <c r="AH294" s="74"/>
      <c r="AI294" s="76"/>
      <c r="AJ294" s="76"/>
      <c r="AK294" s="76"/>
      <c r="BA294" s="75"/>
    </row>
    <row r="295" spans="2:53" ht="12.6">
      <c r="B295" s="72" t="s">
        <v>763</v>
      </c>
      <c r="C295" s="72"/>
      <c r="D295" s="72"/>
      <c r="E295" s="72"/>
      <c r="F295" s="72"/>
      <c r="G295" s="72"/>
      <c r="H295" s="1653" t="s">
        <v>2356</v>
      </c>
      <c r="I295" s="1653"/>
      <c r="J295" s="1653"/>
      <c r="K295" s="1653"/>
      <c r="L295" s="1653"/>
      <c r="M295" s="1653"/>
      <c r="N295" s="1661"/>
      <c r="O295" s="1661"/>
      <c r="P295" s="1661"/>
      <c r="Q295" s="1661"/>
      <c r="R295" s="1661"/>
      <c r="S295" s="72"/>
      <c r="T295" s="72" t="s">
        <v>763</v>
      </c>
      <c r="V295" s="72"/>
      <c r="W295" s="72"/>
      <c r="X295" s="72"/>
      <c r="Y295" s="72"/>
      <c r="AA295" s="1653" t="s">
        <v>2378</v>
      </c>
      <c r="AB295" s="1653"/>
      <c r="AC295" s="1653"/>
      <c r="AD295" s="1653"/>
      <c r="AE295" s="1653"/>
      <c r="AF295" s="1653"/>
      <c r="AG295" s="1661"/>
      <c r="AH295" s="1661"/>
      <c r="AI295" s="1661"/>
      <c r="AJ295" s="1661"/>
      <c r="AK295" s="1661"/>
      <c r="BA295" s="75"/>
    </row>
    <row r="296" spans="2:53" ht="12.6">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6">
      <c r="B297" s="72" t="s">
        <v>484</v>
      </c>
      <c r="C297" s="72"/>
      <c r="D297" s="72"/>
      <c r="E297" s="72"/>
      <c r="F297" s="72"/>
      <c r="H297" s="1661" t="s">
        <v>2379</v>
      </c>
      <c r="I297" s="1661"/>
      <c r="J297" s="1661"/>
      <c r="K297" s="1661"/>
      <c r="L297" s="1661"/>
      <c r="M297" s="1661"/>
      <c r="N297" s="1661"/>
      <c r="O297" s="1661"/>
      <c r="P297" s="1661"/>
      <c r="Q297" s="1661"/>
      <c r="R297" s="1661"/>
      <c r="T297" s="72" t="s">
        <v>40</v>
      </c>
      <c r="V297" s="72"/>
      <c r="W297" s="72"/>
      <c r="X297" s="72"/>
      <c r="Y297" s="72"/>
      <c r="AA297" s="1661" t="s">
        <v>2380</v>
      </c>
      <c r="AB297" s="1661"/>
      <c r="AC297" s="1661"/>
      <c r="AD297" s="1661"/>
      <c r="AE297" s="1661"/>
      <c r="AF297" s="1661"/>
      <c r="AG297" s="1661"/>
      <c r="AH297" s="1661"/>
      <c r="AI297" s="1661"/>
      <c r="AJ297" s="1661"/>
      <c r="AK297" s="1661"/>
      <c r="BA297" s="75"/>
    </row>
    <row r="298" spans="2:53" ht="12.6">
      <c r="B298" s="72" t="s">
        <v>760</v>
      </c>
      <c r="C298" s="72"/>
      <c r="D298" s="72"/>
      <c r="E298" s="72"/>
      <c r="F298" s="72"/>
      <c r="H298" s="1653" t="s">
        <v>2381</v>
      </c>
      <c r="I298" s="1653"/>
      <c r="J298" s="1653"/>
      <c r="K298" s="1653"/>
      <c r="L298" s="1653"/>
      <c r="M298" s="1653"/>
      <c r="N298" s="1653"/>
      <c r="O298" s="1653"/>
      <c r="P298" s="1653"/>
      <c r="Q298" s="1653"/>
      <c r="R298" s="1653"/>
      <c r="T298" s="72" t="s">
        <v>760</v>
      </c>
      <c r="V298" s="72"/>
      <c r="W298" s="72"/>
      <c r="X298" s="72"/>
      <c r="Y298" s="72"/>
      <c r="AA298" s="1653" t="s">
        <v>2352</v>
      </c>
      <c r="AB298" s="1653"/>
      <c r="AC298" s="1653"/>
      <c r="AD298" s="1653"/>
      <c r="AE298" s="1653"/>
      <c r="AF298" s="1653"/>
      <c r="AG298" s="1653"/>
      <c r="AH298" s="1653"/>
      <c r="AI298" s="1653"/>
      <c r="AJ298" s="1653"/>
      <c r="AK298" s="1653"/>
      <c r="BA298" s="75"/>
    </row>
    <row r="299" spans="2:53" ht="12.6">
      <c r="B299" s="72" t="s">
        <v>762</v>
      </c>
      <c r="C299" s="72"/>
      <c r="D299" s="72"/>
      <c r="E299" s="72"/>
      <c r="F299" s="72"/>
      <c r="H299" s="1653" t="s">
        <v>2375</v>
      </c>
      <c r="I299" s="1653"/>
      <c r="J299" s="1653"/>
      <c r="K299" s="1653"/>
      <c r="L299" s="1653"/>
      <c r="M299" s="1653"/>
      <c r="N299" s="1653"/>
      <c r="O299" s="1653"/>
      <c r="P299" s="1653"/>
      <c r="Q299" s="1653"/>
      <c r="R299" s="1653"/>
      <c r="T299" s="72" t="s">
        <v>761</v>
      </c>
      <c r="V299" s="72"/>
      <c r="W299" s="72"/>
      <c r="X299" s="72"/>
      <c r="Y299" s="72"/>
      <c r="AA299" s="1653" t="s">
        <v>2375</v>
      </c>
      <c r="AB299" s="1653"/>
      <c r="AC299" s="1653"/>
      <c r="AD299" s="1653"/>
      <c r="AE299" s="1653"/>
      <c r="AF299" s="1653"/>
      <c r="AG299" s="1653"/>
      <c r="AH299" s="1653"/>
      <c r="AI299" s="1653"/>
      <c r="AJ299" s="1653"/>
      <c r="AK299" s="1653"/>
      <c r="BA299" s="75"/>
    </row>
    <row r="300" spans="2:53" ht="12.6">
      <c r="B300" s="72" t="s">
        <v>415</v>
      </c>
      <c r="C300" s="72"/>
      <c r="D300" s="72"/>
      <c r="E300" s="72"/>
      <c r="F300" s="72"/>
      <c r="H300" s="1653" t="s">
        <v>2382</v>
      </c>
      <c r="I300" s="1653"/>
      <c r="J300" s="1653"/>
      <c r="K300" s="1653"/>
      <c r="L300" s="1653"/>
      <c r="M300" s="1653"/>
      <c r="N300" s="1653"/>
      <c r="O300" s="1653"/>
      <c r="P300" s="1653"/>
      <c r="Q300" s="1653"/>
      <c r="R300" s="1653"/>
      <c r="T300" s="72" t="s">
        <v>415</v>
      </c>
      <c r="V300" s="72"/>
      <c r="W300" s="72"/>
      <c r="X300" s="72"/>
      <c r="Y300" s="72"/>
      <c r="AA300" s="1653" t="s">
        <v>2340</v>
      </c>
      <c r="AB300" s="1653"/>
      <c r="AC300" s="1653"/>
      <c r="AD300" s="1653"/>
      <c r="AE300" s="1653"/>
      <c r="AF300" s="1653"/>
      <c r="AG300" s="1653"/>
      <c r="AH300" s="1653"/>
      <c r="AI300" s="1653"/>
      <c r="AJ300" s="1653"/>
      <c r="AK300" s="1653"/>
      <c r="BA300" s="75"/>
    </row>
    <row r="301" spans="2:53" ht="12.75" customHeight="1">
      <c r="B301" s="72" t="s">
        <v>416</v>
      </c>
      <c r="C301" s="72"/>
      <c r="D301" s="72"/>
      <c r="E301" s="72"/>
      <c r="F301" s="72"/>
      <c r="G301" s="72"/>
      <c r="H301" s="1654" t="s">
        <v>2383</v>
      </c>
      <c r="I301" s="1655"/>
      <c r="J301" s="1655"/>
      <c r="K301" s="1655"/>
      <c r="L301" s="1655"/>
      <c r="M301" s="1655"/>
      <c r="N301" s="8" t="s">
        <v>892</v>
      </c>
      <c r="O301" s="8"/>
      <c r="P301" s="1659"/>
      <c r="Q301" s="1659"/>
      <c r="R301" s="1659"/>
      <c r="S301" s="72"/>
      <c r="T301" s="72" t="s">
        <v>416</v>
      </c>
      <c r="V301" s="72"/>
      <c r="W301" s="72"/>
      <c r="X301" s="72"/>
      <c r="Y301" s="72"/>
      <c r="AA301" s="1654" t="s">
        <v>2354</v>
      </c>
      <c r="AB301" s="1655"/>
      <c r="AC301" s="1655"/>
      <c r="AD301" s="1655"/>
      <c r="AE301" s="1655"/>
      <c r="AF301" s="1655"/>
      <c r="AG301" s="8" t="s">
        <v>892</v>
      </c>
      <c r="AH301" s="8"/>
      <c r="AI301" s="1659">
        <v>3015</v>
      </c>
      <c r="AJ301" s="1659"/>
      <c r="AK301" s="1659"/>
      <c r="BA301" s="75"/>
    </row>
    <row r="302" spans="2:53" ht="12.6">
      <c r="B302" s="72" t="s">
        <v>417</v>
      </c>
      <c r="C302" s="72"/>
      <c r="D302" s="72"/>
      <c r="E302" s="72"/>
      <c r="F302" s="72"/>
      <c r="G302" s="72"/>
      <c r="H302" s="1656" t="s">
        <v>2355</v>
      </c>
      <c r="I302" s="1657"/>
      <c r="J302" s="1657"/>
      <c r="K302" s="1657"/>
      <c r="L302" s="1657"/>
      <c r="M302" s="1657"/>
      <c r="N302" s="74"/>
      <c r="O302" s="74"/>
      <c r="P302" s="76"/>
      <c r="Q302" s="76"/>
      <c r="R302" s="76"/>
      <c r="S302" s="72"/>
      <c r="T302" s="72" t="s">
        <v>417</v>
      </c>
      <c r="V302" s="72"/>
      <c r="W302" s="72"/>
      <c r="X302" s="72"/>
      <c r="Y302" s="72"/>
      <c r="AA302" s="1656" t="s">
        <v>2377</v>
      </c>
      <c r="AB302" s="1657"/>
      <c r="AC302" s="1657"/>
      <c r="AD302" s="1657"/>
      <c r="AE302" s="1657"/>
      <c r="AF302" s="1657"/>
      <c r="AG302" s="74"/>
      <c r="AH302" s="74"/>
      <c r="AI302" s="76"/>
      <c r="AJ302" s="76"/>
      <c r="AK302" s="76"/>
      <c r="BA302" s="75"/>
    </row>
    <row r="303" spans="2:53" ht="12.6">
      <c r="B303" s="72" t="s">
        <v>763</v>
      </c>
      <c r="C303" s="72"/>
      <c r="D303" s="72"/>
      <c r="E303" s="72"/>
      <c r="F303" s="72"/>
      <c r="G303" s="72"/>
      <c r="H303" s="1653" t="s">
        <v>2384</v>
      </c>
      <c r="I303" s="1653"/>
      <c r="J303" s="1653"/>
      <c r="K303" s="1653"/>
      <c r="L303" s="1653"/>
      <c r="M303" s="1653"/>
      <c r="N303" s="1661"/>
      <c r="O303" s="1661"/>
      <c r="P303" s="1661"/>
      <c r="Q303" s="1661"/>
      <c r="R303" s="1661"/>
      <c r="S303" s="72"/>
      <c r="T303" s="72" t="s">
        <v>763</v>
      </c>
      <c r="V303" s="72"/>
      <c r="W303" s="72"/>
      <c r="X303" s="72"/>
      <c r="Y303" s="72"/>
      <c r="AA303" s="1653" t="s">
        <v>2356</v>
      </c>
      <c r="AB303" s="1653"/>
      <c r="AC303" s="1653"/>
      <c r="AD303" s="1653"/>
      <c r="AE303" s="1653"/>
      <c r="AF303" s="1653"/>
      <c r="AG303" s="1661"/>
      <c r="AH303" s="1661"/>
      <c r="AI303" s="1661"/>
      <c r="AJ303" s="1661"/>
      <c r="AK303" s="1661"/>
      <c r="BA303" s="75"/>
    </row>
    <row r="304" spans="2:53" ht="12.6">
      <c r="BA304" s="75"/>
    </row>
    <row r="305" spans="1:53" ht="12.75" customHeight="1">
      <c r="B305" s="72" t="s">
        <v>764</v>
      </c>
      <c r="C305" s="72"/>
      <c r="D305" s="72"/>
      <c r="E305" s="72"/>
      <c r="F305" s="72"/>
      <c r="H305" s="1661" t="s">
        <v>2385</v>
      </c>
      <c r="I305" s="1661"/>
      <c r="J305" s="1661"/>
      <c r="K305" s="1661"/>
      <c r="L305" s="1661"/>
      <c r="M305" s="1661"/>
      <c r="N305" s="1661"/>
      <c r="O305" s="1661"/>
      <c r="P305" s="1661"/>
      <c r="Q305" s="1661"/>
      <c r="R305" s="1661"/>
      <c r="T305" s="8" t="s">
        <v>1193</v>
      </c>
      <c r="V305" s="72"/>
      <c r="W305" s="72"/>
      <c r="X305" s="72"/>
      <c r="Y305" s="72"/>
      <c r="AA305" s="1661" t="s">
        <v>2399</v>
      </c>
      <c r="AB305" s="1661"/>
      <c r="AC305" s="1661"/>
      <c r="AD305" s="1661"/>
      <c r="AE305" s="1661"/>
      <c r="AF305" s="1661"/>
      <c r="AG305" s="1661"/>
      <c r="AH305" s="1661"/>
      <c r="AI305" s="1661"/>
      <c r="AJ305" s="1661"/>
      <c r="AK305" s="1661"/>
      <c r="BA305" s="75"/>
    </row>
    <row r="306" spans="1:53" ht="12.75" customHeight="1">
      <c r="B306" s="72" t="s">
        <v>760</v>
      </c>
      <c r="C306" s="72"/>
      <c r="D306" s="72"/>
      <c r="E306" s="72"/>
      <c r="F306" s="72"/>
      <c r="H306" s="1653" t="s">
        <v>2387</v>
      </c>
      <c r="I306" s="1653"/>
      <c r="J306" s="1653"/>
      <c r="K306" s="1653"/>
      <c r="L306" s="1653"/>
      <c r="M306" s="1653"/>
      <c r="N306" s="1653"/>
      <c r="O306" s="1653"/>
      <c r="P306" s="1653"/>
      <c r="Q306" s="1653"/>
      <c r="R306" s="1653"/>
      <c r="T306" s="72" t="s">
        <v>760</v>
      </c>
      <c r="V306" s="72"/>
      <c r="W306" s="72"/>
      <c r="X306" s="72"/>
      <c r="Y306" s="72"/>
      <c r="AA306" s="1653" t="s">
        <v>2388</v>
      </c>
      <c r="AB306" s="1653"/>
      <c r="AC306" s="1653"/>
      <c r="AD306" s="1653"/>
      <c r="AE306" s="1653"/>
      <c r="AF306" s="1653"/>
      <c r="AG306" s="1653"/>
      <c r="AH306" s="1653"/>
      <c r="AI306" s="1653"/>
      <c r="AJ306" s="1653"/>
      <c r="AK306" s="1653"/>
      <c r="BA306" s="75"/>
    </row>
    <row r="307" spans="1:53" ht="12.75" customHeight="1">
      <c r="B307" s="72" t="s">
        <v>762</v>
      </c>
      <c r="C307" s="72"/>
      <c r="D307" s="72"/>
      <c r="E307" s="72"/>
      <c r="F307" s="72"/>
      <c r="H307" s="1653" t="s">
        <v>2389</v>
      </c>
      <c r="I307" s="1653"/>
      <c r="J307" s="1653"/>
      <c r="K307" s="1653"/>
      <c r="L307" s="1653"/>
      <c r="M307" s="1653"/>
      <c r="N307" s="1653"/>
      <c r="O307" s="1653"/>
      <c r="P307" s="1653"/>
      <c r="Q307" s="1653"/>
      <c r="R307" s="1653"/>
      <c r="T307" s="72" t="s">
        <v>761</v>
      </c>
      <c r="V307" s="72"/>
      <c r="W307" s="72"/>
      <c r="X307" s="72"/>
      <c r="Y307" s="72"/>
      <c r="AA307" s="1653" t="s">
        <v>2390</v>
      </c>
      <c r="AB307" s="1653"/>
      <c r="AC307" s="1653"/>
      <c r="AD307" s="1653"/>
      <c r="AE307" s="1653"/>
      <c r="AF307" s="1653"/>
      <c r="AG307" s="1653"/>
      <c r="AH307" s="1653"/>
      <c r="AI307" s="1653"/>
      <c r="AJ307" s="1653"/>
      <c r="AK307" s="1653"/>
      <c r="BA307" s="75"/>
    </row>
    <row r="308" spans="1:53" ht="12.75" customHeight="1">
      <c r="B308" s="72" t="s">
        <v>415</v>
      </c>
      <c r="C308" s="72"/>
      <c r="D308" s="72"/>
      <c r="E308" s="72"/>
      <c r="F308" s="72"/>
      <c r="H308" s="1653" t="s">
        <v>2391</v>
      </c>
      <c r="I308" s="1653"/>
      <c r="J308" s="1653"/>
      <c r="K308" s="1653"/>
      <c r="L308" s="1653"/>
      <c r="M308" s="1653"/>
      <c r="N308" s="1653"/>
      <c r="O308" s="1653"/>
      <c r="P308" s="1653"/>
      <c r="Q308" s="1653"/>
      <c r="R308" s="1653"/>
      <c r="T308" s="72" t="s">
        <v>415</v>
      </c>
      <c r="V308" s="72"/>
      <c r="W308" s="72"/>
      <c r="X308" s="72"/>
      <c r="Y308" s="72"/>
      <c r="AA308" s="1653" t="s">
        <v>2392</v>
      </c>
      <c r="AB308" s="1653"/>
      <c r="AC308" s="1653"/>
      <c r="AD308" s="1653"/>
      <c r="AE308" s="1653"/>
      <c r="AF308" s="1653"/>
      <c r="AG308" s="1653"/>
      <c r="AH308" s="1653"/>
      <c r="AI308" s="1653"/>
      <c r="AJ308" s="1653"/>
      <c r="AK308" s="1653"/>
      <c r="BA308" s="75"/>
    </row>
    <row r="309" spans="1:53" ht="12.6">
      <c r="B309" s="72" t="s">
        <v>416</v>
      </c>
      <c r="C309" s="72"/>
      <c r="D309" s="72"/>
      <c r="E309" s="72"/>
      <c r="F309" s="72"/>
      <c r="G309" s="72"/>
      <c r="H309" s="1654" t="s">
        <v>2393</v>
      </c>
      <c r="I309" s="1655"/>
      <c r="J309" s="1655"/>
      <c r="K309" s="1655"/>
      <c r="L309" s="1655"/>
      <c r="M309" s="1655"/>
      <c r="N309" s="8" t="s">
        <v>892</v>
      </c>
      <c r="O309" s="8"/>
      <c r="P309" s="1659"/>
      <c r="Q309" s="1659"/>
      <c r="R309" s="1659"/>
      <c r="S309" s="72"/>
      <c r="T309" s="72" t="s">
        <v>416</v>
      </c>
      <c r="V309" s="72"/>
      <c r="W309" s="72"/>
      <c r="X309" s="72"/>
      <c r="Y309" s="72"/>
      <c r="AA309" s="1654" t="s">
        <v>2394</v>
      </c>
      <c r="AB309" s="1655"/>
      <c r="AC309" s="1655"/>
      <c r="AD309" s="1655"/>
      <c r="AE309" s="1655"/>
      <c r="AF309" s="1655"/>
      <c r="AG309" s="8" t="s">
        <v>892</v>
      </c>
      <c r="AH309" s="8"/>
      <c r="AI309" s="1659"/>
      <c r="AJ309" s="1659"/>
      <c r="AK309" s="1659"/>
      <c r="BA309" s="75"/>
    </row>
    <row r="310" spans="1:53" ht="12.6">
      <c r="B310" s="72" t="s">
        <v>417</v>
      </c>
      <c r="C310" s="72"/>
      <c r="D310" s="72"/>
      <c r="E310" s="72"/>
      <c r="F310" s="72"/>
      <c r="G310" s="72"/>
      <c r="H310" s="1656" t="s">
        <v>2395</v>
      </c>
      <c r="I310" s="1657"/>
      <c r="J310" s="1657"/>
      <c r="K310" s="1657"/>
      <c r="L310" s="1657"/>
      <c r="M310" s="1657"/>
      <c r="N310" s="74"/>
      <c r="O310" s="74"/>
      <c r="P310" s="76"/>
      <c r="Q310" s="76"/>
      <c r="R310" s="76"/>
      <c r="S310" s="72"/>
      <c r="T310" s="72" t="s">
        <v>417</v>
      </c>
      <c r="V310" s="72"/>
      <c r="W310" s="72"/>
      <c r="X310" s="72"/>
      <c r="Y310" s="72"/>
      <c r="AA310" s="1656" t="s">
        <v>2396</v>
      </c>
      <c r="AB310" s="1657"/>
      <c r="AC310" s="1657"/>
      <c r="AD310" s="1657"/>
      <c r="AE310" s="1657"/>
      <c r="AF310" s="1657"/>
      <c r="AG310" s="74"/>
      <c r="AH310" s="74"/>
      <c r="AI310" s="76"/>
      <c r="AJ310" s="76"/>
      <c r="AK310" s="76"/>
      <c r="BA310" s="75"/>
    </row>
    <row r="311" spans="1:53" ht="12.6">
      <c r="B311" s="72" t="s">
        <v>763</v>
      </c>
      <c r="C311" s="72"/>
      <c r="D311" s="72"/>
      <c r="E311" s="72"/>
      <c r="F311" s="72"/>
      <c r="G311" s="72"/>
      <c r="H311" s="1653" t="s">
        <v>2397</v>
      </c>
      <c r="I311" s="1653"/>
      <c r="J311" s="1653"/>
      <c r="K311" s="1653"/>
      <c r="L311" s="1653"/>
      <c r="M311" s="1653"/>
      <c r="N311" s="1661"/>
      <c r="O311" s="1661"/>
      <c r="P311" s="1661"/>
      <c r="Q311" s="1661"/>
      <c r="R311" s="1661"/>
      <c r="S311" s="72"/>
      <c r="T311" s="72" t="s">
        <v>763</v>
      </c>
      <c r="V311" s="72"/>
      <c r="W311" s="72"/>
      <c r="X311" s="72"/>
      <c r="Y311" s="72"/>
      <c r="AA311" s="1653" t="s">
        <v>2398</v>
      </c>
      <c r="AB311" s="1653"/>
      <c r="AC311" s="1653"/>
      <c r="AD311" s="1653"/>
      <c r="AE311" s="1653"/>
      <c r="AF311" s="1653"/>
      <c r="AG311" s="1661"/>
      <c r="AH311" s="1661"/>
      <c r="AI311" s="1661"/>
      <c r="AJ311" s="1661"/>
      <c r="AK311" s="1661"/>
      <c r="BA311" s="75"/>
    </row>
    <row r="312" spans="1:53" ht="12.6">
      <c r="BA312" s="75"/>
    </row>
    <row r="313" spans="1:53" ht="12.6">
      <c r="B313" s="8" t="s">
        <v>1238</v>
      </c>
      <c r="C313" s="72"/>
      <c r="D313" s="72"/>
      <c r="E313" s="72"/>
      <c r="F313" s="72"/>
      <c r="H313" s="1661" t="s">
        <v>2385</v>
      </c>
      <c r="I313" s="1661"/>
      <c r="J313" s="1661"/>
      <c r="K313" s="1661"/>
      <c r="L313" s="1661"/>
      <c r="M313" s="1661"/>
      <c r="N313" s="1661"/>
      <c r="O313" s="1661"/>
      <c r="P313" s="1661"/>
      <c r="Q313" s="1661"/>
      <c r="R313" s="1661"/>
      <c r="T313" s="72" t="s">
        <v>41</v>
      </c>
      <c r="V313" s="72"/>
      <c r="W313" s="72"/>
      <c r="X313" s="72"/>
      <c r="Y313" s="72"/>
      <c r="AA313" s="1661" t="s">
        <v>2386</v>
      </c>
      <c r="AB313" s="1661"/>
      <c r="AC313" s="1661"/>
      <c r="AD313" s="1661"/>
      <c r="AE313" s="1661"/>
      <c r="AF313" s="1661"/>
      <c r="AG313" s="1661"/>
      <c r="AH313" s="1661"/>
      <c r="AI313" s="1661"/>
      <c r="AJ313" s="1661"/>
      <c r="AK313" s="1661"/>
      <c r="BA313" s="75"/>
    </row>
    <row r="314" spans="1:53" ht="12.6">
      <c r="B314" s="72" t="s">
        <v>760</v>
      </c>
      <c r="C314" s="72"/>
      <c r="D314" s="72"/>
      <c r="E314" s="72"/>
      <c r="F314" s="72"/>
      <c r="H314" s="1653" t="s">
        <v>2387</v>
      </c>
      <c r="I314" s="1653"/>
      <c r="J314" s="1653"/>
      <c r="K314" s="1653"/>
      <c r="L314" s="1653"/>
      <c r="M314" s="1653"/>
      <c r="N314" s="1653"/>
      <c r="O314" s="1653"/>
      <c r="P314" s="1653"/>
      <c r="Q314" s="1653"/>
      <c r="R314" s="1653"/>
      <c r="T314" s="72" t="s">
        <v>760</v>
      </c>
      <c r="V314" s="72"/>
      <c r="W314" s="72"/>
      <c r="X314" s="72"/>
      <c r="Y314" s="72"/>
      <c r="AA314" s="1653" t="s">
        <v>2400</v>
      </c>
      <c r="AB314" s="1653"/>
      <c r="AC314" s="1653"/>
      <c r="AD314" s="1653"/>
      <c r="AE314" s="1653"/>
      <c r="AF314" s="1653"/>
      <c r="AG314" s="1653"/>
      <c r="AH314" s="1653"/>
      <c r="AI314" s="1653"/>
      <c r="AJ314" s="1653"/>
      <c r="AK314" s="1653"/>
      <c r="BA314" s="75"/>
    </row>
    <row r="315" spans="1:53" ht="12.75" customHeight="1">
      <c r="B315" s="72" t="s">
        <v>762</v>
      </c>
      <c r="C315" s="72"/>
      <c r="D315" s="72"/>
      <c r="E315" s="72"/>
      <c r="F315" s="72"/>
      <c r="H315" s="1653" t="s">
        <v>2389</v>
      </c>
      <c r="I315" s="1653"/>
      <c r="J315" s="1653"/>
      <c r="K315" s="1653"/>
      <c r="L315" s="1653"/>
      <c r="M315" s="1653"/>
      <c r="N315" s="1653"/>
      <c r="O315" s="1653"/>
      <c r="P315" s="1653"/>
      <c r="Q315" s="1653"/>
      <c r="R315" s="1653"/>
      <c r="T315" s="72" t="s">
        <v>761</v>
      </c>
      <c r="V315" s="72"/>
      <c r="W315" s="72"/>
      <c r="X315" s="72"/>
      <c r="Y315" s="72"/>
      <c r="AA315" s="1653" t="s">
        <v>2401</v>
      </c>
      <c r="AB315" s="1653"/>
      <c r="AC315" s="1653"/>
      <c r="AD315" s="1653"/>
      <c r="AE315" s="1653"/>
      <c r="AF315" s="1653"/>
      <c r="AG315" s="1653"/>
      <c r="AH315" s="1653"/>
      <c r="AI315" s="1653"/>
      <c r="AJ315" s="1653"/>
      <c r="AK315" s="1653"/>
      <c r="BA315" s="75"/>
    </row>
    <row r="316" spans="1:53" ht="12.75" customHeight="1">
      <c r="A316" s="50"/>
      <c r="B316" s="72" t="s">
        <v>415</v>
      </c>
      <c r="C316" s="72"/>
      <c r="D316" s="72"/>
      <c r="E316" s="72"/>
      <c r="F316" s="72"/>
      <c r="H316" s="1653" t="s">
        <v>2391</v>
      </c>
      <c r="I316" s="1653"/>
      <c r="J316" s="1653"/>
      <c r="K316" s="1653"/>
      <c r="L316" s="1653"/>
      <c r="M316" s="1653"/>
      <c r="N316" s="1653"/>
      <c r="O316" s="1653"/>
      <c r="P316" s="1653"/>
      <c r="Q316" s="1653"/>
      <c r="R316" s="1653"/>
      <c r="T316" s="72" t="s">
        <v>415</v>
      </c>
      <c r="V316" s="72"/>
      <c r="W316" s="72"/>
      <c r="X316" s="72"/>
      <c r="Y316" s="72"/>
      <c r="AA316" s="1653" t="s">
        <v>2402</v>
      </c>
      <c r="AB316" s="1653"/>
      <c r="AC316" s="1653"/>
      <c r="AD316" s="1653"/>
      <c r="AE316" s="1653"/>
      <c r="AF316" s="1653"/>
      <c r="AG316" s="1653"/>
      <c r="AH316" s="1653"/>
      <c r="AI316" s="1653"/>
      <c r="AJ316" s="1653"/>
      <c r="AK316" s="1653"/>
      <c r="AL316" s="50"/>
      <c r="BA316" s="75"/>
    </row>
    <row r="317" spans="1:53" ht="12.75" customHeight="1">
      <c r="A317" s="50"/>
      <c r="B317" s="72" t="s">
        <v>416</v>
      </c>
      <c r="C317" s="72"/>
      <c r="D317" s="72"/>
      <c r="E317" s="72"/>
      <c r="F317" s="72"/>
      <c r="G317" s="72"/>
      <c r="H317" s="1654" t="s">
        <v>2393</v>
      </c>
      <c r="I317" s="1655"/>
      <c r="J317" s="1655"/>
      <c r="K317" s="1655"/>
      <c r="L317" s="1655"/>
      <c r="M317" s="1655"/>
      <c r="N317" s="8" t="s">
        <v>892</v>
      </c>
      <c r="O317" s="8"/>
      <c r="P317" s="1659"/>
      <c r="Q317" s="1659"/>
      <c r="R317" s="1659"/>
      <c r="S317" s="72"/>
      <c r="T317" s="72" t="s">
        <v>416</v>
      </c>
      <c r="V317" s="72"/>
      <c r="W317" s="72"/>
      <c r="X317" s="72"/>
      <c r="Y317" s="72"/>
      <c r="AA317" s="1654" t="s">
        <v>2403</v>
      </c>
      <c r="AB317" s="1655"/>
      <c r="AC317" s="1655"/>
      <c r="AD317" s="1655"/>
      <c r="AE317" s="1655"/>
      <c r="AF317" s="1655"/>
      <c r="AG317" s="8" t="s">
        <v>892</v>
      </c>
      <c r="AH317" s="8"/>
      <c r="AI317" s="1659"/>
      <c r="AJ317" s="1659"/>
      <c r="AK317" s="1659"/>
      <c r="AL317" s="50"/>
      <c r="BA317" s="75"/>
    </row>
    <row r="318" spans="1:53" ht="12.75" customHeight="1">
      <c r="A318" s="50"/>
      <c r="B318" s="72" t="s">
        <v>417</v>
      </c>
      <c r="C318" s="72"/>
      <c r="D318" s="72"/>
      <c r="E318" s="72"/>
      <c r="F318" s="72"/>
      <c r="G318" s="72"/>
      <c r="H318" s="1656" t="s">
        <v>2395</v>
      </c>
      <c r="I318" s="1657"/>
      <c r="J318" s="1657"/>
      <c r="K318" s="1657"/>
      <c r="L318" s="1657"/>
      <c r="M318" s="1657"/>
      <c r="N318" s="74"/>
      <c r="O318" s="74"/>
      <c r="P318" s="76"/>
      <c r="Q318" s="76"/>
      <c r="R318" s="76"/>
      <c r="S318" s="72"/>
      <c r="T318" s="72" t="s">
        <v>417</v>
      </c>
      <c r="V318" s="72"/>
      <c r="W318" s="72"/>
      <c r="X318" s="72"/>
      <c r="Y318" s="72"/>
      <c r="AA318" s="1656" t="s">
        <v>2404</v>
      </c>
      <c r="AB318" s="1657"/>
      <c r="AC318" s="1657"/>
      <c r="AD318" s="1657"/>
      <c r="AE318" s="1657"/>
      <c r="AF318" s="1657"/>
      <c r="AG318" s="74"/>
      <c r="AH318" s="74"/>
      <c r="AI318" s="76"/>
      <c r="AJ318" s="76"/>
      <c r="AK318" s="76"/>
      <c r="AL318" s="50"/>
      <c r="BA318" s="75"/>
    </row>
    <row r="319" spans="1:53" ht="12.6">
      <c r="A319" s="50"/>
      <c r="B319" s="72" t="s">
        <v>763</v>
      </c>
      <c r="C319" s="72"/>
      <c r="D319" s="72"/>
      <c r="E319" s="72"/>
      <c r="F319" s="72"/>
      <c r="G319" s="72"/>
      <c r="H319" s="1653" t="s">
        <v>2397</v>
      </c>
      <c r="I319" s="1653"/>
      <c r="J319" s="1653"/>
      <c r="K319" s="1653"/>
      <c r="L319" s="1653"/>
      <c r="M319" s="1653"/>
      <c r="N319" s="1661"/>
      <c r="O319" s="1661"/>
      <c r="P319" s="1661"/>
      <c r="Q319" s="1661"/>
      <c r="R319" s="1661"/>
      <c r="S319" s="72"/>
      <c r="T319" s="72" t="s">
        <v>763</v>
      </c>
      <c r="V319" s="72"/>
      <c r="W319" s="72"/>
      <c r="X319" s="72"/>
      <c r="Y319" s="72"/>
      <c r="AA319" s="1653" t="s">
        <v>2405</v>
      </c>
      <c r="AB319" s="1653"/>
      <c r="AC319" s="1653"/>
      <c r="AD319" s="1653"/>
      <c r="AE319" s="1653"/>
      <c r="AF319" s="1653"/>
      <c r="AG319" s="1661"/>
      <c r="AH319" s="1661"/>
      <c r="AI319" s="1661"/>
      <c r="AJ319" s="1661"/>
      <c r="AK319" s="1661"/>
      <c r="AL319" s="50"/>
      <c r="BA319" s="75"/>
    </row>
    <row r="320" spans="1:53" ht="12.6">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6">
      <c r="A321" s="50"/>
      <c r="B321" s="8" t="s">
        <v>1239</v>
      </c>
      <c r="C321" s="72"/>
      <c r="D321" s="72"/>
      <c r="E321" s="72"/>
      <c r="F321" s="72"/>
      <c r="H321" s="1661" t="s">
        <v>2406</v>
      </c>
      <c r="I321" s="1661"/>
      <c r="J321" s="1661"/>
      <c r="K321" s="1661"/>
      <c r="L321" s="1661"/>
      <c r="M321" s="1661"/>
      <c r="N321" s="1661"/>
      <c r="O321" s="1661"/>
      <c r="P321" s="1661"/>
      <c r="Q321" s="1661"/>
      <c r="R321" s="1661"/>
      <c r="T321" s="72" t="s">
        <v>42</v>
      </c>
      <c r="V321" s="72"/>
      <c r="W321" s="72"/>
      <c r="X321" s="72"/>
      <c r="Y321" s="72"/>
      <c r="AA321" s="1661" t="s">
        <v>2407</v>
      </c>
      <c r="AB321" s="1661"/>
      <c r="AC321" s="1661"/>
      <c r="AD321" s="1661"/>
      <c r="AE321" s="1661"/>
      <c r="AF321" s="1661"/>
      <c r="AG321" s="1661"/>
      <c r="AH321" s="1661"/>
      <c r="AI321" s="1661"/>
      <c r="AJ321" s="1661"/>
      <c r="AK321" s="1661"/>
      <c r="AL321" s="50"/>
      <c r="BA321" s="75"/>
    </row>
    <row r="322" spans="1:53" ht="12.6">
      <c r="A322" s="50"/>
      <c r="B322" s="72" t="s">
        <v>760</v>
      </c>
      <c r="C322" s="72"/>
      <c r="D322" s="72"/>
      <c r="E322" s="72"/>
      <c r="F322" s="72"/>
      <c r="H322" s="1653"/>
      <c r="I322" s="1653"/>
      <c r="J322" s="1653"/>
      <c r="K322" s="1653"/>
      <c r="L322" s="1653"/>
      <c r="M322" s="1653"/>
      <c r="N322" s="1653"/>
      <c r="O322" s="1653"/>
      <c r="P322" s="1653"/>
      <c r="Q322" s="1653"/>
      <c r="R322" s="1653"/>
      <c r="T322" s="72" t="s">
        <v>760</v>
      </c>
      <c r="V322" s="72"/>
      <c r="W322" s="72"/>
      <c r="X322" s="72"/>
      <c r="Y322" s="72"/>
      <c r="AA322" s="1653" t="s">
        <v>2408</v>
      </c>
      <c r="AB322" s="1653"/>
      <c r="AC322" s="1653"/>
      <c r="AD322" s="1653"/>
      <c r="AE322" s="1653"/>
      <c r="AF322" s="1653"/>
      <c r="AG322" s="1653"/>
      <c r="AH322" s="1653"/>
      <c r="AI322" s="1653"/>
      <c r="AJ322" s="1653"/>
      <c r="AK322" s="1653"/>
      <c r="AL322" s="50"/>
      <c r="BA322" s="75"/>
    </row>
    <row r="323" spans="1:53" ht="12.6">
      <c r="A323" s="50"/>
      <c r="B323" s="72" t="s">
        <v>762</v>
      </c>
      <c r="C323" s="72"/>
      <c r="D323" s="72"/>
      <c r="E323" s="72"/>
      <c r="F323" s="72"/>
      <c r="H323" s="1653"/>
      <c r="I323" s="1653"/>
      <c r="J323" s="1653"/>
      <c r="K323" s="1653"/>
      <c r="L323" s="1653"/>
      <c r="M323" s="1653"/>
      <c r="N323" s="1653"/>
      <c r="O323" s="1653"/>
      <c r="P323" s="1653"/>
      <c r="Q323" s="1653"/>
      <c r="R323" s="1653"/>
      <c r="T323" s="72" t="s">
        <v>761</v>
      </c>
      <c r="V323" s="72"/>
      <c r="W323" s="72"/>
      <c r="X323" s="72"/>
      <c r="Y323" s="72"/>
      <c r="AA323" s="1653" t="s">
        <v>2409</v>
      </c>
      <c r="AB323" s="1653"/>
      <c r="AC323" s="1653"/>
      <c r="AD323" s="1653"/>
      <c r="AE323" s="1653"/>
      <c r="AF323" s="1653"/>
      <c r="AG323" s="1653"/>
      <c r="AH323" s="1653"/>
      <c r="AI323" s="1653"/>
      <c r="AJ323" s="1653"/>
      <c r="AK323" s="1653"/>
      <c r="AL323" s="50"/>
      <c r="BA323" s="75"/>
    </row>
    <row r="324" spans="1:53" ht="12.6">
      <c r="A324" s="50"/>
      <c r="B324" s="72" t="s">
        <v>415</v>
      </c>
      <c r="C324" s="72"/>
      <c r="D324" s="72"/>
      <c r="E324" s="72"/>
      <c r="F324" s="72"/>
      <c r="H324" s="1653"/>
      <c r="I324" s="1653"/>
      <c r="J324" s="1653"/>
      <c r="K324" s="1653"/>
      <c r="L324" s="1653"/>
      <c r="M324" s="1653"/>
      <c r="N324" s="1653"/>
      <c r="O324" s="1653"/>
      <c r="P324" s="1653"/>
      <c r="Q324" s="1653"/>
      <c r="R324" s="1653"/>
      <c r="T324" s="72" t="s">
        <v>415</v>
      </c>
      <c r="V324" s="72"/>
      <c r="W324" s="72"/>
      <c r="X324" s="72"/>
      <c r="Y324" s="72"/>
      <c r="AA324" s="1653" t="s">
        <v>2410</v>
      </c>
      <c r="AB324" s="1653"/>
      <c r="AC324" s="1653"/>
      <c r="AD324" s="1653"/>
      <c r="AE324" s="1653"/>
      <c r="AF324" s="1653"/>
      <c r="AG324" s="1653"/>
      <c r="AH324" s="1653"/>
      <c r="AI324" s="1653"/>
      <c r="AJ324" s="1653"/>
      <c r="AK324" s="1653"/>
      <c r="AL324" s="50"/>
      <c r="BA324" s="75"/>
    </row>
    <row r="325" spans="1:53" ht="12.6">
      <c r="A325" s="50"/>
      <c r="B325" s="72" t="s">
        <v>416</v>
      </c>
      <c r="C325" s="72"/>
      <c r="D325" s="72"/>
      <c r="E325" s="72"/>
      <c r="F325" s="72"/>
      <c r="G325" s="72"/>
      <c r="H325" s="1655"/>
      <c r="I325" s="1655"/>
      <c r="J325" s="1655"/>
      <c r="K325" s="1655"/>
      <c r="L325" s="1655"/>
      <c r="M325" s="1655"/>
      <c r="N325" s="8" t="s">
        <v>892</v>
      </c>
      <c r="O325" s="8"/>
      <c r="P325" s="1659"/>
      <c r="Q325" s="1659"/>
      <c r="R325" s="1659"/>
      <c r="S325" s="72"/>
      <c r="T325" s="72" t="s">
        <v>416</v>
      </c>
      <c r="V325" s="72"/>
      <c r="W325" s="72"/>
      <c r="X325" s="72"/>
      <c r="Y325" s="72"/>
      <c r="AA325" s="1654" t="s">
        <v>2411</v>
      </c>
      <c r="AB325" s="1655"/>
      <c r="AC325" s="1655"/>
      <c r="AD325" s="1655"/>
      <c r="AE325" s="1655"/>
      <c r="AF325" s="1655"/>
      <c r="AG325" s="8" t="s">
        <v>892</v>
      </c>
      <c r="AH325" s="8"/>
      <c r="AI325" s="1659"/>
      <c r="AJ325" s="1659"/>
      <c r="AK325" s="1659"/>
      <c r="AL325" s="50"/>
      <c r="BA325" s="75"/>
    </row>
    <row r="326" spans="1:53" ht="12.6">
      <c r="A326" s="50"/>
      <c r="B326" s="72" t="s">
        <v>417</v>
      </c>
      <c r="C326" s="72"/>
      <c r="D326" s="72"/>
      <c r="E326" s="72"/>
      <c r="F326" s="72"/>
      <c r="G326" s="72"/>
      <c r="H326" s="1657"/>
      <c r="I326" s="1657"/>
      <c r="J326" s="1657"/>
      <c r="K326" s="1657"/>
      <c r="L326" s="1657"/>
      <c r="M326" s="1657"/>
      <c r="N326" s="74"/>
      <c r="O326" s="74"/>
      <c r="P326" s="76"/>
      <c r="Q326" s="76"/>
      <c r="R326" s="76"/>
      <c r="S326" s="72"/>
      <c r="T326" s="72" t="s">
        <v>417</v>
      </c>
      <c r="V326" s="72"/>
      <c r="W326" s="72"/>
      <c r="X326" s="72"/>
      <c r="Y326" s="72"/>
      <c r="AA326" s="1657"/>
      <c r="AB326" s="1657"/>
      <c r="AC326" s="1657"/>
      <c r="AD326" s="1657"/>
      <c r="AE326" s="1657"/>
      <c r="AF326" s="1657"/>
      <c r="AG326" s="74"/>
      <c r="AH326" s="74"/>
      <c r="AI326" s="76"/>
      <c r="AJ326" s="76"/>
      <c r="AK326" s="76"/>
      <c r="AL326" s="50"/>
      <c r="BA326" s="75"/>
    </row>
    <row r="327" spans="1:53" ht="12.6">
      <c r="A327" s="50"/>
      <c r="B327" s="72" t="s">
        <v>763</v>
      </c>
      <c r="C327" s="72"/>
      <c r="D327" s="72"/>
      <c r="E327" s="72"/>
      <c r="F327" s="72"/>
      <c r="G327" s="72"/>
      <c r="H327" s="1653"/>
      <c r="I327" s="1653"/>
      <c r="J327" s="1653"/>
      <c r="K327" s="1653"/>
      <c r="L327" s="1653"/>
      <c r="M327" s="1653"/>
      <c r="N327" s="1661"/>
      <c r="O327" s="1661"/>
      <c r="P327" s="1661"/>
      <c r="Q327" s="1661"/>
      <c r="R327" s="1661"/>
      <c r="S327" s="72"/>
      <c r="T327" s="72" t="s">
        <v>763</v>
      </c>
      <c r="V327" s="72"/>
      <c r="W327" s="72"/>
      <c r="X327" s="72"/>
      <c r="Y327" s="72"/>
      <c r="AA327" s="1653" t="s">
        <v>2412</v>
      </c>
      <c r="AB327" s="1653"/>
      <c r="AC327" s="1653"/>
      <c r="AD327" s="1653"/>
      <c r="AE327" s="1653"/>
      <c r="AF327" s="1653"/>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6">
      <c r="B329" s="72" t="s">
        <v>43</v>
      </c>
      <c r="C329" s="72"/>
      <c r="D329" s="72"/>
      <c r="E329" s="72"/>
      <c r="F329" s="72"/>
      <c r="H329" s="1661" t="s">
        <v>2406</v>
      </c>
      <c r="I329" s="1661"/>
      <c r="J329" s="1661"/>
      <c r="K329" s="1661"/>
      <c r="L329" s="1661"/>
      <c r="M329" s="1661"/>
      <c r="N329" s="1661"/>
      <c r="O329" s="1661"/>
      <c r="P329" s="1661"/>
      <c r="Q329" s="1661"/>
      <c r="R329" s="1661"/>
      <c r="S329" s="701"/>
      <c r="T329" s="630" t="s">
        <v>1194</v>
      </c>
      <c r="V329" s="72"/>
      <c r="W329" s="72"/>
      <c r="X329" s="72"/>
      <c r="Y329" s="72"/>
      <c r="AA329" s="1661" t="s">
        <v>2413</v>
      </c>
      <c r="AB329" s="1661"/>
      <c r="AC329" s="1661"/>
      <c r="AD329" s="1661"/>
      <c r="AE329" s="1661"/>
      <c r="AF329" s="1661"/>
      <c r="AG329" s="1661"/>
      <c r="AH329" s="1661"/>
      <c r="AI329" s="1661"/>
      <c r="AJ329" s="1661"/>
      <c r="AK329" s="1661"/>
      <c r="AL329" s="50"/>
      <c r="BA329" s="75"/>
    </row>
    <row r="330" spans="1:53" ht="12.6">
      <c r="B330" s="72" t="s">
        <v>760</v>
      </c>
      <c r="C330" s="72"/>
      <c r="D330" s="72"/>
      <c r="E330" s="72"/>
      <c r="F330" s="72"/>
      <c r="H330" s="1653"/>
      <c r="I330" s="1653"/>
      <c r="J330" s="1653"/>
      <c r="K330" s="1653"/>
      <c r="L330" s="1653"/>
      <c r="M330" s="1653"/>
      <c r="N330" s="1653"/>
      <c r="O330" s="1653"/>
      <c r="P330" s="1653"/>
      <c r="Q330" s="1653"/>
      <c r="R330" s="1653"/>
      <c r="S330" s="701"/>
      <c r="T330" s="72" t="s">
        <v>760</v>
      </c>
      <c r="V330" s="72"/>
      <c r="W330" s="72"/>
      <c r="X330" s="72"/>
      <c r="Y330" s="72"/>
      <c r="AA330" s="1653" t="s">
        <v>2414</v>
      </c>
      <c r="AB330" s="1653"/>
      <c r="AC330" s="1653"/>
      <c r="AD330" s="1653"/>
      <c r="AE330" s="1653"/>
      <c r="AF330" s="1653"/>
      <c r="AG330" s="1653"/>
      <c r="AH330" s="1653"/>
      <c r="AI330" s="1653"/>
      <c r="AJ330" s="1653"/>
      <c r="AK330" s="1653"/>
      <c r="AL330" s="50"/>
      <c r="BA330" s="75"/>
    </row>
    <row r="331" spans="1:53" ht="12.6">
      <c r="B331" s="72" t="s">
        <v>762</v>
      </c>
      <c r="C331" s="72"/>
      <c r="D331" s="72"/>
      <c r="E331" s="72"/>
      <c r="F331" s="72"/>
      <c r="G331" s="72"/>
      <c r="H331" s="1653"/>
      <c r="I331" s="1653"/>
      <c r="J331" s="1653"/>
      <c r="K331" s="1653"/>
      <c r="L331" s="1653"/>
      <c r="M331" s="1653"/>
      <c r="N331" s="1653"/>
      <c r="O331" s="1653"/>
      <c r="P331" s="1653"/>
      <c r="Q331" s="1653"/>
      <c r="R331" s="1653"/>
      <c r="S331" s="701"/>
      <c r="T331" s="72" t="s">
        <v>761</v>
      </c>
      <c r="V331" s="72"/>
      <c r="W331" s="72"/>
      <c r="X331" s="72"/>
      <c r="Y331" s="72"/>
      <c r="AA331" s="1653" t="s">
        <v>2415</v>
      </c>
      <c r="AB331" s="1653"/>
      <c r="AC331" s="1653"/>
      <c r="AD331" s="1653"/>
      <c r="AE331" s="1653"/>
      <c r="AF331" s="1653"/>
      <c r="AG331" s="1653"/>
      <c r="AH331" s="1653"/>
      <c r="AI331" s="1653"/>
      <c r="AJ331" s="1653"/>
      <c r="AK331" s="1653"/>
      <c r="AL331" s="50"/>
      <c r="BA331" s="75"/>
    </row>
    <row r="332" spans="1:53" ht="12.6">
      <c r="A332" s="50"/>
      <c r="B332" s="72" t="s">
        <v>415</v>
      </c>
      <c r="C332" s="72"/>
      <c r="D332" s="72"/>
      <c r="E332" s="72"/>
      <c r="F332" s="72"/>
      <c r="H332" s="1653"/>
      <c r="I332" s="1653"/>
      <c r="J332" s="1653"/>
      <c r="K332" s="1653"/>
      <c r="L332" s="1653"/>
      <c r="M332" s="1653"/>
      <c r="N332" s="1653"/>
      <c r="O332" s="1653"/>
      <c r="P332" s="1653"/>
      <c r="Q332" s="1653"/>
      <c r="R332" s="1653"/>
      <c r="S332" s="701"/>
      <c r="T332" s="72" t="s">
        <v>415</v>
      </c>
      <c r="V332" s="72"/>
      <c r="W332" s="72"/>
      <c r="X332" s="72"/>
      <c r="Y332" s="72"/>
      <c r="AA332" s="1653" t="s">
        <v>2416</v>
      </c>
      <c r="AB332" s="1653"/>
      <c r="AC332" s="1653"/>
      <c r="AD332" s="1653"/>
      <c r="AE332" s="1653"/>
      <c r="AF332" s="1653"/>
      <c r="AG332" s="1653"/>
      <c r="AH332" s="1653"/>
      <c r="AI332" s="1653"/>
      <c r="AJ332" s="1653"/>
      <c r="AK332" s="1653"/>
      <c r="AL332" s="50"/>
      <c r="BA332" s="75"/>
    </row>
    <row r="333" spans="1:53" ht="12.6">
      <c r="A333" s="50"/>
      <c r="B333" s="72" t="s">
        <v>416</v>
      </c>
      <c r="C333" s="72"/>
      <c r="D333" s="72"/>
      <c r="E333" s="72"/>
      <c r="F333" s="72"/>
      <c r="G333" s="72"/>
      <c r="H333" s="1655"/>
      <c r="I333" s="1655"/>
      <c r="J333" s="1655"/>
      <c r="K333" s="1655"/>
      <c r="L333" s="1655"/>
      <c r="M333" s="1655"/>
      <c r="N333" s="8" t="s">
        <v>892</v>
      </c>
      <c r="O333" s="8"/>
      <c r="P333" s="1659"/>
      <c r="Q333" s="1659"/>
      <c r="R333" s="1659"/>
      <c r="S333" s="3"/>
      <c r="T333" s="72" t="s">
        <v>416</v>
      </c>
      <c r="V333" s="72"/>
      <c r="W333" s="72"/>
      <c r="X333" s="72"/>
      <c r="Y333" s="72"/>
      <c r="AA333" s="1654" t="s">
        <v>2417</v>
      </c>
      <c r="AB333" s="1655"/>
      <c r="AC333" s="1655"/>
      <c r="AD333" s="1655"/>
      <c r="AE333" s="1655"/>
      <c r="AF333" s="1655"/>
      <c r="AG333" s="8" t="s">
        <v>892</v>
      </c>
      <c r="AH333" s="8"/>
      <c r="AI333" s="1659"/>
      <c r="AJ333" s="1659"/>
      <c r="AK333" s="1659"/>
      <c r="AL333" s="50"/>
      <c r="BA333" s="75"/>
    </row>
    <row r="334" spans="1:53" ht="12.6">
      <c r="A334" s="50"/>
      <c r="B334" s="72" t="s">
        <v>417</v>
      </c>
      <c r="C334" s="72"/>
      <c r="D334" s="72"/>
      <c r="E334" s="72"/>
      <c r="F334" s="72"/>
      <c r="G334" s="72"/>
      <c r="H334" s="1657"/>
      <c r="I334" s="1657"/>
      <c r="J334" s="1657"/>
      <c r="K334" s="1657"/>
      <c r="L334" s="1657"/>
      <c r="M334" s="1657"/>
      <c r="N334" s="74"/>
      <c r="O334" s="74"/>
      <c r="P334" s="76"/>
      <c r="Q334" s="76"/>
      <c r="R334" s="76"/>
      <c r="S334" s="3"/>
      <c r="T334" s="72" t="s">
        <v>417</v>
      </c>
      <c r="V334" s="72"/>
      <c r="W334" s="72"/>
      <c r="X334" s="72"/>
      <c r="Y334" s="72"/>
      <c r="AA334" s="1656" t="s">
        <v>2418</v>
      </c>
      <c r="AB334" s="1657"/>
      <c r="AC334" s="1657"/>
      <c r="AD334" s="1657"/>
      <c r="AE334" s="1657"/>
      <c r="AF334" s="1657"/>
      <c r="AG334" s="74"/>
      <c r="AH334" s="74"/>
      <c r="AI334" s="76"/>
      <c r="AJ334" s="76"/>
      <c r="AK334" s="76"/>
      <c r="AL334" s="50"/>
      <c r="BA334" s="75"/>
    </row>
    <row r="335" spans="1:53" ht="12.6">
      <c r="A335" s="50"/>
      <c r="B335" s="72" t="s">
        <v>763</v>
      </c>
      <c r="C335" s="72"/>
      <c r="D335" s="72"/>
      <c r="E335" s="72"/>
      <c r="F335" s="72"/>
      <c r="G335" s="72"/>
      <c r="H335" s="1653"/>
      <c r="I335" s="1653"/>
      <c r="J335" s="1653"/>
      <c r="K335" s="1653"/>
      <c r="L335" s="1653"/>
      <c r="M335" s="1653"/>
      <c r="N335" s="1661"/>
      <c r="O335" s="1661"/>
      <c r="P335" s="1661"/>
      <c r="Q335" s="1661"/>
      <c r="R335" s="1661"/>
      <c r="S335" s="701"/>
      <c r="T335" s="72" t="s">
        <v>763</v>
      </c>
      <c r="V335" s="72"/>
      <c r="W335" s="72"/>
      <c r="X335" s="72"/>
      <c r="Y335" s="72"/>
      <c r="AA335" s="1653" t="s">
        <v>2419</v>
      </c>
      <c r="AB335" s="1653"/>
      <c r="AC335" s="1653"/>
      <c r="AD335" s="1653"/>
      <c r="AE335" s="1653"/>
      <c r="AF335" s="1653"/>
      <c r="AG335" s="1661"/>
      <c r="AH335" s="1661"/>
      <c r="AI335" s="1661"/>
      <c r="AJ335" s="1661"/>
      <c r="AK335" s="1661"/>
      <c r="AL335" s="50"/>
      <c r="BA335" s="75"/>
    </row>
    <row r="336" spans="1:53" ht="12.6">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t="s">
        <v>2406</v>
      </c>
      <c r="I337" s="1661"/>
      <c r="J337" s="1661"/>
      <c r="K337" s="1661"/>
      <c r="L337" s="1661"/>
      <c r="M337" s="1661"/>
      <c r="N337" s="1661"/>
      <c r="O337" s="1661"/>
      <c r="P337" s="1661"/>
      <c r="Q337" s="1661"/>
      <c r="R337" s="1661"/>
      <c r="T337" s="578" t="s">
        <v>1237</v>
      </c>
      <c r="AA337" s="1661" t="s">
        <v>2406</v>
      </c>
      <c r="AB337" s="1661"/>
      <c r="AC337" s="1661"/>
      <c r="AD337" s="1661"/>
      <c r="AE337" s="1661"/>
      <c r="AF337" s="1661"/>
      <c r="AG337" s="1661"/>
      <c r="AH337" s="1661"/>
      <c r="AI337" s="1661"/>
      <c r="AJ337" s="1661"/>
      <c r="AK337" s="1661"/>
      <c r="AL337" s="50"/>
      <c r="BA337" s="75"/>
    </row>
    <row r="338" spans="1:53" ht="12.6">
      <c r="A338" s="50"/>
      <c r="B338" s="578" t="s">
        <v>760</v>
      </c>
      <c r="C338" s="578"/>
      <c r="D338" s="578"/>
      <c r="E338" s="578"/>
      <c r="F338" s="578"/>
      <c r="G338" s="579"/>
      <c r="H338" s="1653"/>
      <c r="I338" s="1653"/>
      <c r="J338" s="1653"/>
      <c r="K338" s="1653"/>
      <c r="L338" s="1653"/>
      <c r="M338" s="1653"/>
      <c r="N338" s="1653"/>
      <c r="O338" s="1653"/>
      <c r="P338" s="1653"/>
      <c r="Q338" s="1653"/>
      <c r="R338" s="1653"/>
      <c r="T338" s="72" t="s">
        <v>760</v>
      </c>
      <c r="AA338" s="1653"/>
      <c r="AB338" s="1653"/>
      <c r="AC338" s="1653"/>
      <c r="AD338" s="1653"/>
      <c r="AE338" s="1653"/>
      <c r="AF338" s="1653"/>
      <c r="AG338" s="1653"/>
      <c r="AH338" s="1653"/>
      <c r="AI338" s="1653"/>
      <c r="AJ338" s="1653"/>
      <c r="AK338" s="1653"/>
      <c r="AL338" s="50"/>
      <c r="BA338" s="75"/>
    </row>
    <row r="339" spans="1:53" ht="12.6">
      <c r="A339" s="50"/>
      <c r="B339" s="578" t="s">
        <v>762</v>
      </c>
      <c r="C339" s="578"/>
      <c r="D339" s="578"/>
      <c r="E339" s="578"/>
      <c r="F339" s="578"/>
      <c r="G339" s="578"/>
      <c r="H339" s="1653"/>
      <c r="I339" s="1653"/>
      <c r="J339" s="1653"/>
      <c r="K339" s="1653"/>
      <c r="L339" s="1653"/>
      <c r="M339" s="1653"/>
      <c r="N339" s="1653"/>
      <c r="O339" s="1653"/>
      <c r="P339" s="1653"/>
      <c r="Q339" s="1653"/>
      <c r="R339" s="1653"/>
      <c r="T339" s="72" t="s">
        <v>761</v>
      </c>
      <c r="AA339" s="1653"/>
      <c r="AB339" s="1653"/>
      <c r="AC339" s="1653"/>
      <c r="AD339" s="1653"/>
      <c r="AE339" s="1653"/>
      <c r="AF339" s="1653"/>
      <c r="AG339" s="1653"/>
      <c r="AH339" s="1653"/>
      <c r="AI339" s="1653"/>
      <c r="AJ339" s="1653"/>
      <c r="AK339" s="1653"/>
      <c r="AL339" s="50"/>
    </row>
    <row r="340" spans="1:53" ht="12.6">
      <c r="A340" s="50"/>
      <c r="B340" s="578" t="s">
        <v>415</v>
      </c>
      <c r="C340" s="578"/>
      <c r="D340" s="578"/>
      <c r="E340" s="578"/>
      <c r="F340" s="578"/>
      <c r="G340" s="579"/>
      <c r="H340" s="1653"/>
      <c r="I340" s="1653"/>
      <c r="J340" s="1653"/>
      <c r="K340" s="1653"/>
      <c r="L340" s="1653"/>
      <c r="M340" s="1653"/>
      <c r="N340" s="1653"/>
      <c r="O340" s="1653"/>
      <c r="P340" s="1653"/>
      <c r="Q340" s="1653"/>
      <c r="R340" s="1653"/>
      <c r="T340" s="72" t="s">
        <v>415</v>
      </c>
      <c r="AA340" s="1653"/>
      <c r="AB340" s="1653"/>
      <c r="AC340" s="1653"/>
      <c r="AD340" s="1653"/>
      <c r="AE340" s="1653"/>
      <c r="AF340" s="1653"/>
      <c r="AG340" s="1653"/>
      <c r="AH340" s="1653"/>
      <c r="AI340" s="1653"/>
      <c r="AJ340" s="1653"/>
      <c r="AK340" s="1653"/>
      <c r="AL340" s="50"/>
    </row>
    <row r="341" spans="1:53" ht="12.6">
      <c r="A341" s="50"/>
      <c r="B341" s="578" t="s">
        <v>416</v>
      </c>
      <c r="C341" s="578"/>
      <c r="D341" s="578"/>
      <c r="E341" s="578"/>
      <c r="F341" s="578"/>
      <c r="G341" s="578"/>
      <c r="H341" s="1655"/>
      <c r="I341" s="1655"/>
      <c r="J341" s="1655"/>
      <c r="K341" s="1655"/>
      <c r="L341" s="1655"/>
      <c r="M341" s="1655"/>
      <c r="N341" s="8" t="s">
        <v>892</v>
      </c>
      <c r="O341" s="8"/>
      <c r="P341" s="1659"/>
      <c r="Q341" s="1659"/>
      <c r="R341" s="1659"/>
      <c r="T341" s="72" t="s">
        <v>416</v>
      </c>
      <c r="AA341" s="1655"/>
      <c r="AB341" s="1655"/>
      <c r="AC341" s="1655"/>
      <c r="AD341" s="1655"/>
      <c r="AE341" s="1655"/>
      <c r="AF341" s="1655"/>
      <c r="AG341" s="8" t="s">
        <v>892</v>
      </c>
      <c r="AH341" s="8"/>
      <c r="AI341" s="1659"/>
      <c r="AJ341" s="1659"/>
      <c r="AK341" s="1659"/>
      <c r="AL341" s="50"/>
    </row>
    <row r="342" spans="1:53" ht="12.6">
      <c r="A342" s="50"/>
      <c r="B342" s="578" t="s">
        <v>417</v>
      </c>
      <c r="C342" s="578"/>
      <c r="D342" s="578"/>
      <c r="E342" s="578"/>
      <c r="F342" s="578"/>
      <c r="G342" s="578"/>
      <c r="H342" s="1657"/>
      <c r="I342" s="1657"/>
      <c r="J342" s="1657"/>
      <c r="K342" s="1657"/>
      <c r="L342" s="1657"/>
      <c r="M342" s="1657"/>
      <c r="N342" s="74"/>
      <c r="O342" s="74"/>
      <c r="P342" s="76"/>
      <c r="Q342" s="76"/>
      <c r="R342" s="76"/>
      <c r="T342" s="72" t="s">
        <v>417</v>
      </c>
      <c r="AA342" s="1657"/>
      <c r="AB342" s="1657"/>
      <c r="AC342" s="1657"/>
      <c r="AD342" s="1657"/>
      <c r="AE342" s="1657"/>
      <c r="AF342" s="1657"/>
      <c r="AG342" s="74"/>
      <c r="AH342" s="74"/>
      <c r="AI342" s="76"/>
      <c r="AJ342" s="76"/>
      <c r="AK342" s="76"/>
      <c r="AL342" s="50"/>
    </row>
    <row r="343" spans="1:53" ht="12.75" customHeight="1">
      <c r="A343" s="50"/>
      <c r="B343" s="578" t="s">
        <v>763</v>
      </c>
      <c r="C343" s="578"/>
      <c r="D343" s="578"/>
      <c r="E343" s="578"/>
      <c r="F343" s="578"/>
      <c r="G343" s="578"/>
      <c r="H343" s="1653"/>
      <c r="I343" s="1653"/>
      <c r="J343" s="1653"/>
      <c r="K343" s="1653"/>
      <c r="L343" s="1653"/>
      <c r="M343" s="1653"/>
      <c r="N343" s="1661"/>
      <c r="O343" s="1661"/>
      <c r="P343" s="1661"/>
      <c r="Q343" s="1661"/>
      <c r="R343" s="1661"/>
      <c r="T343" s="72" t="s">
        <v>763</v>
      </c>
      <c r="AA343" s="1653"/>
      <c r="AB343" s="1653"/>
      <c r="AC343" s="1653"/>
      <c r="AD343" s="1653"/>
      <c r="AE343" s="1653"/>
      <c r="AF343" s="1653"/>
      <c r="AG343" s="1661"/>
      <c r="AH343" s="1661"/>
      <c r="AI343" s="1661"/>
      <c r="AJ343" s="1661"/>
      <c r="AK343" s="1661"/>
      <c r="AL343" s="50"/>
    </row>
    <row r="344" spans="1:53" ht="12.6">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6">
      <c r="A345" s="1664" t="s">
        <v>542</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1"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
      <c r="A348" s="63" t="s">
        <v>714</v>
      </c>
      <c r="B348" s="63"/>
      <c r="C348" s="63" t="s">
        <v>586</v>
      </c>
      <c r="K348" s="35"/>
      <c r="L348" s="35"/>
    </row>
    <row r="349" spans="1:53" ht="12.75" customHeight="1">
      <c r="D349" s="16" t="s">
        <v>45</v>
      </c>
      <c r="M349" s="1658" t="s">
        <v>119</v>
      </c>
      <c r="N349" s="1658"/>
      <c r="P349" s="16" t="s">
        <v>2173</v>
      </c>
      <c r="AJ349" s="1658" t="s">
        <v>527</v>
      </c>
      <c r="AK349" s="1658"/>
    </row>
    <row r="350" spans="1:53" ht="12.75" customHeight="1">
      <c r="D350" s="72" t="s">
        <v>2087</v>
      </c>
      <c r="M350" s="1658" t="s">
        <v>135</v>
      </c>
      <c r="N350" s="1658"/>
      <c r="P350" s="72" t="s">
        <v>2174</v>
      </c>
      <c r="AJ350" s="1660" t="s">
        <v>135</v>
      </c>
      <c r="AK350" s="1660"/>
    </row>
    <row r="351" spans="1:53" ht="12.75" customHeight="1">
      <c r="D351" s="16" t="s">
        <v>348</v>
      </c>
      <c r="M351" s="1658" t="s">
        <v>135</v>
      </c>
      <c r="N351" s="1658"/>
      <c r="P351" s="16" t="s">
        <v>2175</v>
      </c>
      <c r="AJ351" s="1658" t="s">
        <v>135</v>
      </c>
      <c r="AK351" s="1658"/>
    </row>
    <row r="352" spans="1:53" ht="12.75" customHeight="1">
      <c r="D352" s="16" t="s">
        <v>349</v>
      </c>
      <c r="M352" s="1658" t="s">
        <v>135</v>
      </c>
      <c r="N352" s="1658"/>
      <c r="Q352" s="72"/>
    </row>
    <row r="353" spans="1:57" ht="12.75" customHeight="1">
      <c r="P353" s="579"/>
      <c r="Q353" s="578"/>
      <c r="R353" s="579"/>
    </row>
    <row r="354" spans="1:57" ht="12.75" customHeight="1"/>
    <row r="355" spans="1:57" ht="13.1">
      <c r="A355" s="63" t="s">
        <v>8</v>
      </c>
      <c r="B355" s="63"/>
      <c r="C355" s="63" t="s">
        <v>959</v>
      </c>
      <c r="D355" s="63"/>
    </row>
    <row r="356" spans="1:57" ht="12.6">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8" t="s">
        <v>135</v>
      </c>
      <c r="O357" s="1658"/>
      <c r="P357" s="83"/>
      <c r="Q357" s="83"/>
      <c r="R357" s="83"/>
      <c r="S357" s="83"/>
      <c r="T357" s="83"/>
      <c r="U357" s="83"/>
      <c r="V357" s="83"/>
      <c r="W357" s="83"/>
      <c r="X357" s="83"/>
      <c r="Y357" s="84"/>
      <c r="Z357" s="84"/>
      <c r="AC357" s="83"/>
      <c r="AD357" s="83"/>
      <c r="AE357" s="83"/>
    </row>
    <row r="358" spans="1:57" ht="12.6">
      <c r="E358" s="16" t="s">
        <v>795</v>
      </c>
      <c r="Y358" s="1658" t="s">
        <v>135</v>
      </c>
      <c r="Z358" s="1658"/>
    </row>
    <row r="359" spans="1:57" ht="12.6">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6">
      <c r="D360" s="16" t="s">
        <v>977</v>
      </c>
      <c r="E360" s="83"/>
      <c r="F360" s="83"/>
      <c r="G360" s="83"/>
      <c r="H360" s="83"/>
      <c r="I360" s="83"/>
      <c r="J360" s="1658" t="s">
        <v>135</v>
      </c>
      <c r="K360" s="1658"/>
      <c r="L360" s="83"/>
      <c r="M360" s="83"/>
      <c r="N360" s="83"/>
      <c r="O360" s="83"/>
      <c r="P360" s="83"/>
      <c r="Q360" s="83"/>
      <c r="R360" s="83"/>
      <c r="S360" s="83"/>
      <c r="T360" s="83"/>
      <c r="U360" s="83"/>
      <c r="V360" s="83"/>
      <c r="W360" s="83"/>
      <c r="X360" s="83"/>
      <c r="Y360" s="83"/>
      <c r="Z360" s="83"/>
      <c r="AC360" s="83"/>
      <c r="AD360" s="83"/>
      <c r="AE360" s="83"/>
    </row>
    <row r="361" spans="1:57" ht="12.6">
      <c r="E361" s="1550" t="s">
        <v>350</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135</v>
      </c>
    </row>
    <row r="362" spans="1:57" ht="12.6">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527</v>
      </c>
    </row>
    <row r="363" spans="1:57" ht="12.75" customHeight="1">
      <c r="E363" s="8" t="s">
        <v>651</v>
      </c>
      <c r="F363" s="8"/>
      <c r="G363" s="8"/>
      <c r="H363" s="8"/>
      <c r="I363" s="8"/>
      <c r="J363" s="8"/>
      <c r="K363" s="8"/>
      <c r="L363" s="8"/>
      <c r="N363" s="1849"/>
      <c r="O363" s="1849"/>
      <c r="P363" s="1849"/>
      <c r="Q363" s="1849"/>
      <c r="R363" s="8"/>
      <c r="U363" s="8" t="s">
        <v>652</v>
      </c>
      <c r="V363" s="8"/>
      <c r="W363" s="8"/>
      <c r="X363" s="8"/>
      <c r="Y363" s="8"/>
      <c r="Z363" s="8"/>
      <c r="AA363" s="8"/>
      <c r="AB363" s="8"/>
      <c r="AC363" s="1849"/>
      <c r="AD363" s="1849"/>
      <c r="AE363" s="1849"/>
      <c r="AF363" s="1849"/>
      <c r="BE363" s="16" t="s">
        <v>119</v>
      </c>
    </row>
    <row r="364" spans="1:57" ht="12.6">
      <c r="E364" s="8" t="s">
        <v>653</v>
      </c>
      <c r="F364" s="8"/>
      <c r="G364" s="8"/>
      <c r="H364" s="8"/>
      <c r="I364" s="8"/>
      <c r="J364" s="8"/>
      <c r="K364" s="8"/>
      <c r="L364" s="8"/>
      <c r="N364" s="1849"/>
      <c r="O364" s="1849"/>
      <c r="P364" s="1849"/>
      <c r="Q364" s="1849"/>
      <c r="R364" s="8"/>
      <c r="U364" s="8" t="s">
        <v>654</v>
      </c>
      <c r="V364" s="8"/>
      <c r="W364" s="8"/>
      <c r="X364" s="8"/>
      <c r="Y364" s="8"/>
      <c r="Z364" s="8"/>
      <c r="AA364" s="8"/>
      <c r="AB364" s="8"/>
      <c r="AC364" s="1849"/>
      <c r="AD364" s="1849"/>
      <c r="AE364" s="1849"/>
      <c r="AF364" s="1849"/>
    </row>
    <row r="365" spans="1:57" ht="12.75" customHeight="1">
      <c r="E365" s="8" t="s">
        <v>69</v>
      </c>
      <c r="F365" s="8"/>
      <c r="G365" s="8"/>
      <c r="H365" s="8"/>
      <c r="I365" s="8"/>
      <c r="J365" s="8"/>
      <c r="K365" s="8"/>
      <c r="L365" s="8"/>
      <c r="N365" s="1849"/>
      <c r="O365" s="1849"/>
      <c r="P365" s="1849"/>
      <c r="Q365" s="1849"/>
      <c r="R365" s="8"/>
      <c r="V365" s="8"/>
      <c r="W365" s="8"/>
      <c r="X365" s="8"/>
      <c r="Y365" s="8"/>
      <c r="Z365" s="8"/>
      <c r="AA365" s="8"/>
      <c r="AB365" s="8"/>
    </row>
    <row r="366" spans="1:57" ht="12.6">
      <c r="E366" s="8" t="s">
        <v>70</v>
      </c>
      <c r="F366" s="8"/>
      <c r="G366" s="8"/>
      <c r="H366" s="8"/>
      <c r="I366" s="8"/>
      <c r="J366" s="8"/>
      <c r="K366" s="8"/>
      <c r="L366" s="8"/>
      <c r="N366" s="1846"/>
      <c r="O366" s="1846"/>
      <c r="P366" s="1846"/>
      <c r="Q366" s="1846"/>
      <c r="R366" s="1846"/>
      <c r="S366" s="1846"/>
      <c r="T366" s="1846"/>
      <c r="U366" s="1846"/>
      <c r="V366" s="1846"/>
      <c r="W366" s="1846"/>
      <c r="X366" s="1846"/>
      <c r="Y366" s="1846"/>
      <c r="Z366" s="1846"/>
      <c r="AA366" s="1846"/>
      <c r="AB366" s="1846"/>
      <c r="AC366" s="1846"/>
      <c r="AD366" s="1846"/>
      <c r="AE366" s="1846"/>
      <c r="AF366" s="1846"/>
    </row>
    <row r="367" spans="1:57" ht="12.6">
      <c r="E367" s="8"/>
      <c r="F367" s="8"/>
      <c r="G367" s="8"/>
      <c r="H367" s="8"/>
      <c r="I367" s="8"/>
      <c r="J367" s="8"/>
      <c r="K367" s="8"/>
      <c r="L367" s="8"/>
      <c r="N367" s="1847"/>
      <c r="O367" s="1847"/>
      <c r="P367" s="1847"/>
      <c r="Q367" s="1847"/>
      <c r="R367" s="1847"/>
      <c r="S367" s="1847"/>
      <c r="T367" s="1847"/>
      <c r="U367" s="1847"/>
      <c r="V367" s="1847"/>
      <c r="W367" s="1847"/>
      <c r="X367" s="1847"/>
      <c r="Y367" s="1847"/>
      <c r="Z367" s="1847"/>
      <c r="AA367" s="1847"/>
      <c r="AB367" s="1847"/>
      <c r="AC367" s="1847"/>
      <c r="AD367" s="1847"/>
      <c r="AE367" s="1847"/>
      <c r="AF367" s="1847"/>
    </row>
    <row r="368" spans="1:57" ht="12.6">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53"/>
      <c r="T370" s="1853"/>
      <c r="U370" s="758" t="s">
        <v>258</v>
      </c>
      <c r="V370" s="1853"/>
      <c r="W370" s="1853"/>
      <c r="X370" s="579"/>
      <c r="Y370" s="759" t="s">
        <v>256</v>
      </c>
      <c r="Z370" s="579"/>
      <c r="AA370" s="759"/>
      <c r="AB370" s="759" t="s">
        <v>257</v>
      </c>
      <c r="AC370" s="579"/>
      <c r="AD370" s="1853"/>
      <c r="AE370" s="1853"/>
      <c r="AF370" s="758" t="s">
        <v>258</v>
      </c>
      <c r="AG370" s="1853"/>
      <c r="AH370" s="1853"/>
    </row>
    <row r="371" spans="1:36" ht="12.75" customHeight="1">
      <c r="D371" s="579"/>
      <c r="E371" s="578" t="s">
        <v>1336</v>
      </c>
      <c r="F371" s="578"/>
      <c r="G371" s="578"/>
      <c r="H371" s="578"/>
      <c r="I371" s="578"/>
      <c r="J371" s="578"/>
      <c r="K371" s="578"/>
      <c r="L371" s="578"/>
      <c r="M371" s="579"/>
      <c r="N371" s="1853"/>
      <c r="O371" s="1853"/>
      <c r="P371" s="185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8" t="s">
        <v>135</v>
      </c>
      <c r="AH372" s="1848"/>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8" t="s">
        <v>135</v>
      </c>
      <c r="AH373" s="1848"/>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48" t="s">
        <v>135</v>
      </c>
      <c r="W374" s="1848"/>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8" t="s">
        <v>135</v>
      </c>
      <c r="W375" s="1848"/>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1" t="s">
        <v>2420</v>
      </c>
      <c r="K378" s="1661"/>
      <c r="L378" s="1661"/>
      <c r="M378" s="1661"/>
      <c r="N378" s="1661"/>
      <c r="O378" s="1661"/>
      <c r="P378" s="1661"/>
      <c r="Q378" s="1661"/>
      <c r="R378" s="1661"/>
      <c r="S378" s="1661"/>
      <c r="T378" s="1661"/>
      <c r="U378" s="1661"/>
      <c r="V378" s="18" t="s">
        <v>772</v>
      </c>
      <c r="W378" s="18"/>
      <c r="X378" s="18"/>
      <c r="Y378" s="18"/>
      <c r="Z378" s="18"/>
      <c r="AA378" s="18"/>
      <c r="AB378" s="18"/>
      <c r="AC378" s="1661" t="s">
        <v>2421</v>
      </c>
      <c r="AD378" s="1661"/>
      <c r="AE378" s="1661"/>
      <c r="AF378" s="1661"/>
      <c r="AG378" s="1661"/>
      <c r="AH378" s="1661"/>
      <c r="AI378" s="1661"/>
      <c r="AJ378" s="1661"/>
    </row>
    <row r="379" spans="1:36" ht="12.75" customHeight="1">
      <c r="D379" s="72" t="s">
        <v>2176</v>
      </c>
      <c r="J379" s="1653" t="s">
        <v>2422</v>
      </c>
      <c r="K379" s="1653"/>
      <c r="L379" s="1653"/>
      <c r="M379" s="1653"/>
      <c r="N379" s="1653"/>
      <c r="O379" s="1653"/>
      <c r="P379" s="1653"/>
      <c r="Q379" s="1653"/>
      <c r="R379" s="1653"/>
      <c r="S379" s="1653"/>
      <c r="T379" s="1653"/>
      <c r="U379" s="1653"/>
      <c r="V379" s="72" t="s">
        <v>2176</v>
      </c>
      <c r="W379" s="18"/>
      <c r="X379" s="18"/>
      <c r="Y379" s="18"/>
      <c r="Z379" s="18"/>
      <c r="AA379" s="18"/>
      <c r="AB379" s="18"/>
      <c r="AC379" s="1661" t="s">
        <v>2423</v>
      </c>
      <c r="AD379" s="1661"/>
      <c r="AE379" s="1661"/>
      <c r="AF379" s="1661"/>
      <c r="AG379" s="1661"/>
      <c r="AH379" s="1661"/>
      <c r="AI379" s="1661"/>
      <c r="AJ379" s="1661"/>
    </row>
    <row r="380" spans="1:36" ht="12.75" customHeight="1">
      <c r="D380" s="72" t="s">
        <v>599</v>
      </c>
      <c r="J380" s="1653" t="s">
        <v>2424</v>
      </c>
      <c r="K380" s="1653"/>
      <c r="L380" s="1653"/>
      <c r="M380" s="1653"/>
      <c r="N380" s="1653"/>
      <c r="O380" s="1653"/>
      <c r="P380" s="1653"/>
      <c r="Q380" s="1653"/>
      <c r="R380" s="1653"/>
      <c r="S380" s="1653"/>
      <c r="T380" s="1653"/>
      <c r="U380" s="1653"/>
      <c r="V380" s="72" t="s">
        <v>599</v>
      </c>
      <c r="W380" s="18"/>
      <c r="X380" s="18"/>
      <c r="Y380" s="18"/>
      <c r="Z380" s="18"/>
      <c r="AA380" s="18"/>
      <c r="AB380" s="18"/>
      <c r="AC380" s="1661" t="s">
        <v>2424</v>
      </c>
      <c r="AD380" s="1661"/>
      <c r="AE380" s="1661"/>
      <c r="AF380" s="1661"/>
      <c r="AG380" s="1661"/>
      <c r="AH380" s="1661"/>
      <c r="AI380" s="1661"/>
      <c r="AJ380" s="1661"/>
    </row>
    <row r="381" spans="1:36" ht="12.75" customHeight="1">
      <c r="D381" s="727" t="s">
        <v>2177</v>
      </c>
      <c r="I381" s="102"/>
      <c r="J381" s="1712" t="s">
        <v>2425</v>
      </c>
      <c r="K381" s="1712"/>
      <c r="L381" s="1712"/>
      <c r="M381" s="1712"/>
      <c r="N381" s="1712"/>
      <c r="O381" s="1712"/>
      <c r="P381" s="1712"/>
      <c r="Q381" s="1712"/>
      <c r="R381" s="1712"/>
      <c r="S381" s="1712"/>
      <c r="T381" s="1712"/>
      <c r="U381" s="1712"/>
      <c r="V381" s="1661" t="s">
        <v>2426</v>
      </c>
      <c r="W381" s="1661"/>
      <c r="X381" s="1661"/>
      <c r="Y381" s="1661"/>
      <c r="Z381" s="1661"/>
      <c r="AA381" s="1661"/>
      <c r="AB381" s="1661"/>
      <c r="AC381" s="1661"/>
      <c r="AD381" s="1661"/>
      <c r="AE381" s="1661"/>
      <c r="AF381" s="1661"/>
      <c r="AG381" s="1661"/>
      <c r="AH381" s="1661"/>
      <c r="AI381" s="1661"/>
      <c r="AJ381" s="1661"/>
    </row>
    <row r="382" spans="1:36" ht="12.75" customHeight="1">
      <c r="D382" s="16" t="s">
        <v>610</v>
      </c>
      <c r="Q382" s="1998">
        <v>44462</v>
      </c>
      <c r="R382" s="1998"/>
      <c r="S382" s="1998"/>
      <c r="T382" s="1998"/>
      <c r="U382" s="1998"/>
      <c r="V382" s="16" t="s">
        <v>184</v>
      </c>
      <c r="AI382" s="1658" t="s">
        <v>527</v>
      </c>
      <c r="AJ382" s="1658"/>
    </row>
    <row r="383" spans="1:36" ht="12.75" customHeight="1">
      <c r="D383" s="16" t="s">
        <v>611</v>
      </c>
      <c r="Q383" s="1751">
        <v>44915</v>
      </c>
      <c r="R383" s="1865"/>
      <c r="S383" s="1865"/>
      <c r="T383" s="1865"/>
      <c r="U383" s="1865"/>
      <c r="W383" s="43" t="s">
        <v>20</v>
      </c>
      <c r="AG383" s="1866"/>
      <c r="AH383" s="1866"/>
      <c r="AI383" s="1866"/>
      <c r="AJ383" s="1866"/>
    </row>
    <row r="384" spans="1:36" ht="12.75" customHeight="1">
      <c r="D384" s="16" t="s">
        <v>301</v>
      </c>
      <c r="Q384" s="1690">
        <v>492000</v>
      </c>
      <c r="R384" s="1690"/>
      <c r="S384" s="1690"/>
      <c r="T384" s="1690"/>
      <c r="U384" s="1690"/>
      <c r="V384" s="72" t="s">
        <v>2178</v>
      </c>
      <c r="AG384" s="1808">
        <v>44896</v>
      </c>
      <c r="AH384" s="1808"/>
      <c r="AI384" s="1808"/>
      <c r="AJ384" s="1808"/>
    </row>
    <row r="385" spans="4:36" ht="12.75" customHeight="1">
      <c r="D385" s="16" t="s">
        <v>416</v>
      </c>
      <c r="I385" s="1654" t="s">
        <v>2427</v>
      </c>
      <c r="J385" s="1654"/>
      <c r="K385" s="1654"/>
      <c r="L385" s="1654"/>
      <c r="M385" s="1654"/>
      <c r="N385" s="1654"/>
      <c r="Q385" s="326" t="s">
        <v>892</v>
      </c>
      <c r="S385" s="2092"/>
      <c r="T385" s="2092"/>
      <c r="U385" s="2092"/>
      <c r="V385" s="16" t="s">
        <v>19</v>
      </c>
      <c r="AI385" s="1658" t="s">
        <v>527</v>
      </c>
      <c r="AJ385" s="1658"/>
    </row>
    <row r="386" spans="4:36" s="50" customFormat="1" ht="12.75" customHeight="1">
      <c r="D386" s="16" t="s">
        <v>185</v>
      </c>
      <c r="E386" s="16"/>
      <c r="F386" s="16"/>
      <c r="G386" s="16"/>
      <c r="H386" s="16"/>
      <c r="I386" s="16"/>
      <c r="J386" s="16"/>
      <c r="K386" s="16"/>
      <c r="L386" s="16"/>
      <c r="M386" s="16"/>
      <c r="N386" s="16"/>
      <c r="O386" s="16"/>
      <c r="P386" s="16"/>
      <c r="Q386" s="1740">
        <v>1.0000000000000001E-5</v>
      </c>
      <c r="R386" s="1740"/>
      <c r="S386" s="1740"/>
      <c r="T386" s="1740"/>
      <c r="U386" s="1740"/>
      <c r="V386" s="16" t="s">
        <v>186</v>
      </c>
      <c r="W386" s="16"/>
      <c r="X386" s="16"/>
      <c r="Y386" s="16"/>
      <c r="Z386" s="16"/>
      <c r="AA386" s="16"/>
      <c r="AB386" s="16"/>
      <c r="AC386" s="16"/>
      <c r="AD386" s="16"/>
      <c r="AE386" s="16"/>
      <c r="AF386" s="16"/>
      <c r="AG386" s="1866">
        <v>9.9999999999999995E-7</v>
      </c>
      <c r="AH386" s="1866"/>
      <c r="AI386" s="1866"/>
      <c r="AJ386" s="1866"/>
    </row>
    <row r="387" spans="4:36" s="50" customFormat="1" ht="12.75" customHeight="1">
      <c r="D387" s="16" t="s">
        <v>29</v>
      </c>
      <c r="E387" s="16"/>
      <c r="F387" s="16"/>
      <c r="G387" s="16"/>
      <c r="H387" s="16"/>
      <c r="I387" s="16"/>
      <c r="J387" s="16"/>
      <c r="K387" s="16"/>
      <c r="L387" s="16"/>
      <c r="M387" s="16"/>
      <c r="N387" s="16"/>
      <c r="O387" s="16"/>
      <c r="P387" s="16"/>
      <c r="Q387" s="2093">
        <v>9.9999999999999995E-8</v>
      </c>
      <c r="R387" s="2093"/>
      <c r="S387" s="2093"/>
      <c r="T387" s="2093"/>
      <c r="U387" s="2093"/>
      <c r="V387" s="16" t="s">
        <v>1841</v>
      </c>
      <c r="W387" s="16"/>
      <c r="X387" s="16"/>
      <c r="Y387" s="16"/>
      <c r="Z387" s="16"/>
      <c r="AA387" s="16"/>
      <c r="AB387" s="16"/>
      <c r="AC387" s="16"/>
      <c r="AD387" s="16"/>
      <c r="AE387" s="16"/>
      <c r="AF387" s="16"/>
      <c r="AG387" s="1866"/>
      <c r="AH387" s="1866"/>
      <c r="AI387" s="1866"/>
      <c r="AJ387" s="1866"/>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6"/>
      <c r="AH388" s="1866"/>
      <c r="AI388" s="1866"/>
      <c r="AJ388" s="18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527</v>
      </c>
      <c r="AJ390" s="1658"/>
    </row>
    <row r="391" spans="4:36" s="50" customFormat="1" ht="12.75" customHeight="1">
      <c r="D391" s="72" t="s">
        <v>2181</v>
      </c>
      <c r="E391" s="16"/>
      <c r="F391" s="16"/>
      <c r="G391" s="16"/>
      <c r="H391" s="16"/>
      <c r="I391" s="16"/>
      <c r="J391" s="16"/>
      <c r="K391" s="16"/>
      <c r="L391" s="16"/>
      <c r="M391" s="16"/>
      <c r="N391" s="16"/>
      <c r="O391" s="16"/>
      <c r="P391" s="16"/>
      <c r="Q391" s="16"/>
      <c r="R391" s="16"/>
      <c r="S391" s="16"/>
      <c r="T391" s="2090"/>
      <c r="U391" s="2090"/>
      <c r="V391" s="2090"/>
      <c r="W391" s="2090"/>
      <c r="X391" s="2090"/>
      <c r="Y391" s="2090"/>
      <c r="Z391" s="2090"/>
      <c r="AA391" s="2090"/>
      <c r="AB391" s="2090"/>
      <c r="AC391" s="2090"/>
      <c r="AD391" s="2090"/>
      <c r="AE391" s="2090"/>
      <c r="AF391" s="2090"/>
      <c r="AG391" s="2090"/>
      <c r="AH391" s="2090"/>
      <c r="AI391" s="2090"/>
      <c r="AJ391" s="2090"/>
    </row>
    <row r="392" spans="4:36" s="50" customFormat="1" ht="12.75" customHeight="1">
      <c r="D392" s="72" t="s">
        <v>2182</v>
      </c>
      <c r="E392" s="16"/>
      <c r="F392" s="16"/>
      <c r="G392" s="16"/>
      <c r="H392" s="16"/>
      <c r="I392" s="16"/>
      <c r="J392" s="16"/>
      <c r="K392" s="16"/>
      <c r="L392" s="16"/>
      <c r="M392" s="16"/>
      <c r="N392" s="16"/>
      <c r="O392" s="16"/>
      <c r="P392" s="16"/>
      <c r="Q392" s="16"/>
      <c r="R392" s="16"/>
      <c r="S392" s="16"/>
      <c r="T392" s="2090"/>
      <c r="U392" s="2090"/>
      <c r="V392" s="2090"/>
      <c r="W392" s="2090"/>
      <c r="X392" s="2090"/>
      <c r="Y392" s="2090"/>
      <c r="Z392" s="2090"/>
      <c r="AA392" s="2090"/>
      <c r="AB392" s="2090"/>
      <c r="AC392" s="2090"/>
      <c r="AD392" s="2090"/>
      <c r="AE392" s="2090"/>
      <c r="AF392" s="2090"/>
      <c r="AG392" s="2090"/>
      <c r="AH392" s="2090"/>
      <c r="AI392" s="2090"/>
      <c r="AJ392" s="209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0" t="s">
        <v>527</v>
      </c>
      <c r="T394" s="2090"/>
      <c r="U394" s="2090"/>
      <c r="V394" s="727" t="s">
        <v>2184</v>
      </c>
      <c r="W394" s="16"/>
      <c r="X394" s="16"/>
      <c r="Y394" s="16"/>
      <c r="Z394" s="16"/>
      <c r="AA394" s="16"/>
      <c r="AG394" s="2094"/>
      <c r="AH394" s="2094"/>
      <c r="AI394" s="2094"/>
      <c r="AJ394" s="2094"/>
    </row>
    <row r="395" spans="4:36" s="50" customFormat="1" ht="12.75" customHeight="1">
      <c r="D395" s="72" t="s">
        <v>2185</v>
      </c>
      <c r="E395" s="16"/>
      <c r="F395" s="16"/>
      <c r="G395" s="16"/>
      <c r="H395" s="16"/>
      <c r="I395" s="16"/>
      <c r="J395" s="16"/>
      <c r="K395" s="16"/>
      <c r="L395" s="16"/>
      <c r="M395" s="16"/>
      <c r="N395" s="16"/>
      <c r="O395" s="16"/>
      <c r="P395" s="16"/>
      <c r="Q395" s="16"/>
      <c r="R395" s="16"/>
      <c r="S395" s="2090" t="s">
        <v>135</v>
      </c>
      <c r="T395" s="2090"/>
      <c r="U395" s="2090"/>
      <c r="V395" s="727" t="s">
        <v>2186</v>
      </c>
      <c r="W395" s="16"/>
      <c r="X395" s="16"/>
      <c r="Y395" s="16"/>
      <c r="Z395" s="16"/>
      <c r="AA395" s="16"/>
      <c r="AE395" s="2095"/>
      <c r="AF395" s="2095"/>
      <c r="AG395" s="2095"/>
      <c r="AH395" s="2095"/>
      <c r="AI395" s="2095"/>
      <c r="AJ395" s="2095"/>
    </row>
    <row r="396" spans="4:36" s="50" customFormat="1" ht="12.75" customHeight="1">
      <c r="D396" s="72" t="s">
        <v>2187</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2188</v>
      </c>
      <c r="E397" s="16"/>
      <c r="F397" s="16"/>
      <c r="G397" s="16"/>
      <c r="H397" s="16"/>
      <c r="I397" s="16"/>
      <c r="J397" s="16"/>
      <c r="K397" s="1826"/>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1999"/>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44" t="s">
        <v>2191</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1899</v>
      </c>
      <c r="I403" s="1678" t="s">
        <v>2428</v>
      </c>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row>
    <row r="404" spans="1:36" ht="12.75" customHeight="1">
      <c r="C404" s="35"/>
      <c r="E404" s="16" t="s">
        <v>930</v>
      </c>
      <c r="R404" s="1658" t="s">
        <v>135</v>
      </c>
      <c r="S404" s="1658"/>
      <c r="T404" s="16" t="s">
        <v>318</v>
      </c>
      <c r="AD404" s="1849">
        <v>0</v>
      </c>
      <c r="AE404" s="1849"/>
    </row>
    <row r="405" spans="1:36" ht="12.75" customHeight="1">
      <c r="C405" s="35"/>
      <c r="E405" s="16" t="s">
        <v>931</v>
      </c>
      <c r="R405" s="1658" t="s">
        <v>119</v>
      </c>
      <c r="S405" s="1658"/>
      <c r="T405" s="16" t="s">
        <v>318</v>
      </c>
      <c r="AD405" s="1849">
        <v>2</v>
      </c>
      <c r="AE405" s="1849"/>
    </row>
    <row r="406" spans="1:36" ht="12.75" customHeight="1">
      <c r="E406" s="16" t="s">
        <v>932</v>
      </c>
      <c r="S406" s="1658" t="s">
        <v>135</v>
      </c>
      <c r="T406" s="1658"/>
    </row>
    <row r="407" spans="1:36" ht="12.75" customHeight="1">
      <c r="E407" s="16" t="s">
        <v>310</v>
      </c>
      <c r="H407" s="1971" t="s">
        <v>618</v>
      </c>
      <c r="I407" s="1971"/>
      <c r="J407" s="1971"/>
      <c r="K407" s="1971"/>
      <c r="L407" s="1971"/>
      <c r="M407" s="1971"/>
      <c r="N407" s="1971"/>
      <c r="O407" s="1971"/>
      <c r="P407" s="1971"/>
      <c r="Q407" s="1971"/>
      <c r="R407" s="1971"/>
      <c r="S407" s="1971"/>
      <c r="T407" s="1971"/>
      <c r="U407" s="1971"/>
      <c r="V407" s="1971"/>
      <c r="W407" s="1971"/>
      <c r="X407" s="1971"/>
      <c r="Y407" s="1971"/>
      <c r="Z407" s="1971"/>
      <c r="AA407" s="1971"/>
      <c r="AB407" s="1971"/>
      <c r="AC407" s="1971"/>
      <c r="AD407" s="1971"/>
      <c r="AE407" s="1971"/>
      <c r="AF407" s="1971"/>
      <c r="AG407" s="1971"/>
      <c r="AH407" s="1971"/>
      <c r="AI407" s="1971"/>
      <c r="AJ407" s="1971"/>
    </row>
    <row r="408" spans="1:36" ht="12.75" customHeight="1">
      <c r="H408" s="1972"/>
      <c r="I408" s="1972"/>
      <c r="J408" s="1972"/>
      <c r="K408" s="1972"/>
      <c r="L408" s="1972"/>
      <c r="M408" s="1972"/>
      <c r="N408" s="1972"/>
      <c r="O408" s="1972"/>
      <c r="P408" s="1972"/>
      <c r="Q408" s="1972"/>
      <c r="R408" s="1972"/>
      <c r="S408" s="1972"/>
      <c r="T408" s="1972"/>
      <c r="U408" s="1972"/>
      <c r="V408" s="1972"/>
      <c r="W408" s="1972"/>
      <c r="X408" s="1972"/>
      <c r="Y408" s="1972"/>
      <c r="Z408" s="1972"/>
      <c r="AA408" s="1972"/>
      <c r="AB408" s="1972"/>
      <c r="AC408" s="1972"/>
      <c r="AD408" s="1972"/>
      <c r="AE408" s="1972"/>
      <c r="AF408" s="1972"/>
      <c r="AG408" s="1972"/>
      <c r="AH408" s="1972"/>
      <c r="AI408" s="1972"/>
      <c r="AJ408" s="1972"/>
    </row>
    <row r="409" spans="1:36" ht="12.75" customHeight="1"/>
    <row r="410" spans="1:36" ht="12.75" customHeight="1">
      <c r="A410" s="63" t="s">
        <v>134</v>
      </c>
      <c r="B410" s="63"/>
      <c r="C410" s="63"/>
      <c r="D410" s="63" t="s">
        <v>985</v>
      </c>
      <c r="AE410" s="8"/>
      <c r="AF410" s="63" t="s">
        <v>1314</v>
      </c>
    </row>
    <row r="411" spans="1:36" ht="12.75" customHeight="1">
      <c r="E411" s="1966"/>
      <c r="F411" s="1966"/>
      <c r="G411" s="1966"/>
      <c r="H411" s="33" t="s">
        <v>986</v>
      </c>
      <c r="I411" s="1966"/>
      <c r="J411" s="1966"/>
      <c r="K411" s="1966"/>
      <c r="L411" s="16" t="s">
        <v>987</v>
      </c>
      <c r="N411" s="240" t="s">
        <v>925</v>
      </c>
      <c r="P411" s="1955">
        <v>4.0999999999999996</v>
      </c>
      <c r="Q411" s="1955"/>
      <c r="R411" s="1955"/>
      <c r="S411" s="16" t="s">
        <v>988</v>
      </c>
      <c r="W411" s="1969">
        <f>IF(E411&gt;0,(E411*I411),(P411*43560))</f>
        <v>178595.99999999997</v>
      </c>
      <c r="X411" s="1969"/>
      <c r="Y411" s="1969"/>
      <c r="Z411" s="16" t="s">
        <v>989</v>
      </c>
      <c r="AF411" s="2106">
        <f>IF(P411&gt;0,(AG430/P411),(AG430/(W411/43560)))</f>
        <v>11.707317073170733</v>
      </c>
      <c r="AG411" s="2106"/>
      <c r="AH411" s="2106"/>
    </row>
    <row r="412" spans="1:36" ht="12.75" customHeight="1">
      <c r="E412" s="16" t="s">
        <v>223</v>
      </c>
    </row>
    <row r="413" spans="1:36" ht="12.75" customHeight="1">
      <c r="E413" s="1964"/>
      <c r="F413" s="1964"/>
      <c r="G413" s="1964"/>
      <c r="H413" s="1964"/>
      <c r="I413" s="1964"/>
      <c r="J413" s="1964"/>
      <c r="K413" s="1964"/>
      <c r="L413" s="1964"/>
      <c r="M413" s="1964"/>
      <c r="N413" s="1964"/>
      <c r="O413" s="1964"/>
      <c r="P413" s="1964"/>
      <c r="Q413" s="1964"/>
      <c r="R413" s="1964"/>
      <c r="S413" s="1964"/>
      <c r="T413" s="1964"/>
      <c r="U413" s="1964"/>
      <c r="V413" s="1964"/>
      <c r="W413" s="1964"/>
      <c r="X413" s="1964"/>
      <c r="Y413" s="1964"/>
      <c r="Z413" s="1964"/>
      <c r="AA413" s="1964"/>
      <c r="AB413" s="1964"/>
      <c r="AC413" s="1964"/>
      <c r="AD413" s="1964"/>
      <c r="AE413" s="1964"/>
      <c r="AF413" s="1964"/>
      <c r="AG413" s="1964"/>
      <c r="AH413" s="1964"/>
      <c r="AI413" s="1964"/>
      <c r="AJ413" s="1964"/>
    </row>
    <row r="414" spans="1:36" s="50" customFormat="1" ht="12.75" customHeight="1">
      <c r="E414" s="412" t="s">
        <v>2192</v>
      </c>
      <c r="F414" s="59"/>
      <c r="G414" s="59"/>
      <c r="H414" s="59"/>
      <c r="I414" s="2104">
        <v>4.0999999999999996</v>
      </c>
      <c r="J414" s="2104"/>
      <c r="K414" s="2104"/>
      <c r="L414" s="59"/>
      <c r="M414" s="412"/>
      <c r="N414" s="59"/>
      <c r="O414" s="59"/>
      <c r="P414" s="2105">
        <f>(CQ629+CS634+CQ648)/I414</f>
        <v>32.682926829268297</v>
      </c>
      <c r="Q414" s="2105"/>
      <c r="R414" s="2105"/>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496</v>
      </c>
      <c r="P417" s="1658">
        <v>6</v>
      </c>
      <c r="Q417" s="1658"/>
      <c r="S417" s="16" t="s">
        <v>148</v>
      </c>
      <c r="AE417" s="1658">
        <v>5</v>
      </c>
      <c r="AF417" s="1658"/>
    </row>
    <row r="418" spans="1:36" ht="12.75" customHeight="1">
      <c r="E418" s="16" t="s">
        <v>149</v>
      </c>
      <c r="P418" s="1658">
        <v>1</v>
      </c>
      <c r="Q418" s="1658"/>
      <c r="S418" s="16" t="s">
        <v>788</v>
      </c>
      <c r="AE418" s="1658" t="s">
        <v>135</v>
      </c>
      <c r="AF418" s="1658"/>
    </row>
    <row r="419" spans="1:36" ht="12.6">
      <c r="F419" s="81" t="s">
        <v>246</v>
      </c>
    </row>
    <row r="420" spans="1:36" ht="12.6">
      <c r="F420" s="1983"/>
      <c r="G420" s="1983"/>
      <c r="H420" s="1983"/>
      <c r="I420" s="1983"/>
      <c r="J420" s="1983"/>
      <c r="K420" s="1983"/>
      <c r="L420" s="1983"/>
      <c r="M420" s="1983"/>
      <c r="N420" s="1983"/>
      <c r="O420" s="1983"/>
      <c r="P420" s="1983"/>
      <c r="Q420" s="1983"/>
      <c r="R420" s="1983"/>
      <c r="S420" s="1983"/>
      <c r="T420" s="1983"/>
      <c r="U420" s="1983"/>
      <c r="V420" s="1983"/>
      <c r="W420" s="1983"/>
      <c r="X420" s="1983"/>
      <c r="Y420" s="1983"/>
      <c r="Z420" s="1983"/>
      <c r="AA420" s="1983"/>
      <c r="AB420" s="1983"/>
      <c r="AC420" s="1983"/>
      <c r="AD420" s="1983"/>
      <c r="AE420" s="1983"/>
      <c r="AF420" s="1983"/>
      <c r="AG420" s="1983"/>
      <c r="AH420" s="1983"/>
    </row>
    <row r="421" spans="1:36" ht="12.6">
      <c r="F421" s="1984"/>
      <c r="G421" s="1984"/>
      <c r="H421" s="1984"/>
      <c r="I421" s="1984"/>
      <c r="J421" s="1984"/>
      <c r="K421" s="1984"/>
      <c r="L421" s="1984"/>
      <c r="M421" s="1984"/>
      <c r="N421" s="1984"/>
      <c r="O421" s="1984"/>
      <c r="P421" s="1984"/>
      <c r="Q421" s="1984"/>
      <c r="R421" s="1984"/>
      <c r="S421" s="1984"/>
      <c r="T421" s="1984"/>
      <c r="U421" s="1984"/>
      <c r="V421" s="1984"/>
      <c r="W421" s="1984"/>
      <c r="X421" s="1984"/>
      <c r="Y421" s="1984"/>
      <c r="Z421" s="1984"/>
      <c r="AA421" s="1984"/>
      <c r="AB421" s="1984"/>
      <c r="AC421" s="1984"/>
      <c r="AD421" s="1984"/>
      <c r="AE421" s="1984"/>
      <c r="AF421" s="1984"/>
      <c r="AG421" s="1984"/>
      <c r="AH421" s="1984"/>
    </row>
    <row r="422" spans="1:36" ht="12.6">
      <c r="E422" s="16" t="s">
        <v>934</v>
      </c>
      <c r="N422" s="50"/>
      <c r="O422" s="50"/>
      <c r="P422" s="390"/>
      <c r="Q422" s="1658" t="s">
        <v>119</v>
      </c>
      <c r="R422" s="1658"/>
      <c r="S422" s="50"/>
      <c r="T422" s="50"/>
      <c r="U422" s="50"/>
      <c r="V422" s="50"/>
      <c r="W422" s="50"/>
      <c r="X422" s="50"/>
      <c r="Y422" s="50"/>
      <c r="Z422" s="50"/>
      <c r="AA422" s="50"/>
      <c r="AB422" s="50"/>
      <c r="AC422" s="50"/>
      <c r="AD422" s="50"/>
      <c r="AE422" s="390"/>
      <c r="AF422" s="390"/>
    </row>
    <row r="423" spans="1:36" ht="12.6">
      <c r="F423" s="16" t="s">
        <v>935</v>
      </c>
      <c r="N423" s="50"/>
      <c r="O423" s="50"/>
      <c r="P423" s="390"/>
      <c r="Q423" s="390"/>
      <c r="R423" s="50"/>
      <c r="S423" s="50"/>
      <c r="T423" s="50"/>
      <c r="U423" s="50"/>
      <c r="V423" s="50"/>
      <c r="W423" s="50"/>
      <c r="X423" s="50"/>
      <c r="Y423" s="50"/>
      <c r="Z423" s="50"/>
      <c r="AA423" s="50"/>
      <c r="AB423" s="50"/>
      <c r="AC423" s="50"/>
      <c r="AD423" s="50"/>
      <c r="AE423" s="1658" t="s">
        <v>135</v>
      </c>
      <c r="AF423" s="1965"/>
    </row>
    <row r="424" spans="1:36" ht="12.6">
      <c r="S424" s="35"/>
      <c r="T424" s="35"/>
    </row>
    <row r="425" spans="1:36" ht="12.75" customHeight="1">
      <c r="A425" s="63"/>
      <c r="B425" s="63"/>
      <c r="C425" s="63"/>
      <c r="E425" s="8" t="s">
        <v>87</v>
      </c>
      <c r="Z425" s="1658" t="s">
        <v>527</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6">
      <c r="F427" s="16" t="s">
        <v>47</v>
      </c>
      <c r="G427" s="83"/>
      <c r="I427" s="83"/>
      <c r="J427" s="83"/>
      <c r="K427" s="83"/>
      <c r="L427" s="83"/>
      <c r="M427" s="83"/>
      <c r="N427" s="83"/>
      <c r="Q427" s="72"/>
      <c r="R427" s="83"/>
      <c r="S427" s="83"/>
      <c r="T427" s="83"/>
      <c r="U427" s="83"/>
      <c r="V427" s="83"/>
      <c r="W427" s="83"/>
      <c r="Z427" s="1658" t="s">
        <v>135</v>
      </c>
      <c r="AA427" s="1658"/>
    </row>
    <row r="428" spans="1:36" ht="12.75" customHeight="1">
      <c r="AG428" s="16">
        <v>0</v>
      </c>
    </row>
    <row r="429" spans="1:36" ht="12.75" customHeight="1">
      <c r="A429" s="63" t="s">
        <v>408</v>
      </c>
      <c r="B429" s="63"/>
      <c r="C429" s="63"/>
      <c r="D429" s="63" t="s">
        <v>188</v>
      </c>
      <c r="AF429" s="94"/>
    </row>
    <row r="430" spans="1:36" ht="12.75" customHeight="1">
      <c r="D430" s="1720" t="s">
        <v>397</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3"/>
      <c r="AG430" s="2009">
        <v>48</v>
      </c>
      <c r="AH430" s="2009"/>
      <c r="AI430" s="2009"/>
      <c r="AJ430" s="2009"/>
    </row>
    <row r="431" spans="1:36" ht="12.75" customHeight="1">
      <c r="D431" s="1854" t="s">
        <v>1490</v>
      </c>
      <c r="E431" s="1967"/>
      <c r="F431" s="1967"/>
      <c r="G431" s="1967"/>
      <c r="H431" s="1967"/>
      <c r="I431" s="1967"/>
      <c r="J431" s="1967"/>
      <c r="K431" s="1967"/>
      <c r="L431" s="1967"/>
      <c r="M431" s="1967"/>
      <c r="N431" s="1967"/>
      <c r="O431" s="1967"/>
      <c r="P431" s="1967"/>
      <c r="Q431" s="1967"/>
      <c r="R431" s="1967"/>
      <c r="S431" s="1967"/>
      <c r="T431" s="1967"/>
      <c r="U431" s="1967"/>
      <c r="V431" s="1967"/>
      <c r="W431" s="1967"/>
      <c r="X431" s="1967"/>
      <c r="Y431" s="1967"/>
      <c r="Z431" s="1967"/>
      <c r="AA431" s="1967"/>
      <c r="AB431" s="1967"/>
      <c r="AC431" s="1967"/>
      <c r="AD431" s="1967"/>
      <c r="AE431" s="1967"/>
      <c r="AF431" s="1968"/>
      <c r="AG431" s="2102"/>
      <c r="AH431" s="2103"/>
      <c r="AI431" s="2103"/>
      <c r="AJ431" s="2103"/>
    </row>
    <row r="432" spans="1:36" ht="12.75" customHeight="1">
      <c r="D432" s="1854" t="s">
        <v>1491</v>
      </c>
      <c r="E432" s="1967"/>
      <c r="F432" s="1967"/>
      <c r="G432" s="1967"/>
      <c r="H432" s="1967"/>
      <c r="I432" s="1967"/>
      <c r="J432" s="1967"/>
      <c r="K432" s="1967"/>
      <c r="L432" s="1967"/>
      <c r="M432" s="1967"/>
      <c r="N432" s="1967"/>
      <c r="O432" s="1967"/>
      <c r="P432" s="1967"/>
      <c r="Q432" s="1967"/>
      <c r="R432" s="1967"/>
      <c r="S432" s="1967"/>
      <c r="T432" s="1967"/>
      <c r="U432" s="1967"/>
      <c r="V432" s="1967"/>
      <c r="W432" s="1967"/>
      <c r="X432" s="1967"/>
      <c r="Y432" s="1967"/>
      <c r="Z432" s="1967"/>
      <c r="AA432" s="1967"/>
      <c r="AB432" s="1967"/>
      <c r="AC432" s="1967"/>
      <c r="AD432" s="1967"/>
      <c r="AE432" s="1967"/>
      <c r="AF432" s="1968"/>
      <c r="AG432" s="2009">
        <v>47</v>
      </c>
      <c r="AH432" s="2009"/>
      <c r="AI432" s="2009"/>
      <c r="AJ432" s="2009"/>
    </row>
    <row r="433" spans="4:36" ht="12.75" customHeight="1">
      <c r="D433" s="1854" t="s">
        <v>1487</v>
      </c>
      <c r="E433" s="1967"/>
      <c r="F433" s="1967"/>
      <c r="G433" s="1967"/>
      <c r="H433" s="1967"/>
      <c r="I433" s="1967"/>
      <c r="J433" s="1967"/>
      <c r="K433" s="1967"/>
      <c r="L433" s="1967"/>
      <c r="M433" s="1967"/>
      <c r="N433" s="1967"/>
      <c r="O433" s="1967"/>
      <c r="P433" s="1967"/>
      <c r="Q433" s="1967"/>
      <c r="R433" s="1967"/>
      <c r="S433" s="1967"/>
      <c r="T433" s="1967"/>
      <c r="U433" s="1967"/>
      <c r="V433" s="1967"/>
      <c r="W433" s="1967"/>
      <c r="X433" s="1967"/>
      <c r="Y433" s="1967"/>
      <c r="Z433" s="1967"/>
      <c r="AA433" s="1967"/>
      <c r="AB433" s="1967"/>
      <c r="AC433" s="1967"/>
      <c r="AD433" s="1967"/>
      <c r="AE433" s="1967"/>
      <c r="AF433" s="1968"/>
      <c r="AG433" s="2009">
        <v>47</v>
      </c>
      <c r="AH433" s="2009"/>
      <c r="AI433" s="2009"/>
      <c r="AJ433" s="2009"/>
    </row>
    <row r="434" spans="4:36" ht="12.75" customHeight="1">
      <c r="D434" s="1854" t="s">
        <v>1492</v>
      </c>
      <c r="E434" s="1967"/>
      <c r="F434" s="1967"/>
      <c r="G434" s="1967"/>
      <c r="H434" s="1967"/>
      <c r="I434" s="1967"/>
      <c r="J434" s="1967"/>
      <c r="K434" s="1967"/>
      <c r="L434" s="1967"/>
      <c r="M434" s="1967"/>
      <c r="N434" s="1967"/>
      <c r="O434" s="1967"/>
      <c r="P434" s="1967"/>
      <c r="Q434" s="1967"/>
      <c r="R434" s="1967"/>
      <c r="S434" s="1967"/>
      <c r="T434" s="1967"/>
      <c r="U434" s="1967"/>
      <c r="V434" s="1967"/>
      <c r="W434" s="1967"/>
      <c r="X434" s="1967"/>
      <c r="Y434" s="1967"/>
      <c r="Z434" s="1967"/>
      <c r="AA434" s="1967"/>
      <c r="AB434" s="1967"/>
      <c r="AC434" s="1967"/>
      <c r="AD434" s="1967"/>
      <c r="AE434" s="1967"/>
      <c r="AF434" s="1968"/>
      <c r="AG434" s="2011">
        <f>IF(ISERROR(AG433/AG432),"",AG433/AG432)</f>
        <v>1</v>
      </c>
      <c r="AH434" s="2011"/>
      <c r="AI434" s="2011"/>
      <c r="AJ434" s="2011"/>
    </row>
    <row r="435" spans="4:36" ht="12.75" customHeight="1">
      <c r="D435" s="1854" t="s">
        <v>1489</v>
      </c>
      <c r="E435" s="1967"/>
      <c r="F435" s="1967"/>
      <c r="G435" s="1967"/>
      <c r="H435" s="1967"/>
      <c r="I435" s="1967"/>
      <c r="J435" s="1967"/>
      <c r="K435" s="1967"/>
      <c r="L435" s="1967"/>
      <c r="M435" s="1967"/>
      <c r="N435" s="1967"/>
      <c r="O435" s="1967"/>
      <c r="P435" s="1967"/>
      <c r="Q435" s="1967"/>
      <c r="R435" s="1967"/>
      <c r="S435" s="1967"/>
      <c r="T435" s="1967"/>
      <c r="U435" s="1967"/>
      <c r="V435" s="1967"/>
      <c r="W435" s="1967"/>
      <c r="X435" s="1967"/>
      <c r="Y435" s="1967"/>
      <c r="Z435" s="1967"/>
      <c r="AA435" s="1967"/>
      <c r="AB435" s="1967"/>
      <c r="AC435" s="1967"/>
      <c r="AD435" s="1967"/>
      <c r="AE435" s="1967"/>
      <c r="AF435" s="1968"/>
      <c r="AG435" s="1970">
        <v>46378</v>
      </c>
      <c r="AH435" s="1970"/>
      <c r="AI435" s="1970"/>
      <c r="AJ435" s="1970"/>
    </row>
    <row r="436" spans="4:36" ht="12.75" customHeight="1">
      <c r="D436" s="1854" t="s">
        <v>1488</v>
      </c>
      <c r="E436" s="1967"/>
      <c r="F436" s="1967"/>
      <c r="G436" s="1967"/>
      <c r="H436" s="1967"/>
      <c r="I436" s="1967"/>
      <c r="J436" s="1967"/>
      <c r="K436" s="1967"/>
      <c r="L436" s="1967"/>
      <c r="M436" s="1967"/>
      <c r="N436" s="1967"/>
      <c r="O436" s="1967"/>
      <c r="P436" s="1967"/>
      <c r="Q436" s="1967"/>
      <c r="R436" s="1967"/>
      <c r="S436" s="1967"/>
      <c r="T436" s="1967"/>
      <c r="U436" s="1967"/>
      <c r="V436" s="1967"/>
      <c r="W436" s="1967"/>
      <c r="X436" s="1967"/>
      <c r="Y436" s="1967"/>
      <c r="Z436" s="1967"/>
      <c r="AA436" s="1967"/>
      <c r="AB436" s="1967"/>
      <c r="AC436" s="1967"/>
      <c r="AD436" s="1967"/>
      <c r="AE436" s="1967"/>
      <c r="AF436" s="1968"/>
      <c r="AG436" s="1970">
        <v>46378</v>
      </c>
      <c r="AH436" s="1970"/>
      <c r="AI436" s="1970"/>
      <c r="AJ436" s="1970"/>
    </row>
    <row r="437" spans="4:36" ht="12.75" customHeight="1">
      <c r="D437" s="1854" t="s">
        <v>1495</v>
      </c>
      <c r="E437" s="1967"/>
      <c r="F437" s="1967"/>
      <c r="G437" s="1967"/>
      <c r="H437" s="1967"/>
      <c r="I437" s="1967"/>
      <c r="J437" s="1967"/>
      <c r="K437" s="1967"/>
      <c r="L437" s="1967"/>
      <c r="M437" s="1967"/>
      <c r="N437" s="1967"/>
      <c r="O437" s="1967"/>
      <c r="P437" s="1967"/>
      <c r="Q437" s="1967"/>
      <c r="R437" s="1967"/>
      <c r="S437" s="1967"/>
      <c r="T437" s="1967"/>
      <c r="U437" s="1967"/>
      <c r="V437" s="1967"/>
      <c r="W437" s="1967"/>
      <c r="X437" s="1967"/>
      <c r="Y437" s="1967"/>
      <c r="Z437" s="1967"/>
      <c r="AA437" s="1967"/>
      <c r="AB437" s="1967"/>
      <c r="AC437" s="1967"/>
      <c r="AD437" s="1967"/>
      <c r="AE437" s="1967"/>
      <c r="AF437" s="1968"/>
      <c r="AG437" s="2011">
        <f>IF(ISERROR(AG436/AG435),"",AG436/AG435)</f>
        <v>1</v>
      </c>
      <c r="AH437" s="2011"/>
      <c r="AI437" s="2011"/>
      <c r="AJ437" s="2011"/>
    </row>
    <row r="438" spans="4:36" ht="12.75" customHeight="1">
      <c r="D438" s="1854" t="s">
        <v>1493</v>
      </c>
      <c r="E438" s="1967"/>
      <c r="F438" s="1967"/>
      <c r="G438" s="1967"/>
      <c r="H438" s="1967"/>
      <c r="I438" s="1967"/>
      <c r="J438" s="1967"/>
      <c r="K438" s="1967"/>
      <c r="L438" s="1967"/>
      <c r="M438" s="1967"/>
      <c r="N438" s="1967"/>
      <c r="O438" s="1967"/>
      <c r="P438" s="1967"/>
      <c r="Q438" s="1967"/>
      <c r="R438" s="1967"/>
      <c r="S438" s="1967"/>
      <c r="T438" s="1967"/>
      <c r="U438" s="1967"/>
      <c r="V438" s="1967"/>
      <c r="W438" s="1967"/>
      <c r="X438" s="1967"/>
      <c r="Y438" s="1967"/>
      <c r="Z438" s="1967"/>
      <c r="AA438" s="1967"/>
      <c r="AB438" s="1967"/>
      <c r="AC438" s="1967"/>
      <c r="AD438" s="1967"/>
      <c r="AE438" s="1967"/>
      <c r="AF438" s="1968"/>
      <c r="AG438" s="2011">
        <f>MIN(IF(AG434&gt;AG437,AG437,AG434),1)</f>
        <v>1</v>
      </c>
      <c r="AH438" s="2011"/>
      <c r="AI438" s="2011"/>
      <c r="AJ438" s="2011"/>
    </row>
    <row r="439" spans="4:36" ht="12.6">
      <c r="D439" s="2099" t="s">
        <v>1900</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3"/>
      <c r="AG439" s="1970">
        <v>2734</v>
      </c>
      <c r="AH439" s="1970"/>
      <c r="AI439" s="1970"/>
      <c r="AJ439" s="1970"/>
    </row>
    <row r="440" spans="4:36" ht="12.6">
      <c r="D440" s="1854" t="s">
        <v>230</v>
      </c>
      <c r="E440" s="1967"/>
      <c r="F440" s="1967"/>
      <c r="G440" s="1967"/>
      <c r="H440" s="1967"/>
      <c r="I440" s="1967"/>
      <c r="J440" s="1967"/>
      <c r="K440" s="1967"/>
      <c r="L440" s="1967"/>
      <c r="M440" s="1967"/>
      <c r="N440" s="1967"/>
      <c r="O440" s="1967"/>
      <c r="P440" s="1967"/>
      <c r="Q440" s="1967"/>
      <c r="R440" s="1967"/>
      <c r="S440" s="1967"/>
      <c r="T440" s="1967"/>
      <c r="U440" s="1967"/>
      <c r="V440" s="1967"/>
      <c r="W440" s="1967"/>
      <c r="X440" s="1967"/>
      <c r="Y440" s="1967"/>
      <c r="Z440" s="1967"/>
      <c r="AA440" s="1967"/>
      <c r="AB440" s="1967"/>
      <c r="AC440" s="1967"/>
      <c r="AD440" s="1967"/>
      <c r="AE440" s="1967"/>
      <c r="AF440" s="1968"/>
      <c r="AG440" s="1970">
        <v>0</v>
      </c>
      <c r="AH440" s="1970"/>
      <c r="AI440" s="1970"/>
      <c r="AJ440" s="1970"/>
    </row>
    <row r="441" spans="4:36" ht="12.75" customHeight="1">
      <c r="D441" s="2099" t="s">
        <v>1901</v>
      </c>
      <c r="E441" s="1967"/>
      <c r="F441" s="1967"/>
      <c r="G441" s="1967"/>
      <c r="H441" s="1967"/>
      <c r="I441" s="1967"/>
      <c r="J441" s="1967"/>
      <c r="K441" s="1967"/>
      <c r="L441" s="1967"/>
      <c r="M441" s="1967"/>
      <c r="N441" s="1967"/>
      <c r="O441" s="1967"/>
      <c r="P441" s="1967"/>
      <c r="Q441" s="1967"/>
      <c r="R441" s="1967"/>
      <c r="S441" s="1967"/>
      <c r="T441" s="1967"/>
      <c r="U441" s="1967"/>
      <c r="V441" s="1967"/>
      <c r="W441" s="1967"/>
      <c r="X441" s="1967"/>
      <c r="Y441" s="1967"/>
      <c r="Z441" s="1967"/>
      <c r="AA441" s="1967"/>
      <c r="AB441" s="1967"/>
      <c r="AC441" s="1967"/>
      <c r="AD441" s="1967"/>
      <c r="AE441" s="1967"/>
      <c r="AF441" s="1968"/>
      <c r="AG441" s="1970">
        <v>1022</v>
      </c>
      <c r="AH441" s="1970"/>
      <c r="AI441" s="1970"/>
      <c r="AJ441" s="1970"/>
    </row>
    <row r="442" spans="4:36" ht="12.6">
      <c r="D442" s="1854" t="s">
        <v>1494</v>
      </c>
      <c r="E442" s="1967"/>
      <c r="F442" s="1967"/>
      <c r="G442" s="1967"/>
      <c r="H442" s="1967"/>
      <c r="I442" s="1967"/>
      <c r="J442" s="1967"/>
      <c r="K442" s="1967"/>
      <c r="L442" s="1967"/>
      <c r="M442" s="1967"/>
      <c r="N442" s="1967"/>
      <c r="O442" s="1967"/>
      <c r="P442" s="1967"/>
      <c r="Q442" s="1967"/>
      <c r="R442" s="1967"/>
      <c r="S442" s="1967"/>
      <c r="T442" s="1967"/>
      <c r="U442" s="1967"/>
      <c r="V442" s="1967"/>
      <c r="W442" s="1967"/>
      <c r="X442" s="1967"/>
      <c r="Y442" s="1967"/>
      <c r="Z442" s="1967"/>
      <c r="AA442" s="1967"/>
      <c r="AB442" s="1967"/>
      <c r="AC442" s="1967"/>
      <c r="AD442" s="1967"/>
      <c r="AE442" s="1967"/>
      <c r="AF442" s="1968"/>
      <c r="AG442" s="1970">
        <v>0</v>
      </c>
      <c r="AH442" s="1970"/>
      <c r="AI442" s="1970"/>
      <c r="AJ442" s="1970"/>
    </row>
    <row r="443" spans="4:36" ht="13.1">
      <c r="D443" s="1854" t="s">
        <v>1496</v>
      </c>
      <c r="E443" s="1967"/>
      <c r="F443" s="1967"/>
      <c r="G443" s="1967"/>
      <c r="H443" s="1967"/>
      <c r="I443" s="1967"/>
      <c r="J443" s="1967"/>
      <c r="K443" s="1967"/>
      <c r="L443" s="1967"/>
      <c r="M443" s="1967"/>
      <c r="N443" s="1967"/>
      <c r="O443" s="1967"/>
      <c r="P443" s="1967"/>
      <c r="Q443" s="1967"/>
      <c r="R443" s="1967"/>
      <c r="S443" s="1967"/>
      <c r="T443" s="1967"/>
      <c r="U443" s="1967"/>
      <c r="V443" s="1967"/>
      <c r="W443" s="1967"/>
      <c r="X443" s="1967"/>
      <c r="Y443" s="1967"/>
      <c r="Z443" s="1967"/>
      <c r="AA443" s="1967"/>
      <c r="AB443" s="1967"/>
      <c r="AC443" s="1967"/>
      <c r="AD443" s="1967"/>
      <c r="AE443" s="1967"/>
      <c r="AF443" s="1968"/>
      <c r="AG443" s="2079">
        <f>AG435+AG439+AG441+AG442</f>
        <v>50134</v>
      </c>
      <c r="AH443" s="2079"/>
      <c r="AI443" s="2079"/>
      <c r="AJ443" s="2079"/>
    </row>
    <row r="444" spans="4:36" ht="12.6">
      <c r="D444" s="1961" t="s">
        <v>1902</v>
      </c>
      <c r="E444" s="1961"/>
      <c r="F444" s="1961"/>
      <c r="G444" s="1961"/>
      <c r="H444" s="1961"/>
      <c r="I444" s="1961"/>
      <c r="J444" s="1961"/>
      <c r="K444" s="1961"/>
      <c r="L444" s="1961"/>
      <c r="M444" s="1961"/>
      <c r="N444" s="1961"/>
      <c r="O444" s="1961"/>
      <c r="P444" s="1961"/>
      <c r="Q444" s="1961"/>
      <c r="R444" s="1961"/>
      <c r="S444" s="1961"/>
      <c r="T444" s="1961"/>
      <c r="U444" s="1961"/>
      <c r="V444" s="1961"/>
      <c r="W444" s="1961"/>
      <c r="X444" s="1961"/>
      <c r="Y444" s="1961"/>
      <c r="Z444" s="1961"/>
      <c r="AA444" s="1961"/>
      <c r="AB444" s="1961"/>
      <c r="AC444" s="1961"/>
      <c r="AD444" s="1961"/>
      <c r="AE444" s="1961"/>
      <c r="AF444" s="1961"/>
      <c r="AG444" s="1961"/>
      <c r="AH444" s="1961"/>
      <c r="AI444" s="1961"/>
      <c r="AJ444" s="1961"/>
    </row>
    <row r="445" spans="4:36" ht="13.75" customHeight="1">
      <c r="D445" s="1962"/>
      <c r="E445" s="1962"/>
      <c r="F445" s="1962"/>
      <c r="G445" s="1962"/>
      <c r="H445" s="1962"/>
      <c r="I445" s="1962"/>
      <c r="J445" s="1962"/>
      <c r="K445" s="1962"/>
      <c r="L445" s="1962"/>
      <c r="M445" s="1962"/>
      <c r="N445" s="1962"/>
      <c r="O445" s="1962"/>
      <c r="P445" s="1962"/>
      <c r="Q445" s="1962"/>
      <c r="R445" s="1962"/>
      <c r="S445" s="1962"/>
      <c r="T445" s="1962"/>
      <c r="U445" s="1962"/>
      <c r="V445" s="1962"/>
      <c r="W445" s="1962"/>
      <c r="X445" s="1962"/>
      <c r="Y445" s="1962"/>
      <c r="Z445" s="1962"/>
      <c r="AA445" s="1962"/>
      <c r="AB445" s="1962"/>
      <c r="AC445" s="1962"/>
      <c r="AD445" s="1962"/>
      <c r="AE445" s="1962"/>
      <c r="AF445" s="1962"/>
      <c r="AG445" s="1962"/>
      <c r="AH445" s="1962"/>
      <c r="AI445" s="1962"/>
      <c r="AJ445" s="1962"/>
    </row>
    <row r="446" spans="4:36" ht="12.6">
      <c r="D446" s="2078"/>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8"/>
      <c r="AG446" s="2078"/>
      <c r="AH446" s="2078"/>
      <c r="AI446" s="2078"/>
      <c r="AJ446" s="2078"/>
    </row>
    <row r="447" spans="4:36" ht="13.1">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3">
        <f>'Sources and Uses Budget'!B104/Application!AG430</f>
        <v>514357.375</v>
      </c>
      <c r="AD447" s="1973"/>
      <c r="AE447" s="1973"/>
      <c r="AF447" s="1973"/>
      <c r="AG447" s="2007"/>
      <c r="AH447" s="2007"/>
      <c r="AI447" s="2007"/>
      <c r="AJ447" s="2007"/>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3">
        <f>'Sources and Uses Budget'!C104/Application!AG430</f>
        <v>514357.375</v>
      </c>
      <c r="AD448" s="1973"/>
      <c r="AE448" s="1973"/>
      <c r="AF448" s="1973"/>
      <c r="AG448" s="2007"/>
      <c r="AH448" s="2007"/>
      <c r="AI448" s="2007"/>
      <c r="AJ448" s="2007"/>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3">
        <f>('Sources and Uses Budget'!S106+'Sources and Uses Budget'!T106)/Application!AG430</f>
        <v>495498.625</v>
      </c>
      <c r="AD449" s="1973"/>
      <c r="AE449" s="1973"/>
      <c r="AF449" s="1973"/>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0" t="s">
        <v>235</v>
      </c>
      <c r="E458" s="1851"/>
      <c r="F458" s="1851"/>
      <c r="G458" s="1851"/>
      <c r="H458" s="1851"/>
      <c r="I458" s="1851"/>
      <c r="J458" s="1851"/>
      <c r="K458" s="1851"/>
      <c r="L458" s="1851"/>
      <c r="M458" s="1851"/>
      <c r="N458" s="1851"/>
      <c r="O458" s="1851"/>
      <c r="P458" s="1851"/>
      <c r="Q458" s="1851"/>
      <c r="R458" s="1851"/>
      <c r="S458" s="1851"/>
      <c r="T458" s="1851"/>
      <c r="U458" s="1851"/>
      <c r="V458" s="1852"/>
      <c r="W458" s="1956" t="s">
        <v>135</v>
      </c>
      <c r="X458" s="1957"/>
      <c r="Y458" s="1958"/>
      <c r="Z458" s="478"/>
      <c r="AA458" s="478"/>
      <c r="AB458" s="478"/>
      <c r="AC458" s="478"/>
      <c r="AD458" s="478"/>
      <c r="AE458" s="478"/>
      <c r="AF458" s="478"/>
      <c r="AG458" s="478"/>
      <c r="AH458" s="478"/>
      <c r="AI458" s="478"/>
      <c r="AJ458" s="327"/>
      <c r="AK458" s="327"/>
      <c r="AL458" s="327"/>
    </row>
    <row r="459" spans="1:38" ht="12.75" customHeight="1">
      <c r="A459" s="327"/>
      <c r="B459" s="327"/>
      <c r="C459" s="327"/>
      <c r="D459" s="1850" t="s">
        <v>236</v>
      </c>
      <c r="E459" s="1851"/>
      <c r="F459" s="1851"/>
      <c r="G459" s="1851"/>
      <c r="H459" s="1851"/>
      <c r="I459" s="1851"/>
      <c r="J459" s="1851"/>
      <c r="K459" s="1851"/>
      <c r="L459" s="1851"/>
      <c r="M459" s="1851"/>
      <c r="N459" s="1851"/>
      <c r="O459" s="1851"/>
      <c r="P459" s="1851"/>
      <c r="Q459" s="1851"/>
      <c r="R459" s="1851"/>
      <c r="S459" s="1851"/>
      <c r="T459" s="1851"/>
      <c r="U459" s="1851"/>
      <c r="V459" s="1852"/>
      <c r="W459" s="1956" t="s">
        <v>135</v>
      </c>
      <c r="X459" s="1957"/>
      <c r="Y459" s="1958"/>
      <c r="Z459" s="478"/>
      <c r="AA459" s="478"/>
      <c r="AB459" s="478"/>
      <c r="AC459" s="478"/>
      <c r="AD459" s="478"/>
      <c r="AE459" s="478"/>
      <c r="AF459" s="478"/>
      <c r="AG459" s="478"/>
      <c r="AH459" s="478"/>
      <c r="AI459" s="478"/>
      <c r="AJ459" s="327"/>
      <c r="AK459" s="327"/>
      <c r="AL459" s="327"/>
    </row>
    <row r="460" spans="1:38" ht="12.75" customHeight="1">
      <c r="A460" s="327"/>
      <c r="B460" s="327"/>
      <c r="C460" s="327"/>
      <c r="D460" s="1850" t="s">
        <v>237</v>
      </c>
      <c r="E460" s="1851"/>
      <c r="F460" s="1851"/>
      <c r="G460" s="1851"/>
      <c r="H460" s="1851"/>
      <c r="I460" s="1851"/>
      <c r="J460" s="1851"/>
      <c r="K460" s="1851"/>
      <c r="L460" s="1851"/>
      <c r="M460" s="1851"/>
      <c r="N460" s="1851"/>
      <c r="O460" s="1851"/>
      <c r="P460" s="1851"/>
      <c r="Q460" s="1851"/>
      <c r="R460" s="1851"/>
      <c r="S460" s="1851"/>
      <c r="T460" s="1851"/>
      <c r="U460" s="1851"/>
      <c r="V460" s="1852"/>
      <c r="W460" s="1956" t="s">
        <v>135</v>
      </c>
      <c r="X460" s="1957"/>
      <c r="Y460" s="1958"/>
      <c r="Z460" s="478"/>
      <c r="AA460" s="478"/>
      <c r="AB460" s="478"/>
      <c r="AC460" s="478"/>
      <c r="AD460" s="478"/>
      <c r="AE460" s="478"/>
      <c r="AF460" s="478"/>
      <c r="AG460" s="478"/>
      <c r="AH460" s="478"/>
      <c r="AI460" s="478"/>
      <c r="AJ460" s="327"/>
      <c r="AK460" s="327"/>
      <c r="AL460" s="327"/>
    </row>
    <row r="461" spans="1:38" ht="12.75" customHeight="1">
      <c r="A461" s="327"/>
      <c r="B461" s="327"/>
      <c r="C461" s="327"/>
      <c r="D461" s="1850" t="s">
        <v>241</v>
      </c>
      <c r="E461" s="1851"/>
      <c r="F461" s="1851"/>
      <c r="G461" s="1851"/>
      <c r="H461" s="1851"/>
      <c r="I461" s="1851"/>
      <c r="J461" s="1851"/>
      <c r="K461" s="1851"/>
      <c r="L461" s="1851"/>
      <c r="M461" s="1851"/>
      <c r="N461" s="1851"/>
      <c r="O461" s="1851"/>
      <c r="P461" s="1851"/>
      <c r="Q461" s="1851"/>
      <c r="R461" s="1851"/>
      <c r="S461" s="1851"/>
      <c r="T461" s="1851"/>
      <c r="U461" s="1851"/>
      <c r="V461" s="1852"/>
      <c r="W461" s="1956" t="s">
        <v>135</v>
      </c>
      <c r="X461" s="1957"/>
      <c r="Y461" s="1958"/>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1197</v>
      </c>
      <c r="E462" s="1851"/>
      <c r="F462" s="1851"/>
      <c r="G462" s="1851"/>
      <c r="H462" s="1851"/>
      <c r="I462" s="1851"/>
      <c r="J462" s="1851"/>
      <c r="K462" s="1851"/>
      <c r="L462" s="1851"/>
      <c r="M462" s="1851"/>
      <c r="N462" s="1851"/>
      <c r="O462" s="1851"/>
      <c r="P462" s="1851"/>
      <c r="Q462" s="1851"/>
      <c r="R462" s="1851"/>
      <c r="S462" s="1851"/>
      <c r="T462" s="1851"/>
      <c r="U462" s="1851"/>
      <c r="V462" s="1852"/>
      <c r="W462" s="1956" t="s">
        <v>135</v>
      </c>
      <c r="X462" s="1957"/>
      <c r="Y462" s="1958"/>
      <c r="Z462" s="478"/>
      <c r="AA462" s="478"/>
      <c r="AB462" s="478"/>
      <c r="AC462" s="478"/>
      <c r="AD462" s="478"/>
      <c r="AE462" s="478"/>
      <c r="AF462" s="478"/>
      <c r="AG462" s="478"/>
      <c r="AH462" s="478"/>
      <c r="AI462" s="478"/>
      <c r="AJ462" s="327"/>
      <c r="AK462" s="327"/>
      <c r="AL462" s="327"/>
    </row>
    <row r="463" spans="1:38" ht="12.75" customHeight="1">
      <c r="A463" s="327"/>
      <c r="B463" s="327"/>
      <c r="C463" s="327"/>
      <c r="D463" s="1850" t="s">
        <v>245</v>
      </c>
      <c r="E463" s="1851"/>
      <c r="F463" s="1851"/>
      <c r="G463" s="1851"/>
      <c r="H463" s="1851"/>
      <c r="I463" s="1851"/>
      <c r="J463" s="1851"/>
      <c r="K463" s="1851"/>
      <c r="L463" s="1851"/>
      <c r="M463" s="1851"/>
      <c r="N463" s="1851"/>
      <c r="O463" s="1851"/>
      <c r="P463" s="1851"/>
      <c r="Q463" s="1851"/>
      <c r="R463" s="1851"/>
      <c r="S463" s="1851"/>
      <c r="T463" s="1851"/>
      <c r="U463" s="1851"/>
      <c r="V463" s="1852"/>
      <c r="W463" s="1956" t="s">
        <v>135</v>
      </c>
      <c r="X463" s="1957"/>
      <c r="Y463" s="1958"/>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1414</v>
      </c>
      <c r="E464" s="2100"/>
      <c r="F464" s="2100"/>
      <c r="G464" s="2100"/>
      <c r="H464" s="2100"/>
      <c r="I464" s="2100"/>
      <c r="J464" s="2100"/>
      <c r="K464" s="2100"/>
      <c r="L464" s="2100"/>
      <c r="M464" s="2100"/>
      <c r="N464" s="2100"/>
      <c r="O464" s="2100"/>
      <c r="P464" s="2100"/>
      <c r="Q464" s="2100"/>
      <c r="R464" s="2100"/>
      <c r="S464" s="2100"/>
      <c r="T464" s="2100"/>
      <c r="U464" s="2100"/>
      <c r="V464" s="2101"/>
      <c r="W464" s="2081" t="s">
        <v>135</v>
      </c>
      <c r="X464" s="2082"/>
      <c r="Y464" s="208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6"/>
      <c r="H465" s="2097"/>
      <c r="I465" s="2097"/>
      <c r="J465" s="2097"/>
      <c r="K465" s="2097"/>
      <c r="L465" s="2097"/>
      <c r="M465" s="2097"/>
      <c r="N465" s="2097"/>
      <c r="O465" s="2097"/>
      <c r="P465" s="2097"/>
      <c r="Q465" s="2097"/>
      <c r="R465" s="2097"/>
      <c r="S465" s="2097"/>
      <c r="T465" s="2097"/>
      <c r="U465" s="2097"/>
      <c r="V465" s="2098"/>
      <c r="W465" s="1956" t="s">
        <v>135</v>
      </c>
      <c r="X465" s="1957"/>
      <c r="Y465" s="195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59" t="s">
        <v>238</v>
      </c>
      <c r="E469" s="1960"/>
      <c r="F469" s="1960"/>
      <c r="G469" s="1960"/>
      <c r="H469" s="1960"/>
      <c r="I469" s="1960"/>
      <c r="J469" s="1960"/>
      <c r="K469" s="1960"/>
      <c r="L469" s="1960"/>
      <c r="M469" s="1960"/>
      <c r="N469" s="1960"/>
      <c r="O469" s="1960"/>
      <c r="P469" s="1960"/>
      <c r="Q469" s="1960"/>
      <c r="R469" s="1960"/>
      <c r="S469" s="1960"/>
      <c r="T469" s="1960"/>
      <c r="U469" s="1960"/>
      <c r="V469" s="1960"/>
      <c r="W469" s="2087"/>
      <c r="X469" s="2087"/>
      <c r="Y469" s="208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6">
      <c r="A470" s="327"/>
      <c r="B470" s="327"/>
      <c r="C470" s="327"/>
      <c r="D470" s="1850" t="s">
        <v>239</v>
      </c>
      <c r="E470" s="1851"/>
      <c r="F470" s="1851"/>
      <c r="G470" s="1851"/>
      <c r="H470" s="1851"/>
      <c r="I470" s="1851"/>
      <c r="J470" s="1851"/>
      <c r="K470" s="1851"/>
      <c r="L470" s="1851"/>
      <c r="M470" s="1851"/>
      <c r="N470" s="1851"/>
      <c r="O470" s="1851"/>
      <c r="P470" s="1851"/>
      <c r="Q470" s="1851"/>
      <c r="R470" s="1851"/>
      <c r="S470" s="1851"/>
      <c r="T470" s="1851"/>
      <c r="U470" s="1851"/>
      <c r="V470" s="1852"/>
      <c r="W470" s="1956" t="s">
        <v>135</v>
      </c>
      <c r="X470" s="1957"/>
      <c r="Y470" s="195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6">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6">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6">
      <c r="A473" s="1664" t="s">
        <v>1112</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
      <c r="A476" s="63" t="s">
        <v>714</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
      <c r="B478" s="63"/>
      <c r="C478" s="63"/>
      <c r="D478" s="63"/>
      <c r="E478" s="85"/>
      <c r="F478" s="86"/>
      <c r="G478" s="86"/>
      <c r="H478" s="86"/>
      <c r="I478" s="86"/>
      <c r="J478" s="86"/>
      <c r="K478" s="86"/>
      <c r="L478" s="86"/>
      <c r="M478" s="86"/>
      <c r="N478" s="86"/>
      <c r="O478" s="86"/>
      <c r="P478" s="86"/>
      <c r="Q478" s="86"/>
      <c r="R478" s="86"/>
      <c r="S478" s="108"/>
      <c r="T478" s="1978" t="s">
        <v>1113</v>
      </c>
      <c r="U478" s="1979"/>
      <c r="V478" s="1979"/>
      <c r="W478" s="1979"/>
      <c r="X478" s="1979"/>
      <c r="Y478" s="1979"/>
      <c r="Z478" s="1979"/>
      <c r="AA478" s="1979"/>
      <c r="AB478" s="1979"/>
      <c r="AC478" s="1979"/>
      <c r="AD478" s="1979"/>
      <c r="AE478" s="1979"/>
      <c r="AF478" s="1979"/>
      <c r="AG478" s="1979"/>
      <c r="AH478" s="198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6">
      <c r="E479" s="317"/>
      <c r="F479" s="35"/>
      <c r="G479" s="35"/>
      <c r="H479" s="35"/>
      <c r="I479" s="35"/>
      <c r="J479" s="35"/>
      <c r="K479" s="35"/>
      <c r="L479" s="35"/>
      <c r="M479" s="35"/>
      <c r="N479" s="35"/>
      <c r="O479" s="35"/>
      <c r="P479" s="35"/>
      <c r="Q479" s="35"/>
      <c r="R479" s="35"/>
      <c r="S479" s="115"/>
      <c r="T479" s="2006" t="s">
        <v>865</v>
      </c>
      <c r="U479" s="2006"/>
      <c r="V479" s="2006"/>
      <c r="W479" s="2006"/>
      <c r="X479" s="2006"/>
      <c r="Y479" s="2006" t="s">
        <v>866</v>
      </c>
      <c r="Z479" s="2006"/>
      <c r="AA479" s="2006"/>
      <c r="AB479" s="2006"/>
      <c r="AC479" s="2006"/>
      <c r="AD479" s="2006" t="s">
        <v>926</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6">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6">
      <c r="E481" s="90" t="s">
        <v>552</v>
      </c>
      <c r="F481" s="91"/>
      <c r="G481" s="91"/>
      <c r="H481" s="91"/>
      <c r="I481" s="91"/>
      <c r="J481" s="91"/>
      <c r="K481" s="91"/>
      <c r="L481" s="91"/>
      <c r="M481" s="91"/>
      <c r="N481" s="91"/>
      <c r="O481" s="91"/>
      <c r="P481" s="91"/>
      <c r="Q481" s="91"/>
      <c r="R481" s="91"/>
      <c r="S481" s="92"/>
      <c r="T481" s="1977" t="s">
        <v>135</v>
      </c>
      <c r="U481" s="1977"/>
      <c r="V481" s="1977"/>
      <c r="W481" s="1977"/>
      <c r="X481" s="1977"/>
      <c r="Y481" s="1977" t="s">
        <v>135</v>
      </c>
      <c r="Z481" s="1977"/>
      <c r="AA481" s="1977"/>
      <c r="AB481" s="1977"/>
      <c r="AC481" s="1977"/>
      <c r="AD481" s="1977" t="s">
        <v>135</v>
      </c>
      <c r="AE481" s="1977"/>
      <c r="AF481" s="1977"/>
      <c r="AG481" s="1977"/>
      <c r="AH481" s="197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6">
      <c r="E482" s="90" t="s">
        <v>553</v>
      </c>
      <c r="F482" s="91"/>
      <c r="G482" s="91"/>
      <c r="H482" s="91"/>
      <c r="I482" s="91"/>
      <c r="J482" s="91"/>
      <c r="K482" s="91"/>
      <c r="L482" s="91"/>
      <c r="M482" s="91"/>
      <c r="N482" s="91"/>
      <c r="O482" s="91"/>
      <c r="P482" s="91"/>
      <c r="Q482" s="91"/>
      <c r="R482" s="91"/>
      <c r="S482" s="91"/>
      <c r="T482" s="1977">
        <v>44652</v>
      </c>
      <c r="U482" s="1977"/>
      <c r="V482" s="1977"/>
      <c r="W482" s="1977"/>
      <c r="X482" s="1977"/>
      <c r="Y482" s="1977">
        <v>44713</v>
      </c>
      <c r="Z482" s="1977"/>
      <c r="AA482" s="1977"/>
      <c r="AB482" s="1977"/>
      <c r="AC482" s="1977"/>
      <c r="AD482" s="1977">
        <v>0</v>
      </c>
      <c r="AE482" s="1977"/>
      <c r="AF482" s="1977"/>
      <c r="AG482" s="1977"/>
      <c r="AH482" s="197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6">
      <c r="E483" s="90" t="s">
        <v>554</v>
      </c>
      <c r="F483" s="91"/>
      <c r="G483" s="91"/>
      <c r="H483" s="91"/>
      <c r="I483" s="91"/>
      <c r="J483" s="91"/>
      <c r="K483" s="91"/>
      <c r="L483" s="91"/>
      <c r="M483" s="91"/>
      <c r="N483" s="91"/>
      <c r="O483" s="91"/>
      <c r="P483" s="91"/>
      <c r="Q483" s="91"/>
      <c r="R483" s="91"/>
      <c r="S483" s="91"/>
      <c r="T483" s="1977" t="s">
        <v>135</v>
      </c>
      <c r="U483" s="1977"/>
      <c r="V483" s="1977"/>
      <c r="W483" s="1977"/>
      <c r="X483" s="1977"/>
      <c r="Y483" s="1977" t="s">
        <v>135</v>
      </c>
      <c r="Z483" s="1977"/>
      <c r="AA483" s="1977"/>
      <c r="AB483" s="1977"/>
      <c r="AC483" s="1977"/>
      <c r="AD483" s="1977" t="s">
        <v>135</v>
      </c>
      <c r="AE483" s="1977"/>
      <c r="AF483" s="1977"/>
      <c r="AG483" s="1977"/>
      <c r="AH483" s="197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6">
      <c r="E484" s="90" t="s">
        <v>555</v>
      </c>
      <c r="F484" s="91"/>
      <c r="G484" s="91"/>
      <c r="H484" s="91"/>
      <c r="I484" s="91"/>
      <c r="J484" s="91"/>
      <c r="K484" s="91"/>
      <c r="L484" s="91"/>
      <c r="M484" s="91"/>
      <c r="N484" s="91"/>
      <c r="O484" s="91"/>
      <c r="P484" s="91"/>
      <c r="Q484" s="91"/>
      <c r="R484" s="91"/>
      <c r="S484" s="91"/>
      <c r="T484" s="1977" t="s">
        <v>135</v>
      </c>
      <c r="U484" s="1977"/>
      <c r="V484" s="1977"/>
      <c r="W484" s="1977"/>
      <c r="X484" s="1977"/>
      <c r="Y484" s="1977" t="s">
        <v>135</v>
      </c>
      <c r="Z484" s="1977"/>
      <c r="AA484" s="1977"/>
      <c r="AB484" s="1977"/>
      <c r="AC484" s="1977"/>
      <c r="AD484" s="1977" t="s">
        <v>135</v>
      </c>
      <c r="AE484" s="1977"/>
      <c r="AF484" s="1977"/>
      <c r="AG484" s="1977"/>
      <c r="AH484" s="197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6">
      <c r="E485" s="90" t="s">
        <v>556</v>
      </c>
      <c r="F485" s="91"/>
      <c r="G485" s="91"/>
      <c r="H485" s="91"/>
      <c r="I485" s="91"/>
      <c r="J485" s="91"/>
      <c r="K485" s="91"/>
      <c r="L485" s="91"/>
      <c r="M485" s="91"/>
      <c r="N485" s="91"/>
      <c r="O485" s="91"/>
      <c r="P485" s="91"/>
      <c r="Q485" s="91"/>
      <c r="R485" s="91"/>
      <c r="S485" s="91"/>
      <c r="T485" s="1977" t="s">
        <v>135</v>
      </c>
      <c r="U485" s="1977"/>
      <c r="V485" s="1977"/>
      <c r="W485" s="1977"/>
      <c r="X485" s="1977"/>
      <c r="Y485" s="1977" t="s">
        <v>135</v>
      </c>
      <c r="Z485" s="1977"/>
      <c r="AA485" s="1977"/>
      <c r="AB485" s="1977"/>
      <c r="AC485" s="1977"/>
      <c r="AD485" s="1977" t="s">
        <v>135</v>
      </c>
      <c r="AE485" s="1977"/>
      <c r="AF485" s="1977"/>
      <c r="AG485" s="1977"/>
      <c r="AH485" s="197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6">
      <c r="E486" s="90" t="s">
        <v>557</v>
      </c>
      <c r="F486" s="91"/>
      <c r="G486" s="91"/>
      <c r="H486" s="91"/>
      <c r="I486" s="91"/>
      <c r="J486" s="91"/>
      <c r="K486" s="91"/>
      <c r="L486" s="91"/>
      <c r="M486" s="91"/>
      <c r="N486" s="91"/>
      <c r="O486" s="91"/>
      <c r="P486" s="91"/>
      <c r="Q486" s="91"/>
      <c r="R486" s="91"/>
      <c r="S486" s="91"/>
      <c r="T486" s="1977" t="s">
        <v>135</v>
      </c>
      <c r="U486" s="1977"/>
      <c r="V486" s="1977"/>
      <c r="W486" s="1977"/>
      <c r="X486" s="1977"/>
      <c r="Y486" s="1977" t="s">
        <v>135</v>
      </c>
      <c r="Z486" s="1977"/>
      <c r="AA486" s="1977"/>
      <c r="AB486" s="1977"/>
      <c r="AC486" s="1977"/>
      <c r="AD486" s="1977" t="s">
        <v>135</v>
      </c>
      <c r="AE486" s="1977"/>
      <c r="AF486" s="1977"/>
      <c r="AG486" s="1977"/>
      <c r="AH486" s="197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6">
      <c r="E487" s="90" t="s">
        <v>558</v>
      </c>
      <c r="F487" s="91"/>
      <c r="G487" s="91"/>
      <c r="H487" s="91"/>
      <c r="I487" s="91"/>
      <c r="J487" s="91"/>
      <c r="K487" s="91"/>
      <c r="L487" s="91"/>
      <c r="M487" s="91"/>
      <c r="N487" s="91"/>
      <c r="O487" s="91"/>
      <c r="P487" s="91"/>
      <c r="Q487" s="91"/>
      <c r="R487" s="91"/>
      <c r="S487" s="91"/>
      <c r="T487" s="1977">
        <v>44592</v>
      </c>
      <c r="U487" s="1977"/>
      <c r="V487" s="1977"/>
      <c r="W487" s="1977"/>
      <c r="X487" s="1977"/>
      <c r="Y487" s="1977">
        <v>0</v>
      </c>
      <c r="Z487" s="1977"/>
      <c r="AA487" s="1977"/>
      <c r="AB487" s="1977"/>
      <c r="AC487" s="1977"/>
      <c r="AD487" s="1977">
        <v>44620</v>
      </c>
      <c r="AE487" s="1977"/>
      <c r="AF487" s="1977"/>
      <c r="AG487" s="1977"/>
      <c r="AH487" s="197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6">
      <c r="E488" s="90" t="s">
        <v>933</v>
      </c>
      <c r="F488" s="91"/>
      <c r="G488" s="91"/>
      <c r="H488" s="91"/>
      <c r="I488" s="91"/>
      <c r="J488" s="91"/>
      <c r="K488" s="91"/>
      <c r="L488" s="91"/>
      <c r="M488" s="91"/>
      <c r="N488" s="91"/>
      <c r="O488" s="91"/>
      <c r="P488" s="91"/>
      <c r="Q488" s="91"/>
      <c r="R488" s="91"/>
      <c r="S488" s="91"/>
      <c r="T488" s="1977" t="s">
        <v>135</v>
      </c>
      <c r="U488" s="1977"/>
      <c r="V488" s="1977"/>
      <c r="W488" s="1977"/>
      <c r="X488" s="1977"/>
      <c r="Y488" s="1977" t="s">
        <v>135</v>
      </c>
      <c r="Z488" s="1977"/>
      <c r="AA488" s="1977"/>
      <c r="AB488" s="1977"/>
      <c r="AC488" s="1977"/>
      <c r="AD488" s="1977" t="s">
        <v>135</v>
      </c>
      <c r="AE488" s="1977"/>
      <c r="AF488" s="1977"/>
      <c r="AG488" s="1977"/>
      <c r="AH488" s="197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7" t="s">
        <v>135</v>
      </c>
      <c r="U489" s="1977"/>
      <c r="V489" s="1977"/>
      <c r="W489" s="1977"/>
      <c r="X489" s="1977"/>
      <c r="Y489" s="1977" t="s">
        <v>135</v>
      </c>
      <c r="Z489" s="1977"/>
      <c r="AA489" s="1977"/>
      <c r="AB489" s="1977"/>
      <c r="AC489" s="1977"/>
      <c r="AD489" s="1977" t="s">
        <v>135</v>
      </c>
      <c r="AE489" s="1977"/>
      <c r="AF489" s="1977"/>
      <c r="AG489" s="1977"/>
      <c r="AH489" s="197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6">
      <c r="E490" s="117" t="s">
        <v>1389</v>
      </c>
      <c r="F490" s="94"/>
      <c r="G490" s="94"/>
      <c r="H490" s="94"/>
      <c r="I490" s="94"/>
      <c r="J490" s="94"/>
      <c r="K490" s="94"/>
      <c r="L490" s="94"/>
      <c r="M490" s="94"/>
      <c r="N490" s="94"/>
      <c r="O490" s="94"/>
      <c r="P490" s="94"/>
      <c r="Q490" s="94"/>
      <c r="R490" s="94"/>
      <c r="S490" s="94"/>
      <c r="T490" s="1977" t="s">
        <v>135</v>
      </c>
      <c r="U490" s="1977"/>
      <c r="V490" s="1977"/>
      <c r="W490" s="1977"/>
      <c r="X490" s="1977"/>
      <c r="Y490" s="1977" t="s">
        <v>135</v>
      </c>
      <c r="Z490" s="1977"/>
      <c r="AA490" s="1977"/>
      <c r="AB490" s="1977"/>
      <c r="AC490" s="1977"/>
      <c r="AD490" s="1977" t="s">
        <v>135</v>
      </c>
      <c r="AE490" s="1977"/>
      <c r="AF490" s="1977"/>
      <c r="AG490" s="1977"/>
      <c r="AH490" s="197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6">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
      <c r="B492" s="90"/>
      <c r="C492" s="91"/>
      <c r="D492" s="91"/>
      <c r="E492" s="91"/>
      <c r="F492" s="91"/>
      <c r="G492" s="91"/>
      <c r="H492" s="91"/>
      <c r="I492" s="91"/>
      <c r="J492" s="91"/>
      <c r="K492" s="91"/>
      <c r="L492" s="91"/>
      <c r="M492" s="91"/>
      <c r="N492" s="91"/>
      <c r="O492" s="91"/>
      <c r="P492" s="92"/>
      <c r="Q492" s="1978" t="s">
        <v>265</v>
      </c>
      <c r="R492" s="1979"/>
      <c r="S492" s="1979"/>
      <c r="T492" s="1979"/>
      <c r="U492" s="1979"/>
      <c r="V492" s="1979"/>
      <c r="W492" s="1979"/>
      <c r="X492" s="1979"/>
      <c r="Y492" s="1979"/>
      <c r="Z492" s="1979"/>
      <c r="AA492" s="1979"/>
      <c r="AB492" s="1979"/>
      <c r="AC492" s="1979"/>
      <c r="AD492" s="1979"/>
      <c r="AE492" s="1979"/>
      <c r="AF492" s="1979"/>
      <c r="AG492" s="1979"/>
      <c r="AH492" s="1979"/>
      <c r="AI492" s="1979"/>
      <c r="AJ492" s="1979"/>
      <c r="AK492" s="198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6">
      <c r="B493" s="90" t="s">
        <v>266</v>
      </c>
      <c r="C493" s="91"/>
      <c r="D493" s="91"/>
      <c r="E493" s="91"/>
      <c r="F493" s="91"/>
      <c r="G493" s="91"/>
      <c r="H493" s="91"/>
      <c r="I493" s="91"/>
      <c r="J493" s="91"/>
      <c r="K493" s="91"/>
      <c r="L493" s="91"/>
      <c r="M493" s="91"/>
      <c r="N493" s="91"/>
      <c r="O493" s="91"/>
      <c r="P493" s="91"/>
      <c r="Q493" s="1709" t="s">
        <v>2505</v>
      </c>
      <c r="R493" s="1653"/>
      <c r="S493" s="1653"/>
      <c r="T493" s="1653"/>
      <c r="U493" s="1653"/>
      <c r="V493" s="1653"/>
      <c r="W493" s="1653"/>
      <c r="X493" s="1653"/>
      <c r="Y493" s="1653"/>
      <c r="Z493" s="1653"/>
      <c r="AA493" s="1653"/>
      <c r="AB493" s="1653"/>
      <c r="AC493" s="1653"/>
      <c r="AD493" s="1653"/>
      <c r="AE493" s="1653"/>
      <c r="AF493" s="1653"/>
      <c r="AG493" s="1653"/>
      <c r="AH493" s="1653"/>
      <c r="AI493" s="1653"/>
      <c r="AJ493" s="1653"/>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6">
      <c r="B494" s="90" t="s">
        <v>267</v>
      </c>
      <c r="C494" s="91"/>
      <c r="D494" s="91"/>
      <c r="E494" s="91"/>
      <c r="F494" s="91"/>
      <c r="G494" s="91"/>
      <c r="H494" s="91"/>
      <c r="I494" s="91"/>
      <c r="J494" s="91"/>
      <c r="K494" s="91"/>
      <c r="L494" s="91"/>
      <c r="M494" s="91"/>
      <c r="N494" s="91"/>
      <c r="O494" s="91"/>
      <c r="P494" s="91"/>
      <c r="Q494" s="1709" t="s">
        <v>2503</v>
      </c>
      <c r="R494" s="1653"/>
      <c r="S494" s="1653"/>
      <c r="T494" s="1653"/>
      <c r="U494" s="1653"/>
      <c r="V494" s="1653"/>
      <c r="W494" s="1653"/>
      <c r="X494" s="1653"/>
      <c r="Y494" s="1653"/>
      <c r="Z494" s="1653"/>
      <c r="AA494" s="1653"/>
      <c r="AB494" s="1653"/>
      <c r="AC494" s="1653"/>
      <c r="AD494" s="1653"/>
      <c r="AE494" s="1653"/>
      <c r="AF494" s="1653"/>
      <c r="AG494" s="1653"/>
      <c r="AH494" s="1653"/>
      <c r="AI494" s="1653"/>
      <c r="AJ494" s="1653"/>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6">
      <c r="B495" s="90" t="s">
        <v>268</v>
      </c>
      <c r="C495" s="91"/>
      <c r="D495" s="91"/>
      <c r="E495" s="91"/>
      <c r="F495" s="91"/>
      <c r="G495" s="91"/>
      <c r="H495" s="91"/>
      <c r="I495" s="91"/>
      <c r="J495" s="91"/>
      <c r="K495" s="91"/>
      <c r="L495" s="91"/>
      <c r="M495" s="91"/>
      <c r="N495" s="91"/>
      <c r="O495" s="91"/>
      <c r="P495" s="91"/>
      <c r="Q495" s="1709" t="s">
        <v>2503</v>
      </c>
      <c r="R495" s="1653"/>
      <c r="S495" s="1653"/>
      <c r="T495" s="1653"/>
      <c r="U495" s="1653"/>
      <c r="V495" s="1653"/>
      <c r="W495" s="1653"/>
      <c r="X495" s="1653"/>
      <c r="Y495" s="1653"/>
      <c r="Z495" s="1653"/>
      <c r="AA495" s="1653"/>
      <c r="AB495" s="1653"/>
      <c r="AC495" s="1653"/>
      <c r="AD495" s="1653"/>
      <c r="AE495" s="1653"/>
      <c r="AF495" s="1653"/>
      <c r="AG495" s="1653"/>
      <c r="AH495" s="1653"/>
      <c r="AI495" s="1653"/>
      <c r="AJ495" s="1653"/>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269</v>
      </c>
      <c r="C496" s="2001"/>
      <c r="D496" s="2001"/>
      <c r="E496" s="2001"/>
      <c r="F496" s="2001"/>
      <c r="G496" s="2001"/>
      <c r="H496" s="2001"/>
      <c r="I496" s="2001"/>
      <c r="J496" s="2001"/>
      <c r="K496" s="2001"/>
      <c r="L496" s="2001"/>
      <c r="M496" s="2001"/>
      <c r="N496" s="2001"/>
      <c r="O496" s="2001"/>
      <c r="P496" s="2002"/>
      <c r="Q496" s="2107" t="s">
        <v>527</v>
      </c>
      <c r="R496" s="2108"/>
      <c r="S496" s="2111" t="s">
        <v>58</v>
      </c>
      <c r="T496" s="2112"/>
      <c r="U496" s="2112"/>
      <c r="V496" s="2112"/>
      <c r="W496" s="2112"/>
      <c r="X496" s="2112"/>
      <c r="Y496" s="2112"/>
      <c r="Z496" s="2112"/>
      <c r="AA496" s="2112"/>
      <c r="AB496" s="2112"/>
      <c r="AC496" s="2112"/>
      <c r="AD496" s="2112"/>
      <c r="AE496" s="2112"/>
      <c r="AF496" s="2112"/>
      <c r="AG496" s="2112"/>
      <c r="AH496" s="2112"/>
      <c r="AI496" s="2112"/>
      <c r="AJ496" s="2112"/>
      <c r="AK496" s="21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6">
      <c r="B497" s="2003"/>
      <c r="C497" s="2004"/>
      <c r="D497" s="2004"/>
      <c r="E497" s="2004"/>
      <c r="F497" s="2004"/>
      <c r="G497" s="2004"/>
      <c r="H497" s="2004"/>
      <c r="I497" s="2004"/>
      <c r="J497" s="2004"/>
      <c r="K497" s="2004"/>
      <c r="L497" s="2004"/>
      <c r="M497" s="2004"/>
      <c r="N497" s="2004"/>
      <c r="O497" s="2004"/>
      <c r="P497" s="2005"/>
      <c r="Q497" s="2109"/>
      <c r="R497" s="2110"/>
      <c r="S497" s="2114"/>
      <c r="T497" s="2115"/>
      <c r="U497" s="2115"/>
      <c r="V497" s="2115"/>
      <c r="W497" s="2115"/>
      <c r="X497" s="2115"/>
      <c r="Y497" s="2115"/>
      <c r="Z497" s="2115"/>
      <c r="AA497" s="2115"/>
      <c r="AB497" s="2115"/>
      <c r="AC497" s="2115"/>
      <c r="AD497" s="2115"/>
      <c r="AE497" s="2115"/>
      <c r="AF497" s="2115"/>
      <c r="AG497" s="2115"/>
      <c r="AH497" s="2115"/>
      <c r="AI497" s="2115"/>
      <c r="AJ497" s="2115"/>
      <c r="AK497" s="21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2195</v>
      </c>
      <c r="C498" s="1348"/>
      <c r="D498" s="1348"/>
      <c r="E498" s="1348"/>
      <c r="F498" s="1348"/>
      <c r="G498" s="1348"/>
      <c r="H498" s="1348"/>
      <c r="I498" s="1348"/>
      <c r="J498" s="1348"/>
      <c r="K498" s="1348"/>
      <c r="L498" s="1348"/>
      <c r="M498" s="1348"/>
      <c r="N498" s="1348"/>
      <c r="O498" s="1348"/>
      <c r="P498" s="1348"/>
      <c r="Q498" s="2117" t="s">
        <v>527</v>
      </c>
      <c r="R498" s="2118"/>
      <c r="S498" s="2118"/>
      <c r="T498" s="2118"/>
      <c r="U498" s="2118"/>
      <c r="V498" s="2118"/>
      <c r="W498" s="2118"/>
      <c r="X498" s="2118"/>
      <c r="Y498" s="2118"/>
      <c r="Z498" s="2118"/>
      <c r="AA498" s="2118"/>
      <c r="AB498" s="2118"/>
      <c r="AC498" s="2118"/>
      <c r="AD498" s="2118"/>
      <c r="AE498" s="2118"/>
      <c r="AF498" s="2118"/>
      <c r="AG498" s="2118"/>
      <c r="AH498" s="2118"/>
      <c r="AI498" s="2118"/>
      <c r="AJ498" s="2118"/>
      <c r="AK498" s="21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6">
      <c r="B499" s="90" t="s">
        <v>270</v>
      </c>
      <c r="C499" s="91"/>
      <c r="D499" s="91"/>
      <c r="E499" s="91"/>
      <c r="F499" s="91"/>
      <c r="G499" s="91"/>
      <c r="H499" s="91"/>
      <c r="I499" s="91"/>
      <c r="J499" s="91"/>
      <c r="K499" s="91"/>
      <c r="L499" s="91"/>
      <c r="M499" s="91"/>
      <c r="N499" s="91"/>
      <c r="O499" s="91"/>
      <c r="P499" s="91"/>
      <c r="Q499" s="1709" t="s">
        <v>2504</v>
      </c>
      <c r="R499" s="1653"/>
      <c r="S499" s="1653"/>
      <c r="T499" s="1653"/>
      <c r="U499" s="1653"/>
      <c r="V499" s="1653"/>
      <c r="W499" s="1653"/>
      <c r="X499" s="1653"/>
      <c r="Y499" s="1653"/>
      <c r="Z499" s="1653"/>
      <c r="AA499" s="1653"/>
      <c r="AB499" s="1653"/>
      <c r="AC499" s="1653"/>
      <c r="AD499" s="1653"/>
      <c r="AE499" s="1653"/>
      <c r="AF499" s="1653"/>
      <c r="AG499" s="1653"/>
      <c r="AH499" s="1653"/>
      <c r="AI499" s="1653"/>
      <c r="AJ499" s="1653"/>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6">
      <c r="B500" s="90" t="s">
        <v>271</v>
      </c>
      <c r="C500" s="91"/>
      <c r="D500" s="91"/>
      <c r="E500" s="91"/>
      <c r="F500" s="91"/>
      <c r="G500" s="91"/>
      <c r="H500" s="91"/>
      <c r="I500" s="91"/>
      <c r="J500" s="91"/>
      <c r="K500" s="91"/>
      <c r="L500" s="91"/>
      <c r="M500" s="91"/>
      <c r="N500" s="91"/>
      <c r="O500" s="91"/>
      <c r="P500" s="91"/>
      <c r="Q500" s="1709" t="s">
        <v>2429</v>
      </c>
      <c r="R500" s="1653"/>
      <c r="S500" s="1653"/>
      <c r="T500" s="1653"/>
      <c r="U500" s="1653"/>
      <c r="V500" s="1653"/>
      <c r="W500" s="1653"/>
      <c r="X500" s="1653"/>
      <c r="Y500" s="1653"/>
      <c r="Z500" s="1653"/>
      <c r="AA500" s="1653"/>
      <c r="AB500" s="1653"/>
      <c r="AC500" s="1653"/>
      <c r="AD500" s="1653"/>
      <c r="AE500" s="1653"/>
      <c r="AF500" s="1653"/>
      <c r="AG500" s="1653"/>
      <c r="AH500" s="1653"/>
      <c r="AI500" s="1653"/>
      <c r="AJ500" s="1653"/>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6">
      <c r="B501" s="334" t="s">
        <v>2196</v>
      </c>
      <c r="C501" s="91"/>
      <c r="D501" s="91"/>
      <c r="E501" s="91"/>
      <c r="F501" s="91"/>
      <c r="G501" s="91"/>
      <c r="H501" s="91"/>
      <c r="I501" s="91"/>
      <c r="J501" s="91"/>
      <c r="K501" s="91"/>
      <c r="L501" s="91"/>
      <c r="M501" s="91"/>
      <c r="N501" s="91"/>
      <c r="O501" s="91"/>
      <c r="P501" s="91"/>
      <c r="Q501" s="1709">
        <v>98</v>
      </c>
      <c r="R501" s="1653"/>
      <c r="S501" s="1653"/>
      <c r="T501" s="1653"/>
      <c r="U501" s="1653"/>
      <c r="V501" s="1653"/>
      <c r="W501" s="1653"/>
      <c r="X501" s="1653"/>
      <c r="Y501" s="1653"/>
      <c r="Z501" s="1653"/>
      <c r="AA501" s="1653"/>
      <c r="AB501" s="1653"/>
      <c r="AC501" s="1653"/>
      <c r="AD501" s="1653"/>
      <c r="AE501" s="1653"/>
      <c r="AF501" s="1653"/>
      <c r="AG501" s="1653"/>
      <c r="AH501" s="1653"/>
      <c r="AI501" s="1653"/>
      <c r="AJ501" s="1653"/>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6">
      <c r="B502" s="334" t="s">
        <v>2197</v>
      </c>
      <c r="C502" s="91"/>
      <c r="D502" s="91"/>
      <c r="E502" s="91"/>
      <c r="F502" s="91"/>
      <c r="G502" s="91"/>
      <c r="H502" s="91"/>
      <c r="I502" s="91"/>
      <c r="J502" s="91"/>
      <c r="K502" s="91"/>
      <c r="L502" s="91"/>
      <c r="M502" s="1945">
        <v>60</v>
      </c>
      <c r="N502" s="1660"/>
      <c r="O502" s="1660"/>
      <c r="P502" s="1946"/>
      <c r="Q502" s="1384" t="s">
        <v>2198</v>
      </c>
      <c r="R502" s="1385"/>
      <c r="S502" s="1385"/>
      <c r="T502" s="1385"/>
      <c r="U502" s="1385"/>
      <c r="V502" s="1385"/>
      <c r="W502" s="1385"/>
      <c r="X502" s="1385"/>
      <c r="Y502" s="1385"/>
      <c r="Z502" s="1385"/>
      <c r="AA502" s="1385"/>
      <c r="AB502" s="1385"/>
      <c r="AC502" s="1385"/>
      <c r="AD502" s="1385"/>
      <c r="AE502" s="1385"/>
      <c r="AF502" s="1385"/>
      <c r="AG502" s="1385"/>
      <c r="AH502" s="1945">
        <v>38</v>
      </c>
      <c r="AI502" s="1660"/>
      <c r="AJ502" s="1660"/>
      <c r="AK502" s="194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6">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6">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8" t="s">
        <v>273</v>
      </c>
      <c r="AD506" s="1979"/>
      <c r="AE506" s="1979"/>
      <c r="AF506" s="1979"/>
      <c r="AG506" s="1979"/>
      <c r="AH506" s="1979"/>
      <c r="AI506" s="1979"/>
      <c r="AJ506" s="1979"/>
      <c r="AK506" s="198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0" t="s">
        <v>274</v>
      </c>
      <c r="AD507" s="1994"/>
      <c r="AE507" s="1994"/>
      <c r="AF507" s="1994"/>
      <c r="AG507" s="96" t="s">
        <v>275</v>
      </c>
      <c r="AH507" s="1994" t="s">
        <v>276</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
      <c r="B508" s="1669" t="s">
        <v>277</v>
      </c>
      <c r="C508" s="1670"/>
      <c r="D508" s="1670"/>
      <c r="E508" s="1670"/>
      <c r="F508" s="1670"/>
      <c r="G508" s="1670"/>
      <c r="H508" s="1671"/>
      <c r="I508" s="86" t="s">
        <v>732</v>
      </c>
      <c r="J508" s="86"/>
      <c r="K508" s="86"/>
      <c r="L508" s="86"/>
      <c r="M508" s="86"/>
      <c r="N508" s="86"/>
      <c r="O508" s="86"/>
      <c r="P508" s="86"/>
      <c r="Q508" s="86"/>
      <c r="R508" s="86"/>
      <c r="S508" s="86"/>
      <c r="T508" s="86"/>
      <c r="U508" s="86"/>
      <c r="V508" s="86"/>
      <c r="W508" s="86"/>
      <c r="X508" s="35"/>
      <c r="Y508" s="35"/>
      <c r="AC508" s="1954">
        <v>6</v>
      </c>
      <c r="AD508" s="1849"/>
      <c r="AE508" s="1849"/>
      <c r="AF508" s="1849"/>
      <c r="AG508" s="89" t="s">
        <v>275</v>
      </c>
      <c r="AH508" s="1712">
        <v>2022</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
      <c r="B509" s="1672"/>
      <c r="C509" s="1673"/>
      <c r="D509" s="1673"/>
      <c r="E509" s="1673"/>
      <c r="F509" s="1673"/>
      <c r="G509" s="1673"/>
      <c r="H509" s="1674"/>
      <c r="I509" s="94" t="s">
        <v>733</v>
      </c>
      <c r="J509" s="94"/>
      <c r="K509" s="94"/>
      <c r="L509" s="94"/>
      <c r="M509" s="94"/>
      <c r="N509" s="94"/>
      <c r="O509" s="94"/>
      <c r="P509" s="94"/>
      <c r="Q509" s="94"/>
      <c r="R509" s="94"/>
      <c r="S509" s="94"/>
      <c r="T509" s="94"/>
      <c r="U509" s="94"/>
      <c r="V509" s="94"/>
      <c r="W509" s="94"/>
      <c r="X509" s="94"/>
      <c r="Y509" s="94"/>
      <c r="Z509" s="94"/>
      <c r="AA509" s="94"/>
      <c r="AB509" s="94"/>
      <c r="AC509" s="1954">
        <v>12</v>
      </c>
      <c r="AD509" s="1849"/>
      <c r="AE509" s="1849"/>
      <c r="AF509" s="1849"/>
      <c r="AG509" s="79" t="s">
        <v>275</v>
      </c>
      <c r="AH509" s="1712">
        <v>2022</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
      <c r="B510" s="1669" t="s">
        <v>734</v>
      </c>
      <c r="C510" s="1670"/>
      <c r="D510" s="1670"/>
      <c r="E510" s="1670"/>
      <c r="F510" s="1670"/>
      <c r="G510" s="1670"/>
      <c r="H510" s="1671"/>
      <c r="I510" s="86" t="s">
        <v>735</v>
      </c>
      <c r="J510" s="86"/>
      <c r="K510" s="86"/>
      <c r="L510" s="86"/>
      <c r="M510" s="86"/>
      <c r="N510" s="86"/>
      <c r="O510" s="86"/>
      <c r="P510" s="86"/>
      <c r="Q510" s="86"/>
      <c r="R510" s="86"/>
      <c r="S510" s="86"/>
      <c r="T510" s="86"/>
      <c r="U510" s="86"/>
      <c r="V510" s="86"/>
      <c r="W510" s="86"/>
      <c r="X510" s="35"/>
      <c r="Y510" s="35"/>
      <c r="AC510" s="1954" t="s">
        <v>135</v>
      </c>
      <c r="AD510" s="1849"/>
      <c r="AE510" s="1849"/>
      <c r="AF510" s="1849"/>
      <c r="AG510" s="89" t="s">
        <v>275</v>
      </c>
      <c r="AH510" s="1712"/>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
      <c r="B511" s="1672"/>
      <c r="C511" s="1673"/>
      <c r="D511" s="1673"/>
      <c r="E511" s="1673"/>
      <c r="F511" s="1673"/>
      <c r="G511" s="1673"/>
      <c r="H511" s="1674"/>
      <c r="I511" s="35" t="s">
        <v>736</v>
      </c>
      <c r="J511" s="35"/>
      <c r="K511" s="35"/>
      <c r="L511" s="35"/>
      <c r="M511" s="35"/>
      <c r="N511" s="35"/>
      <c r="O511" s="35"/>
      <c r="P511" s="35"/>
      <c r="Q511" s="35"/>
      <c r="R511" s="35"/>
      <c r="S511" s="35"/>
      <c r="T511" s="35"/>
      <c r="U511" s="35"/>
      <c r="V511" s="35"/>
      <c r="W511" s="35"/>
      <c r="X511" s="35"/>
      <c r="Y511" s="35"/>
      <c r="AC511" s="1954" t="s">
        <v>135</v>
      </c>
      <c r="AD511" s="1849"/>
      <c r="AE511" s="1849"/>
      <c r="AF511" s="1849"/>
      <c r="AG511" s="89" t="s">
        <v>275</v>
      </c>
      <c r="AH511" s="1712"/>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
      <c r="B512" s="1672"/>
      <c r="C512" s="1673"/>
      <c r="D512" s="1673"/>
      <c r="E512" s="1673"/>
      <c r="F512" s="1673"/>
      <c r="G512" s="1673"/>
      <c r="H512" s="1674"/>
      <c r="I512" s="35" t="s">
        <v>737</v>
      </c>
      <c r="J512" s="35"/>
      <c r="K512" s="35"/>
      <c r="L512" s="35"/>
      <c r="M512" s="35"/>
      <c r="N512" s="35"/>
      <c r="O512" s="35"/>
      <c r="P512" s="35"/>
      <c r="Q512" s="35"/>
      <c r="R512" s="35"/>
      <c r="S512" s="35"/>
      <c r="T512" s="35"/>
      <c r="U512" s="35"/>
      <c r="V512" s="35"/>
      <c r="W512" s="35"/>
      <c r="X512" s="35"/>
      <c r="Y512" s="35"/>
      <c r="AC512" s="1954">
        <v>2</v>
      </c>
      <c r="AD512" s="1849"/>
      <c r="AE512" s="1849"/>
      <c r="AF512" s="1849"/>
      <c r="AG512" s="89" t="s">
        <v>275</v>
      </c>
      <c r="AH512" s="1712">
        <v>2022</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
      <c r="B513" s="1672"/>
      <c r="C513" s="1673"/>
      <c r="D513" s="1673"/>
      <c r="E513" s="1673"/>
      <c r="F513" s="1673"/>
      <c r="G513" s="1673"/>
      <c r="H513" s="1674"/>
      <c r="I513" s="35" t="s">
        <v>738</v>
      </c>
      <c r="J513" s="35"/>
      <c r="K513" s="35"/>
      <c r="L513" s="35"/>
      <c r="M513" s="35"/>
      <c r="N513" s="35"/>
      <c r="O513" s="35"/>
      <c r="P513" s="35"/>
      <c r="Q513" s="35"/>
      <c r="R513" s="35"/>
      <c r="S513" s="35"/>
      <c r="T513" s="35"/>
      <c r="U513" s="35"/>
      <c r="V513" s="35"/>
      <c r="W513" s="35"/>
      <c r="X513" s="35"/>
      <c r="Y513" s="35"/>
      <c r="AC513" s="1954">
        <v>12</v>
      </c>
      <c r="AD513" s="1849"/>
      <c r="AE513" s="1849"/>
      <c r="AF513" s="1849"/>
      <c r="AG513" s="89" t="s">
        <v>275</v>
      </c>
      <c r="AH513" s="1712">
        <v>2022</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
      <c r="B514" s="1672"/>
      <c r="C514" s="1673"/>
      <c r="D514" s="1673"/>
      <c r="E514" s="1673"/>
      <c r="F514" s="1673"/>
      <c r="G514" s="1673"/>
      <c r="H514" s="1674"/>
      <c r="I514" s="326" t="s">
        <v>739</v>
      </c>
      <c r="J514" s="35"/>
      <c r="K514" s="35"/>
      <c r="L514" s="35"/>
      <c r="M514" s="35"/>
      <c r="N514" s="35"/>
      <c r="O514" s="35"/>
      <c r="P514" s="35"/>
      <c r="Q514" s="35"/>
      <c r="R514" s="35"/>
      <c r="S514" s="35"/>
      <c r="T514" s="35"/>
      <c r="U514" s="35"/>
      <c r="V514" s="35"/>
      <c r="W514" s="35"/>
      <c r="X514" s="35"/>
      <c r="Y514" s="35"/>
      <c r="AC514" s="1785">
        <v>12</v>
      </c>
      <c r="AD514" s="1786"/>
      <c r="AE514" s="1786"/>
      <c r="AF514" s="1786"/>
      <c r="AG514" s="1350" t="s">
        <v>275</v>
      </c>
      <c r="AH514" s="1712">
        <v>2022</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
      <c r="B515" s="1672"/>
      <c r="C515" s="1673"/>
      <c r="D515" s="1673"/>
      <c r="E515" s="1673"/>
      <c r="F515" s="1673"/>
      <c r="G515" s="1673"/>
      <c r="H515" s="1674"/>
      <c r="I515" s="624" t="s">
        <v>310</v>
      </c>
      <c r="J515" s="94"/>
      <c r="K515" s="94"/>
      <c r="L515" s="2089" t="s">
        <v>618</v>
      </c>
      <c r="M515" s="2090"/>
      <c r="N515" s="2090"/>
      <c r="O515" s="2090"/>
      <c r="P515" s="2090"/>
      <c r="Q515" s="2090"/>
      <c r="R515" s="2090"/>
      <c r="S515" s="2090"/>
      <c r="T515" s="2090"/>
      <c r="U515" s="2090"/>
      <c r="V515" s="2090"/>
      <c r="W515" s="2090"/>
      <c r="X515" s="2090"/>
      <c r="Y515" s="2090"/>
      <c r="Z515" s="2090"/>
      <c r="AA515" s="2090"/>
      <c r="AB515" s="2091"/>
      <c r="AC515" s="2074" t="s">
        <v>135</v>
      </c>
      <c r="AD515" s="1837"/>
      <c r="AE515" s="1837"/>
      <c r="AF515" s="1837"/>
      <c r="AG515" s="1346" t="s">
        <v>275</v>
      </c>
      <c r="AH515" s="1712"/>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
      <c r="B516" s="1672"/>
      <c r="C516" s="1673"/>
      <c r="D516" s="1673"/>
      <c r="E516" s="1673"/>
      <c r="F516" s="1673"/>
      <c r="G516" s="1673"/>
      <c r="H516" s="1674"/>
      <c r="I516" s="1070" t="s">
        <v>2199</v>
      </c>
      <c r="J516" s="35"/>
      <c r="K516" s="35"/>
      <c r="L516" s="35"/>
      <c r="M516" s="35"/>
      <c r="N516" s="35"/>
      <c r="O516" s="35"/>
      <c r="P516" s="35"/>
      <c r="Q516" s="35"/>
      <c r="R516" s="35"/>
      <c r="S516" s="35"/>
      <c r="T516" s="35"/>
      <c r="U516" s="35"/>
      <c r="V516" s="35"/>
      <c r="W516" s="35"/>
      <c r="X516" s="35"/>
      <c r="Y516" s="35"/>
      <c r="AC516" s="2075" t="s">
        <v>527</v>
      </c>
      <c r="AD516" s="2075"/>
      <c r="AE516" s="2075"/>
      <c r="AF516" s="2075"/>
      <c r="AG516" s="1350"/>
      <c r="AH516" s="2076"/>
      <c r="AI516" s="2076"/>
      <c r="AJ516" s="2076"/>
      <c r="AK516" s="207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
      <c r="B517" s="1672"/>
      <c r="C517" s="1673"/>
      <c r="D517" s="1673"/>
      <c r="E517" s="1673"/>
      <c r="F517" s="1673"/>
      <c r="G517" s="1673"/>
      <c r="H517" s="1674"/>
      <c r="I517" s="623" t="s">
        <v>2200</v>
      </c>
      <c r="J517" s="35"/>
      <c r="K517" s="35"/>
      <c r="L517" s="35"/>
      <c r="M517" s="35"/>
      <c r="N517" s="35"/>
      <c r="O517" s="35"/>
      <c r="P517" s="35"/>
      <c r="Q517" s="35"/>
      <c r="R517" s="35"/>
      <c r="S517" s="35"/>
      <c r="T517" s="35"/>
      <c r="U517" s="35"/>
      <c r="V517" s="35"/>
      <c r="W517" s="35"/>
      <c r="X517" s="35"/>
      <c r="Y517" s="35"/>
      <c r="AC517" s="1785"/>
      <c r="AD517" s="1786"/>
      <c r="AE517" s="1786"/>
      <c r="AF517" s="1787"/>
      <c r="AG517" s="1350"/>
      <c r="AH517" s="2076"/>
      <c r="AI517" s="2076"/>
      <c r="AJ517" s="2076"/>
      <c r="AK517" s="207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
      <c r="B518" s="1672"/>
      <c r="C518" s="1673"/>
      <c r="D518" s="1673"/>
      <c r="E518" s="1673"/>
      <c r="F518" s="1673"/>
      <c r="G518" s="1673"/>
      <c r="H518" s="1674"/>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
      <c r="B519" s="1672"/>
      <c r="C519" s="1673"/>
      <c r="D519" s="1673"/>
      <c r="E519" s="1673"/>
      <c r="F519" s="1673"/>
      <c r="G519" s="1673"/>
      <c r="H519" s="1674"/>
      <c r="I519" s="1390" t="s">
        <v>2202</v>
      </c>
      <c r="J519" s="94"/>
      <c r="K519" s="94"/>
      <c r="L519" s="94"/>
      <c r="M519" s="94"/>
      <c r="N519" s="94"/>
      <c r="O519" s="94"/>
      <c r="P519" s="94"/>
      <c r="Q519" s="94"/>
      <c r="R519" s="94"/>
      <c r="S519" s="94"/>
      <c r="T519" s="94"/>
      <c r="U519" s="94"/>
      <c r="V519" s="94"/>
      <c r="W519" s="94"/>
      <c r="X519" s="94"/>
      <c r="Y519" s="94"/>
      <c r="Z519" s="94"/>
      <c r="AA519" s="94"/>
      <c r="AB519" s="94"/>
      <c r="AC519" s="2084">
        <v>0.3</v>
      </c>
      <c r="AD519" s="2085"/>
      <c r="AE519" s="2085"/>
      <c r="AF519" s="2086"/>
      <c r="AG519" s="1346"/>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
      <c r="B520" s="1669" t="s">
        <v>740</v>
      </c>
      <c r="C520" s="1670"/>
      <c r="D520" s="1670"/>
      <c r="E520" s="1670"/>
      <c r="F520" s="1670"/>
      <c r="G520" s="1670"/>
      <c r="H520" s="1671"/>
      <c r="I520" s="86" t="s">
        <v>741</v>
      </c>
      <c r="J520" s="86"/>
      <c r="K520" s="86"/>
      <c r="L520" s="86"/>
      <c r="M520" s="86"/>
      <c r="N520" s="86"/>
      <c r="O520" s="86"/>
      <c r="P520" s="86"/>
      <c r="Q520" s="86"/>
      <c r="R520" s="86"/>
      <c r="S520" s="86"/>
      <c r="T520" s="86"/>
      <c r="U520" s="86"/>
      <c r="V520" s="86"/>
      <c r="W520" s="86"/>
      <c r="X520" s="35"/>
      <c r="Y520" s="35"/>
      <c r="AC520" s="1954">
        <v>1</v>
      </c>
      <c r="AD520" s="1849"/>
      <c r="AE520" s="1849"/>
      <c r="AF520" s="1849"/>
      <c r="AG520" s="89" t="s">
        <v>275</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
      <c r="B521" s="1672"/>
      <c r="C521" s="1673"/>
      <c r="D521" s="1673"/>
      <c r="E521" s="1673"/>
      <c r="F521" s="1673"/>
      <c r="G521" s="1673"/>
      <c r="H521" s="1674"/>
      <c r="I521" s="35" t="s">
        <v>742</v>
      </c>
      <c r="J521" s="35"/>
      <c r="K521" s="35"/>
      <c r="L521" s="35"/>
      <c r="M521" s="35"/>
      <c r="N521" s="35"/>
      <c r="O521" s="35"/>
      <c r="P521" s="35"/>
      <c r="Q521" s="35"/>
      <c r="R521" s="35"/>
      <c r="S521" s="35"/>
      <c r="T521" s="35"/>
      <c r="U521" s="35"/>
      <c r="V521" s="35"/>
      <c r="W521" s="35"/>
      <c r="X521" s="35"/>
      <c r="Y521" s="35"/>
      <c r="AC521" s="1954">
        <v>2</v>
      </c>
      <c r="AD521" s="1849"/>
      <c r="AE521" s="1849"/>
      <c r="AF521" s="1849"/>
      <c r="AG521" s="89" t="s">
        <v>275</v>
      </c>
      <c r="AH521" s="1712">
        <v>2022</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
      <c r="B522" s="1672"/>
      <c r="C522" s="1673"/>
      <c r="D522" s="1673"/>
      <c r="E522" s="1673"/>
      <c r="F522" s="1673"/>
      <c r="G522" s="1673"/>
      <c r="H522" s="1674"/>
      <c r="I522" s="94" t="s">
        <v>743</v>
      </c>
      <c r="J522" s="94"/>
      <c r="K522" s="94"/>
      <c r="L522" s="94"/>
      <c r="M522" s="94"/>
      <c r="N522" s="94"/>
      <c r="O522" s="94"/>
      <c r="P522" s="94"/>
      <c r="Q522" s="94"/>
      <c r="R522" s="94"/>
      <c r="S522" s="94"/>
      <c r="T522" s="94"/>
      <c r="U522" s="94"/>
      <c r="V522" s="94"/>
      <c r="W522" s="94"/>
      <c r="X522" s="94"/>
      <c r="Y522" s="94"/>
      <c r="Z522" s="94"/>
      <c r="AA522" s="94"/>
      <c r="AB522" s="94"/>
      <c r="AC522" s="1954">
        <v>12</v>
      </c>
      <c r="AD522" s="1849"/>
      <c r="AE522" s="1849"/>
      <c r="AF522" s="1849"/>
      <c r="AG522" s="79" t="s">
        <v>275</v>
      </c>
      <c r="AH522" s="1712">
        <v>2022</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
      <c r="B523" s="1669" t="s">
        <v>744</v>
      </c>
      <c r="C523" s="1670"/>
      <c r="D523" s="1670"/>
      <c r="E523" s="1670"/>
      <c r="F523" s="1670"/>
      <c r="G523" s="1670"/>
      <c r="H523" s="1671"/>
      <c r="I523" s="86" t="s">
        <v>741</v>
      </c>
      <c r="J523" s="86"/>
      <c r="K523" s="86"/>
      <c r="L523" s="86"/>
      <c r="M523" s="86"/>
      <c r="N523" s="86"/>
      <c r="O523" s="86"/>
      <c r="P523" s="86"/>
      <c r="Q523" s="86"/>
      <c r="R523" s="86"/>
      <c r="S523" s="86"/>
      <c r="T523" s="86"/>
      <c r="U523" s="86"/>
      <c r="V523" s="86"/>
      <c r="W523" s="86"/>
      <c r="X523" s="86"/>
      <c r="Y523" s="86"/>
      <c r="Z523" s="86"/>
      <c r="AA523" s="86"/>
      <c r="AB523" s="86"/>
      <c r="AC523" s="1823">
        <v>1</v>
      </c>
      <c r="AD523" s="1824"/>
      <c r="AE523" s="1824"/>
      <c r="AF523" s="1824"/>
      <c r="AG523" s="360" t="s">
        <v>275</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
      <c r="B524" s="1672"/>
      <c r="C524" s="1673"/>
      <c r="D524" s="1673"/>
      <c r="E524" s="1673"/>
      <c r="F524" s="1673"/>
      <c r="G524" s="1673"/>
      <c r="H524" s="1674"/>
      <c r="I524" s="35" t="s">
        <v>742</v>
      </c>
      <c r="J524" s="35"/>
      <c r="K524" s="35"/>
      <c r="L524" s="35"/>
      <c r="M524" s="35"/>
      <c r="N524" s="35"/>
      <c r="O524" s="35"/>
      <c r="P524" s="35"/>
      <c r="Q524" s="35"/>
      <c r="R524" s="35"/>
      <c r="S524" s="35"/>
      <c r="T524" s="35"/>
      <c r="U524" s="35"/>
      <c r="V524" s="35"/>
      <c r="W524" s="35"/>
      <c r="X524" s="35"/>
      <c r="Y524" s="35"/>
      <c r="Z524" s="35"/>
      <c r="AA524" s="35"/>
      <c r="AB524" s="35"/>
      <c r="AC524" s="1954">
        <v>2</v>
      </c>
      <c r="AD524" s="1849"/>
      <c r="AE524" s="1849"/>
      <c r="AF524" s="1849"/>
      <c r="AG524" s="89" t="s">
        <v>275</v>
      </c>
      <c r="AH524" s="1712">
        <v>2022</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
      <c r="B525" s="1675"/>
      <c r="C525" s="1676"/>
      <c r="D525" s="1676"/>
      <c r="E525" s="1676"/>
      <c r="F525" s="1676"/>
      <c r="G525" s="1676"/>
      <c r="H525" s="1677"/>
      <c r="I525" s="94" t="s">
        <v>743</v>
      </c>
      <c r="J525" s="94"/>
      <c r="K525" s="94"/>
      <c r="L525" s="94"/>
      <c r="M525" s="94"/>
      <c r="N525" s="94"/>
      <c r="O525" s="94"/>
      <c r="P525" s="94"/>
      <c r="Q525" s="94"/>
      <c r="R525" s="94"/>
      <c r="S525" s="94"/>
      <c r="T525" s="94"/>
      <c r="U525" s="94"/>
      <c r="V525" s="94"/>
      <c r="W525" s="94"/>
      <c r="X525" s="94"/>
      <c r="Y525" s="94"/>
      <c r="Z525" s="94"/>
      <c r="AA525" s="94"/>
      <c r="AB525" s="94"/>
      <c r="AC525" s="1954">
        <v>12</v>
      </c>
      <c r="AD525" s="1849"/>
      <c r="AE525" s="1849"/>
      <c r="AF525" s="1849"/>
      <c r="AG525" s="79" t="s">
        <v>275</v>
      </c>
      <c r="AH525" s="1712">
        <v>2024</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
      <c r="B526" s="1669" t="s">
        <v>745</v>
      </c>
      <c r="C526" s="1670"/>
      <c r="D526" s="1670"/>
      <c r="E526" s="1670"/>
      <c r="F526" s="1670"/>
      <c r="G526" s="1670"/>
      <c r="H526" s="1671"/>
      <c r="I526" s="85" t="s">
        <v>746</v>
      </c>
      <c r="J526" s="86"/>
      <c r="K526" s="86"/>
      <c r="L526" s="86"/>
      <c r="M526" s="86"/>
      <c r="N526" s="86"/>
      <c r="O526" s="1653" t="s">
        <v>2459</v>
      </c>
      <c r="P526" s="1653"/>
      <c r="Q526" s="1653"/>
      <c r="R526" s="1653"/>
      <c r="S526" s="1653"/>
      <c r="T526" s="1653"/>
      <c r="U526" s="1653"/>
      <c r="V526" s="1653"/>
      <c r="W526" s="1653"/>
      <c r="X526" s="1653"/>
      <c r="Y526" s="1653"/>
      <c r="Z526" s="1653"/>
      <c r="AA526" s="1653"/>
      <c r="AB526" s="108"/>
      <c r="AC526" s="1823"/>
      <c r="AD526" s="1824"/>
      <c r="AE526" s="1824"/>
      <c r="AF526" s="1824"/>
      <c r="AG526" s="360" t="s">
        <v>275</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
      <c r="B527" s="1672"/>
      <c r="C527" s="1673"/>
      <c r="D527" s="1673"/>
      <c r="E527" s="1673"/>
      <c r="F527" s="1673"/>
      <c r="G527" s="1673"/>
      <c r="H527" s="1674"/>
      <c r="I527" s="317" t="s">
        <v>747</v>
      </c>
      <c r="J527" s="35"/>
      <c r="K527" s="35"/>
      <c r="L527" s="35"/>
      <c r="M527" s="35"/>
      <c r="N527" s="35"/>
      <c r="O527" s="35"/>
      <c r="P527" s="35"/>
      <c r="Q527" s="35"/>
      <c r="R527" s="35"/>
      <c r="S527" s="35"/>
      <c r="T527" s="35"/>
      <c r="U527" s="35"/>
      <c r="V527" s="35"/>
      <c r="W527" s="35"/>
      <c r="X527" s="35"/>
      <c r="Y527" s="35"/>
      <c r="Z527" s="35"/>
      <c r="AA527" s="35"/>
      <c r="AB527" s="115"/>
      <c r="AC527" s="1954">
        <v>12</v>
      </c>
      <c r="AD527" s="1849"/>
      <c r="AE527" s="1849"/>
      <c r="AF527" s="1849"/>
      <c r="AG527" s="89" t="s">
        <v>275</v>
      </c>
      <c r="AH527" s="1712">
        <v>2021</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
      <c r="B528" s="1672"/>
      <c r="C528" s="1673"/>
      <c r="D528" s="1673"/>
      <c r="E528" s="1673"/>
      <c r="F528" s="1673"/>
      <c r="G528" s="1673"/>
      <c r="H528" s="1674"/>
      <c r="I528" s="93" t="s">
        <v>748</v>
      </c>
      <c r="J528" s="94"/>
      <c r="K528" s="94"/>
      <c r="L528" s="94"/>
      <c r="M528" s="94"/>
      <c r="N528" s="94"/>
      <c r="O528" s="94"/>
      <c r="P528" s="94"/>
      <c r="Q528" s="94"/>
      <c r="R528" s="94"/>
      <c r="S528" s="94"/>
      <c r="T528" s="94"/>
      <c r="U528" s="94"/>
      <c r="V528" s="94"/>
      <c r="W528" s="94"/>
      <c r="X528" s="94"/>
      <c r="Y528" s="94"/>
      <c r="Z528" s="94"/>
      <c r="AA528" s="94"/>
      <c r="AB528" s="95"/>
      <c r="AC528" s="1954">
        <v>12</v>
      </c>
      <c r="AD528" s="1849"/>
      <c r="AE528" s="1849"/>
      <c r="AF528" s="1849"/>
      <c r="AG528" s="79" t="s">
        <v>275</v>
      </c>
      <c r="AH528" s="1712">
        <v>2022</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
      <c r="B529" s="1672"/>
      <c r="C529" s="1673"/>
      <c r="D529" s="1673"/>
      <c r="E529" s="1673"/>
      <c r="F529" s="1673"/>
      <c r="G529" s="1673"/>
      <c r="H529" s="1674"/>
      <c r="I529" s="86" t="s">
        <v>749</v>
      </c>
      <c r="J529" s="86"/>
      <c r="K529" s="86"/>
      <c r="L529" s="86"/>
      <c r="M529" s="86"/>
      <c r="N529" s="86"/>
      <c r="O529" s="1661" t="s">
        <v>618</v>
      </c>
      <c r="P529" s="1661"/>
      <c r="Q529" s="1661"/>
      <c r="R529" s="1661"/>
      <c r="S529" s="1661"/>
      <c r="T529" s="1661"/>
      <c r="U529" s="1661"/>
      <c r="V529" s="1661"/>
      <c r="W529" s="1661"/>
      <c r="X529" s="1661"/>
      <c r="Y529" s="1661"/>
      <c r="Z529" s="1661"/>
      <c r="AA529" s="1661"/>
      <c r="AC529" s="1954" t="s">
        <v>135</v>
      </c>
      <c r="AD529" s="1849"/>
      <c r="AE529" s="1849"/>
      <c r="AF529" s="1849"/>
      <c r="AG529" s="89" t="s">
        <v>275</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
      <c r="B530" s="1672"/>
      <c r="C530" s="1673"/>
      <c r="D530" s="1673"/>
      <c r="E530" s="1673"/>
      <c r="F530" s="1673"/>
      <c r="G530" s="1673"/>
      <c r="H530" s="1674"/>
      <c r="I530" s="35" t="s">
        <v>747</v>
      </c>
      <c r="J530" s="35"/>
      <c r="K530" s="35"/>
      <c r="L530" s="35"/>
      <c r="M530" s="35"/>
      <c r="N530" s="35"/>
      <c r="O530" s="35"/>
      <c r="P530" s="35"/>
      <c r="Q530" s="35"/>
      <c r="R530" s="35"/>
      <c r="S530" s="35"/>
      <c r="T530" s="35"/>
      <c r="U530" s="35"/>
      <c r="V530" s="35"/>
      <c r="W530" s="35"/>
      <c r="X530" s="35"/>
      <c r="Y530" s="35"/>
      <c r="AC530" s="1954" t="s">
        <v>135</v>
      </c>
      <c r="AD530" s="1849"/>
      <c r="AE530" s="1849"/>
      <c r="AF530" s="1849"/>
      <c r="AG530" s="89" t="s">
        <v>275</v>
      </c>
      <c r="AH530" s="1712"/>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
      <c r="B531" s="1672"/>
      <c r="C531" s="1673"/>
      <c r="D531" s="1673"/>
      <c r="E531" s="1673"/>
      <c r="F531" s="1673"/>
      <c r="G531" s="1673"/>
      <c r="H531" s="1674"/>
      <c r="I531" s="94" t="s">
        <v>748</v>
      </c>
      <c r="J531" s="94"/>
      <c r="K531" s="94"/>
      <c r="L531" s="94"/>
      <c r="M531" s="94"/>
      <c r="N531" s="94"/>
      <c r="O531" s="94"/>
      <c r="P531" s="94"/>
      <c r="Q531" s="94"/>
      <c r="R531" s="94"/>
      <c r="S531" s="94"/>
      <c r="T531" s="94"/>
      <c r="U531" s="94"/>
      <c r="V531" s="94"/>
      <c r="W531" s="94"/>
      <c r="X531" s="94"/>
      <c r="Y531" s="94"/>
      <c r="Z531" s="94"/>
      <c r="AA531" s="94"/>
      <c r="AB531" s="94"/>
      <c r="AC531" s="1954" t="s">
        <v>135</v>
      </c>
      <c r="AD531" s="1849"/>
      <c r="AE531" s="1849"/>
      <c r="AF531" s="1849"/>
      <c r="AG531" s="79" t="s">
        <v>275</v>
      </c>
      <c r="AH531" s="1712"/>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
      <c r="B532" s="1672"/>
      <c r="C532" s="1673"/>
      <c r="D532" s="1673"/>
      <c r="E532" s="1673"/>
      <c r="F532" s="1673"/>
      <c r="G532" s="1673"/>
      <c r="H532" s="1674"/>
      <c r="I532" s="86" t="s">
        <v>749</v>
      </c>
      <c r="J532" s="86"/>
      <c r="K532" s="86"/>
      <c r="L532" s="86"/>
      <c r="M532" s="86"/>
      <c r="N532" s="86"/>
      <c r="O532" s="1661" t="s">
        <v>618</v>
      </c>
      <c r="P532" s="1661"/>
      <c r="Q532" s="1661"/>
      <c r="R532" s="1661"/>
      <c r="S532" s="1661"/>
      <c r="T532" s="1661"/>
      <c r="U532" s="1661"/>
      <c r="V532" s="1661"/>
      <c r="W532" s="1661"/>
      <c r="X532" s="1661"/>
      <c r="Y532" s="1661"/>
      <c r="Z532" s="1661"/>
      <c r="AA532" s="1661"/>
      <c r="AC532" s="1954" t="s">
        <v>135</v>
      </c>
      <c r="AD532" s="1849"/>
      <c r="AE532" s="1849"/>
      <c r="AF532" s="1849"/>
      <c r="AG532" s="89" t="s">
        <v>275</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
      <c r="B533" s="1672"/>
      <c r="C533" s="1673"/>
      <c r="D533" s="1673"/>
      <c r="E533" s="1673"/>
      <c r="F533" s="1673"/>
      <c r="G533" s="1673"/>
      <c r="H533" s="1674"/>
      <c r="I533" s="35" t="s">
        <v>747</v>
      </c>
      <c r="J533" s="35"/>
      <c r="K533" s="35"/>
      <c r="L533" s="35"/>
      <c r="M533" s="35"/>
      <c r="N533" s="35"/>
      <c r="O533" s="35"/>
      <c r="P533" s="35"/>
      <c r="Q533" s="35"/>
      <c r="R533" s="35"/>
      <c r="S533" s="35"/>
      <c r="T533" s="35"/>
      <c r="U533" s="35"/>
      <c r="V533" s="35"/>
      <c r="W533" s="35"/>
      <c r="X533" s="35"/>
      <c r="Y533" s="35"/>
      <c r="AC533" s="1954" t="s">
        <v>135</v>
      </c>
      <c r="AD533" s="1849"/>
      <c r="AE533" s="1849"/>
      <c r="AF533" s="1849"/>
      <c r="AG533" s="89" t="s">
        <v>275</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
      <c r="B534" s="1672"/>
      <c r="C534" s="1673"/>
      <c r="D534" s="1673"/>
      <c r="E534" s="1673"/>
      <c r="F534" s="1673"/>
      <c r="G534" s="1673"/>
      <c r="H534" s="1674"/>
      <c r="I534" s="94" t="s">
        <v>748</v>
      </c>
      <c r="J534" s="94"/>
      <c r="K534" s="94"/>
      <c r="L534" s="94"/>
      <c r="M534" s="94"/>
      <c r="N534" s="94"/>
      <c r="O534" s="94"/>
      <c r="P534" s="94"/>
      <c r="Q534" s="94"/>
      <c r="R534" s="94"/>
      <c r="S534" s="94"/>
      <c r="T534" s="94"/>
      <c r="U534" s="94"/>
      <c r="V534" s="94"/>
      <c r="W534" s="94"/>
      <c r="X534" s="94"/>
      <c r="Y534" s="94"/>
      <c r="Z534" s="94"/>
      <c r="AA534" s="94"/>
      <c r="AB534" s="94"/>
      <c r="AC534" s="1954" t="s">
        <v>135</v>
      </c>
      <c r="AD534" s="1849"/>
      <c r="AE534" s="1849"/>
      <c r="AF534" s="1849"/>
      <c r="AG534" s="79" t="s">
        <v>275</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
      <c r="B535" s="1672"/>
      <c r="C535" s="1673"/>
      <c r="D535" s="1673"/>
      <c r="E535" s="1673"/>
      <c r="F535" s="1673"/>
      <c r="G535" s="1673"/>
      <c r="H535" s="1674"/>
      <c r="I535" s="86" t="s">
        <v>749</v>
      </c>
      <c r="J535" s="86"/>
      <c r="K535" s="86"/>
      <c r="L535" s="86"/>
      <c r="M535" s="86"/>
      <c r="N535" s="86"/>
      <c r="O535" s="1661" t="s">
        <v>618</v>
      </c>
      <c r="P535" s="1661"/>
      <c r="Q535" s="1661"/>
      <c r="R535" s="1661"/>
      <c r="S535" s="1661"/>
      <c r="T535" s="1661"/>
      <c r="U535" s="1661"/>
      <c r="V535" s="1661"/>
      <c r="W535" s="1661"/>
      <c r="X535" s="1661"/>
      <c r="Y535" s="1661"/>
      <c r="Z535" s="1661"/>
      <c r="AA535" s="1661"/>
      <c r="AC535" s="1954" t="s">
        <v>135</v>
      </c>
      <c r="AD535" s="1849"/>
      <c r="AE535" s="1849"/>
      <c r="AF535" s="1849"/>
      <c r="AG535" s="89" t="s">
        <v>275</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
      <c r="B536" s="1672"/>
      <c r="C536" s="1673"/>
      <c r="D536" s="1673"/>
      <c r="E536" s="1673"/>
      <c r="F536" s="1673"/>
      <c r="G536" s="1673"/>
      <c r="H536" s="1674"/>
      <c r="I536" s="35" t="s">
        <v>747</v>
      </c>
      <c r="J536" s="35"/>
      <c r="K536" s="35"/>
      <c r="L536" s="35"/>
      <c r="M536" s="35"/>
      <c r="N536" s="35"/>
      <c r="O536" s="35"/>
      <c r="P536" s="35"/>
      <c r="Q536" s="35"/>
      <c r="R536" s="35"/>
      <c r="S536" s="35"/>
      <c r="T536" s="35"/>
      <c r="U536" s="35"/>
      <c r="V536" s="35"/>
      <c r="W536" s="35"/>
      <c r="X536" s="35"/>
      <c r="Y536" s="35"/>
      <c r="AC536" s="1954" t="s">
        <v>135</v>
      </c>
      <c r="AD536" s="1849"/>
      <c r="AE536" s="1849"/>
      <c r="AF536" s="1849"/>
      <c r="AG536" s="89" t="s">
        <v>275</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
      <c r="B537" s="1672"/>
      <c r="C537" s="1673"/>
      <c r="D537" s="1673"/>
      <c r="E537" s="1673"/>
      <c r="F537" s="1673"/>
      <c r="G537" s="1673"/>
      <c r="H537" s="1674"/>
      <c r="I537" s="94" t="s">
        <v>748</v>
      </c>
      <c r="J537" s="94"/>
      <c r="K537" s="94"/>
      <c r="L537" s="94"/>
      <c r="M537" s="94"/>
      <c r="N537" s="94"/>
      <c r="O537" s="94"/>
      <c r="P537" s="94"/>
      <c r="Q537" s="94"/>
      <c r="R537" s="94"/>
      <c r="S537" s="94"/>
      <c r="T537" s="94"/>
      <c r="U537" s="94"/>
      <c r="V537" s="94"/>
      <c r="W537" s="94"/>
      <c r="X537" s="94"/>
      <c r="Y537" s="94"/>
      <c r="Z537" s="94"/>
      <c r="AA537" s="94"/>
      <c r="AB537" s="94"/>
      <c r="AC537" s="1954" t="s">
        <v>135</v>
      </c>
      <c r="AD537" s="1849"/>
      <c r="AE537" s="1849"/>
      <c r="AF537" s="1849"/>
      <c r="AG537" s="79" t="s">
        <v>275</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
      <c r="B538" s="1672"/>
      <c r="C538" s="1673"/>
      <c r="D538" s="1673"/>
      <c r="E538" s="1673"/>
      <c r="F538" s="1673"/>
      <c r="G538" s="1673"/>
      <c r="H538" s="1674"/>
      <c r="I538" s="86" t="s">
        <v>749</v>
      </c>
      <c r="J538" s="86"/>
      <c r="K538" s="86"/>
      <c r="L538" s="86"/>
      <c r="M538" s="86"/>
      <c r="N538" s="86"/>
      <c r="O538" s="1661" t="s">
        <v>618</v>
      </c>
      <c r="P538" s="1661"/>
      <c r="Q538" s="1661"/>
      <c r="R538" s="1661"/>
      <c r="S538" s="1661"/>
      <c r="T538" s="1661"/>
      <c r="U538" s="1661"/>
      <c r="V538" s="1661"/>
      <c r="W538" s="1661"/>
      <c r="X538" s="1661"/>
      <c r="Y538" s="1661"/>
      <c r="Z538" s="1661"/>
      <c r="AA538" s="1661"/>
      <c r="AC538" s="1954" t="s">
        <v>135</v>
      </c>
      <c r="AD538" s="1849"/>
      <c r="AE538" s="1849"/>
      <c r="AF538" s="1849"/>
      <c r="AG538" s="89" t="s">
        <v>275</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
      <c r="B539" s="1672"/>
      <c r="C539" s="1673"/>
      <c r="D539" s="1673"/>
      <c r="E539" s="1673"/>
      <c r="F539" s="1673"/>
      <c r="G539" s="1673"/>
      <c r="H539" s="1674"/>
      <c r="I539" s="35" t="s">
        <v>747</v>
      </c>
      <c r="J539" s="35"/>
      <c r="K539" s="35"/>
      <c r="L539" s="35"/>
      <c r="M539" s="35"/>
      <c r="N539" s="35"/>
      <c r="O539" s="35"/>
      <c r="P539" s="35"/>
      <c r="Q539" s="35"/>
      <c r="R539" s="35"/>
      <c r="S539" s="35"/>
      <c r="T539" s="35"/>
      <c r="U539" s="35"/>
      <c r="V539" s="35"/>
      <c r="W539" s="35"/>
      <c r="X539" s="35"/>
      <c r="Y539" s="35"/>
      <c r="AC539" s="1954" t="s">
        <v>135</v>
      </c>
      <c r="AD539" s="1849"/>
      <c r="AE539" s="1849"/>
      <c r="AF539" s="1849"/>
      <c r="AG539" s="79" t="s">
        <v>275</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
      <c r="B540" s="1672"/>
      <c r="C540" s="1673"/>
      <c r="D540" s="1673"/>
      <c r="E540" s="1673"/>
      <c r="F540" s="1673"/>
      <c r="G540" s="1673"/>
      <c r="H540" s="1674"/>
      <c r="I540" s="94" t="s">
        <v>748</v>
      </c>
      <c r="J540" s="94"/>
      <c r="K540" s="94"/>
      <c r="L540" s="94"/>
      <c r="M540" s="94"/>
      <c r="N540" s="94"/>
      <c r="O540" s="94"/>
      <c r="P540" s="94"/>
      <c r="Q540" s="94"/>
      <c r="R540" s="94"/>
      <c r="S540" s="94"/>
      <c r="T540" s="94"/>
      <c r="U540" s="94"/>
      <c r="V540" s="94"/>
      <c r="W540" s="94"/>
      <c r="X540" s="94"/>
      <c r="Y540" s="94"/>
      <c r="Z540" s="94"/>
      <c r="AA540" s="94"/>
      <c r="AB540" s="94"/>
      <c r="AC540" s="1954" t="s">
        <v>135</v>
      </c>
      <c r="AD540" s="1849"/>
      <c r="AE540" s="1849"/>
      <c r="AF540" s="1849"/>
      <c r="AG540" s="89" t="s">
        <v>275</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749</v>
      </c>
      <c r="J541" s="86"/>
      <c r="K541" s="86"/>
      <c r="L541" s="86"/>
      <c r="M541" s="86"/>
      <c r="N541" s="86"/>
      <c r="O541" s="1661" t="s">
        <v>618</v>
      </c>
      <c r="P541" s="1661"/>
      <c r="Q541" s="1661"/>
      <c r="R541" s="1661"/>
      <c r="S541" s="1661"/>
      <c r="T541" s="1661"/>
      <c r="U541" s="1661"/>
      <c r="V541" s="1661"/>
      <c r="W541" s="1661"/>
      <c r="X541" s="1661"/>
      <c r="Y541" s="1661"/>
      <c r="Z541" s="1661"/>
      <c r="AA541" s="1661"/>
      <c r="AC541" s="1954" t="s">
        <v>135</v>
      </c>
      <c r="AD541" s="1849"/>
      <c r="AE541" s="1849"/>
      <c r="AF541" s="1849"/>
      <c r="AG541" s="79" t="s">
        <v>275</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
      <c r="B542" s="1672"/>
      <c r="C542" s="1673"/>
      <c r="D542" s="1673"/>
      <c r="E542" s="1673"/>
      <c r="F542" s="1673"/>
      <c r="G542" s="1673"/>
      <c r="H542" s="1674"/>
      <c r="I542" s="35" t="s">
        <v>747</v>
      </c>
      <c r="J542" s="35"/>
      <c r="K542" s="35"/>
      <c r="L542" s="35"/>
      <c r="M542" s="35"/>
      <c r="N542" s="35"/>
      <c r="O542" s="35"/>
      <c r="P542" s="35"/>
      <c r="Q542" s="35"/>
      <c r="R542" s="35"/>
      <c r="S542" s="35"/>
      <c r="T542" s="35"/>
      <c r="U542" s="35"/>
      <c r="V542" s="35"/>
      <c r="W542" s="35"/>
      <c r="X542" s="35"/>
      <c r="Y542" s="35"/>
      <c r="AC542" s="1954" t="s">
        <v>135</v>
      </c>
      <c r="AD542" s="1849"/>
      <c r="AE542" s="1849"/>
      <c r="AF542" s="1849"/>
      <c r="AG542" s="89" t="s">
        <v>275</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
      <c r="B543" s="1672"/>
      <c r="C543" s="1673"/>
      <c r="D543" s="1673"/>
      <c r="E543" s="1673"/>
      <c r="F543" s="1673"/>
      <c r="G543" s="1673"/>
      <c r="H543" s="1674"/>
      <c r="I543" s="94" t="s">
        <v>748</v>
      </c>
      <c r="J543" s="94"/>
      <c r="K543" s="94"/>
      <c r="L543" s="94"/>
      <c r="M543" s="94"/>
      <c r="N543" s="94"/>
      <c r="O543" s="94"/>
      <c r="P543" s="94"/>
      <c r="Q543" s="94"/>
      <c r="R543" s="94"/>
      <c r="S543" s="94"/>
      <c r="T543" s="94"/>
      <c r="U543" s="94"/>
      <c r="V543" s="94"/>
      <c r="W543" s="94"/>
      <c r="X543" s="94"/>
      <c r="Y543" s="94"/>
      <c r="Z543" s="94"/>
      <c r="AA543" s="94"/>
      <c r="AB543" s="94"/>
      <c r="AC543" s="1954" t="s">
        <v>135</v>
      </c>
      <c r="AD543" s="1849"/>
      <c r="AE543" s="1849"/>
      <c r="AF543" s="1849"/>
      <c r="AG543" s="79" t="s">
        <v>275</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797</v>
      </c>
      <c r="J544" s="86"/>
      <c r="K544" s="86"/>
      <c r="L544" s="86"/>
      <c r="M544" s="86"/>
      <c r="N544" s="86"/>
      <c r="O544" s="86"/>
      <c r="P544" s="86"/>
      <c r="Q544" s="86"/>
      <c r="R544" s="86"/>
      <c r="S544" s="86"/>
      <c r="T544" s="86"/>
      <c r="U544" s="86"/>
      <c r="V544" s="86"/>
      <c r="W544" s="86"/>
      <c r="X544" s="35"/>
      <c r="Y544" s="35"/>
      <c r="AC544" s="1954">
        <v>2</v>
      </c>
      <c r="AD544" s="1849"/>
      <c r="AE544" s="1849"/>
      <c r="AF544" s="1849"/>
      <c r="AG544" s="79" t="s">
        <v>275</v>
      </c>
      <c r="AH544" s="1712">
        <v>2023</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672"/>
      <c r="C545" s="1673"/>
      <c r="D545" s="1673"/>
      <c r="E545" s="1673"/>
      <c r="F545" s="1673"/>
      <c r="G545" s="1673"/>
      <c r="H545" s="1674"/>
      <c r="I545" s="35" t="s">
        <v>798</v>
      </c>
      <c r="J545" s="35"/>
      <c r="K545" s="35"/>
      <c r="L545" s="35"/>
      <c r="M545" s="35"/>
      <c r="N545" s="35"/>
      <c r="O545" s="35"/>
      <c r="P545" s="35"/>
      <c r="Q545" s="35"/>
      <c r="R545" s="35"/>
      <c r="S545" s="35"/>
      <c r="T545" s="35"/>
      <c r="U545" s="35"/>
      <c r="V545" s="35"/>
      <c r="W545" s="35"/>
      <c r="X545" s="35"/>
      <c r="Y545" s="35"/>
      <c r="AC545" s="1954">
        <v>12</v>
      </c>
      <c r="AD545" s="1849"/>
      <c r="AE545" s="1849"/>
      <c r="AF545" s="1849"/>
      <c r="AG545" s="89" t="s">
        <v>275</v>
      </c>
      <c r="AH545" s="1712">
        <v>2022</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
      <c r="B546" s="1672"/>
      <c r="C546" s="1673"/>
      <c r="D546" s="1673"/>
      <c r="E546" s="1673"/>
      <c r="F546" s="1673"/>
      <c r="G546" s="1673"/>
      <c r="H546" s="1674"/>
      <c r="I546" s="35" t="s">
        <v>799</v>
      </c>
      <c r="J546" s="35"/>
      <c r="K546" s="35"/>
      <c r="L546" s="35"/>
      <c r="M546" s="35"/>
      <c r="N546" s="35"/>
      <c r="O546" s="35"/>
      <c r="P546" s="35"/>
      <c r="Q546" s="35"/>
      <c r="R546" s="35"/>
      <c r="S546" s="35"/>
      <c r="T546" s="35"/>
      <c r="U546" s="35"/>
      <c r="V546" s="35"/>
      <c r="W546" s="35"/>
      <c r="X546" s="35"/>
      <c r="Y546" s="35"/>
      <c r="AC546" s="1954">
        <v>12</v>
      </c>
      <c r="AD546" s="1849"/>
      <c r="AE546" s="1849"/>
      <c r="AF546" s="1849"/>
      <c r="AG546" s="79" t="s">
        <v>275</v>
      </c>
      <c r="AH546" s="1712">
        <v>2023</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
      <c r="B547" s="1672"/>
      <c r="C547" s="1673"/>
      <c r="D547" s="1673"/>
      <c r="E547" s="1673"/>
      <c r="F547" s="1673"/>
      <c r="G547" s="1673"/>
      <c r="H547" s="1674"/>
      <c r="I547" s="35" t="s">
        <v>800</v>
      </c>
      <c r="J547" s="35"/>
      <c r="K547" s="35"/>
      <c r="L547" s="35"/>
      <c r="M547" s="35"/>
      <c r="N547" s="35"/>
      <c r="O547" s="35"/>
      <c r="P547" s="35"/>
      <c r="Q547" s="35"/>
      <c r="R547" s="35"/>
      <c r="S547" s="35"/>
      <c r="T547" s="35"/>
      <c r="U547" s="35"/>
      <c r="V547" s="35"/>
      <c r="W547" s="35"/>
      <c r="X547" s="35"/>
      <c r="Y547" s="35"/>
      <c r="AC547" s="1954">
        <v>12</v>
      </c>
      <c r="AD547" s="1849"/>
      <c r="AE547" s="1849"/>
      <c r="AF547" s="1849"/>
      <c r="AG547" s="79" t="s">
        <v>275</v>
      </c>
      <c r="AH547" s="1712">
        <v>2023</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
      <c r="B548" s="1675"/>
      <c r="C548" s="1676"/>
      <c r="D548" s="1676"/>
      <c r="E548" s="1676"/>
      <c r="F548" s="1676"/>
      <c r="G548" s="1676"/>
      <c r="H548" s="1677"/>
      <c r="I548" s="94" t="s">
        <v>1486</v>
      </c>
      <c r="J548" s="94"/>
      <c r="K548" s="94"/>
      <c r="L548" s="94"/>
      <c r="M548" s="94"/>
      <c r="N548" s="94"/>
      <c r="O548" s="94"/>
      <c r="P548" s="94"/>
      <c r="Q548" s="94"/>
      <c r="R548" s="94"/>
      <c r="S548" s="94"/>
      <c r="T548" s="94"/>
      <c r="U548" s="94"/>
      <c r="V548" s="94"/>
      <c r="W548" s="94"/>
      <c r="X548" s="94"/>
      <c r="Y548" s="94"/>
      <c r="Z548" s="94"/>
      <c r="AA548" s="94"/>
      <c r="AB548" s="94"/>
      <c r="AC548" s="1954">
        <v>6</v>
      </c>
      <c r="AD548" s="1849"/>
      <c r="AE548" s="1849"/>
      <c r="AF548" s="1849"/>
      <c r="AG548" s="79" t="s">
        <v>275</v>
      </c>
      <c r="AH548" s="1712">
        <v>2024</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6">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543</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6">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6">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802</v>
      </c>
      <c r="C557" s="1670"/>
      <c r="D557" s="1670"/>
      <c r="E557" s="1670"/>
      <c r="F557" s="1670"/>
      <c r="G557" s="1670"/>
      <c r="H557" s="1670"/>
      <c r="I557" s="1670"/>
      <c r="J557" s="1670"/>
      <c r="K557" s="1670"/>
      <c r="L557" s="1670"/>
      <c r="M557" s="1670"/>
      <c r="N557" s="1670"/>
      <c r="O557" s="1670"/>
      <c r="P557" s="1671"/>
      <c r="Q557" s="1669" t="s">
        <v>485</v>
      </c>
      <c r="R557" s="1670"/>
      <c r="S557" s="1671"/>
      <c r="T557" s="1669" t="s">
        <v>2204</v>
      </c>
      <c r="U557" s="1670"/>
      <c r="V557" s="1671"/>
      <c r="W557" s="1669" t="s">
        <v>803</v>
      </c>
      <c r="X557" s="1670"/>
      <c r="Y557" s="1671"/>
      <c r="Z557" s="1669" t="s">
        <v>2209</v>
      </c>
      <c r="AA557" s="1670"/>
      <c r="AB557" s="1670"/>
      <c r="AC557" s="1670"/>
      <c r="AD557" s="1671"/>
      <c r="AE557" s="1669" t="s">
        <v>2206</v>
      </c>
      <c r="AF557" s="1670"/>
      <c r="AG557" s="1670"/>
      <c r="AH557" s="1671"/>
      <c r="AI557" s="1669" t="s">
        <v>2210</v>
      </c>
      <c r="AJ557" s="1670"/>
      <c r="AK557" s="1670"/>
      <c r="AL557" s="1671"/>
      <c r="AM557" s="1669" t="s">
        <v>804</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6">
      <c r="B560" s="97" t="s">
        <v>983</v>
      </c>
      <c r="C560" s="1662" t="s">
        <v>2430</v>
      </c>
      <c r="D560" s="1662"/>
      <c r="E560" s="1662"/>
      <c r="F560" s="1662"/>
      <c r="G560" s="1662"/>
      <c r="H560" s="1662"/>
      <c r="I560" s="1662"/>
      <c r="J560" s="1662"/>
      <c r="K560" s="1662"/>
      <c r="L560" s="1662"/>
      <c r="M560" s="1662"/>
      <c r="N560" s="1662"/>
      <c r="O560" s="1662"/>
      <c r="P560" s="2010"/>
      <c r="Q560" s="1833">
        <v>24</v>
      </c>
      <c r="R560" s="1833"/>
      <c r="S560" s="1948"/>
      <c r="T560" s="1947">
        <v>24</v>
      </c>
      <c r="U560" s="1833"/>
      <c r="V560" s="1948"/>
      <c r="W560" s="2012">
        <v>0.04</v>
      </c>
      <c r="X560" s="2013"/>
      <c r="Y560" s="2014"/>
      <c r="Z560" s="2015" t="s">
        <v>2431</v>
      </c>
      <c r="AA560" s="2015"/>
      <c r="AB560" s="2015"/>
      <c r="AC560" s="2015"/>
      <c r="AD560" s="2015"/>
      <c r="AE560" s="2016">
        <v>1</v>
      </c>
      <c r="AF560" s="2017"/>
      <c r="AG560" s="2017"/>
      <c r="AH560" s="2018"/>
      <c r="AI560" s="2019" t="s">
        <v>2432</v>
      </c>
      <c r="AJ560" s="2020"/>
      <c r="AK560" s="2020"/>
      <c r="AL560" s="2021"/>
      <c r="AM560" s="1685">
        <v>12197158</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6">
      <c r="B561" s="98" t="s">
        <v>984</v>
      </c>
      <c r="C561" s="1662" t="s">
        <v>2459</v>
      </c>
      <c r="D561" s="1662"/>
      <c r="E561" s="1662"/>
      <c r="F561" s="1662"/>
      <c r="G561" s="1662"/>
      <c r="H561" s="1662"/>
      <c r="I561" s="1662"/>
      <c r="J561" s="1662"/>
      <c r="K561" s="1662"/>
      <c r="L561" s="1662"/>
      <c r="M561" s="1662"/>
      <c r="N561" s="1662"/>
      <c r="O561" s="1662"/>
      <c r="P561" s="2010"/>
      <c r="Q561" s="1947">
        <v>24</v>
      </c>
      <c r="R561" s="1833"/>
      <c r="S561" s="1948"/>
      <c r="T561" s="1947">
        <v>24</v>
      </c>
      <c r="U561" s="1833"/>
      <c r="V561" s="1948"/>
      <c r="W561" s="2012">
        <v>9.9999999999999995E-8</v>
      </c>
      <c r="X561" s="2013"/>
      <c r="Y561" s="2014"/>
      <c r="Z561" s="2015" t="s">
        <v>2431</v>
      </c>
      <c r="AA561" s="2015"/>
      <c r="AB561" s="2015"/>
      <c r="AC561" s="2015"/>
      <c r="AD561" s="2015"/>
      <c r="AE561" s="2016">
        <v>2</v>
      </c>
      <c r="AF561" s="2017"/>
      <c r="AG561" s="2017"/>
      <c r="AH561" s="2018"/>
      <c r="AI561" s="2019" t="s">
        <v>2433</v>
      </c>
      <c r="AJ561" s="2020"/>
      <c r="AK561" s="2020"/>
      <c r="AL561" s="2021"/>
      <c r="AM561" s="1685">
        <v>8650000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6">
      <c r="B562" s="98" t="s">
        <v>990</v>
      </c>
      <c r="C562" s="1662" t="s">
        <v>2434</v>
      </c>
      <c r="D562" s="1662"/>
      <c r="E562" s="1662"/>
      <c r="F562" s="1662"/>
      <c r="G562" s="1662"/>
      <c r="H562" s="1662"/>
      <c r="I562" s="1662"/>
      <c r="J562" s="1662"/>
      <c r="K562" s="1662"/>
      <c r="L562" s="1662"/>
      <c r="M562" s="1662"/>
      <c r="N562" s="1662"/>
      <c r="O562" s="1662"/>
      <c r="P562" s="2010"/>
      <c r="Q562" s="1947">
        <v>24</v>
      </c>
      <c r="R562" s="1833"/>
      <c r="S562" s="1948"/>
      <c r="T562" s="1947">
        <v>24</v>
      </c>
      <c r="U562" s="1833"/>
      <c r="V562" s="1948"/>
      <c r="W562" s="2012">
        <v>9.9999999999999995E-8</v>
      </c>
      <c r="X562" s="2013"/>
      <c r="Y562" s="2014"/>
      <c r="Z562" s="2015" t="s">
        <v>2431</v>
      </c>
      <c r="AA562" s="2015"/>
      <c r="AB562" s="2015"/>
      <c r="AC562" s="2015"/>
      <c r="AD562" s="2015"/>
      <c r="AE562" s="2016" t="s">
        <v>135</v>
      </c>
      <c r="AF562" s="2017"/>
      <c r="AG562" s="2017"/>
      <c r="AH562" s="2018"/>
      <c r="AI562" s="2019" t="s">
        <v>2433</v>
      </c>
      <c r="AJ562" s="2020"/>
      <c r="AK562" s="2020"/>
      <c r="AL562" s="2021"/>
      <c r="AM562" s="1685">
        <v>2200000</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6">
      <c r="B563" s="98" t="s">
        <v>476</v>
      </c>
      <c r="C563" s="1662" t="s">
        <v>2435</v>
      </c>
      <c r="D563" s="1662"/>
      <c r="E563" s="1662"/>
      <c r="F563" s="1662"/>
      <c r="G563" s="1662"/>
      <c r="H563" s="1662"/>
      <c r="I563" s="1662"/>
      <c r="J563" s="1662"/>
      <c r="K563" s="1662"/>
      <c r="L563" s="1662"/>
      <c r="M563" s="1662"/>
      <c r="N563" s="1662"/>
      <c r="O563" s="1662"/>
      <c r="P563" s="2010"/>
      <c r="Q563" s="1947" t="s">
        <v>135</v>
      </c>
      <c r="R563" s="1833"/>
      <c r="S563" s="1948"/>
      <c r="T563" s="1947" t="s">
        <v>135</v>
      </c>
      <c r="U563" s="1833"/>
      <c r="V563" s="1948"/>
      <c r="W563" s="2012" t="s">
        <v>135</v>
      </c>
      <c r="X563" s="2013"/>
      <c r="Y563" s="2014"/>
      <c r="Z563" s="2015" t="s">
        <v>135</v>
      </c>
      <c r="AA563" s="2015"/>
      <c r="AB563" s="2015"/>
      <c r="AC563" s="2015"/>
      <c r="AD563" s="2015"/>
      <c r="AE563" s="2016" t="s">
        <v>135</v>
      </c>
      <c r="AF563" s="2017"/>
      <c r="AG563" s="2017"/>
      <c r="AH563" s="2018"/>
      <c r="AI563" s="2019" t="s">
        <v>2433</v>
      </c>
      <c r="AJ563" s="2020"/>
      <c r="AK563" s="2020"/>
      <c r="AL563" s="2021"/>
      <c r="AM563" s="1685">
        <v>213081</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6">
      <c r="B564" s="98" t="s">
        <v>187</v>
      </c>
      <c r="C564" s="1662" t="s">
        <v>2436</v>
      </c>
      <c r="D564" s="1662"/>
      <c r="E564" s="1662"/>
      <c r="F564" s="1662"/>
      <c r="G564" s="1662"/>
      <c r="H564" s="1662"/>
      <c r="I564" s="1662"/>
      <c r="J564" s="1662"/>
      <c r="K564" s="1662"/>
      <c r="L564" s="1662"/>
      <c r="M564" s="1662"/>
      <c r="N564" s="1662"/>
      <c r="O564" s="1662"/>
      <c r="P564" s="2010"/>
      <c r="Q564" s="1947" t="s">
        <v>135</v>
      </c>
      <c r="R564" s="1833"/>
      <c r="S564" s="1948"/>
      <c r="T564" s="1947" t="s">
        <v>135</v>
      </c>
      <c r="U564" s="1833"/>
      <c r="V564" s="1948"/>
      <c r="W564" s="2012" t="s">
        <v>135</v>
      </c>
      <c r="X564" s="2013"/>
      <c r="Y564" s="2014"/>
      <c r="Z564" s="2015" t="s">
        <v>135</v>
      </c>
      <c r="AA564" s="2015"/>
      <c r="AB564" s="2015"/>
      <c r="AC564" s="2015"/>
      <c r="AD564" s="2015"/>
      <c r="AE564" s="2016" t="s">
        <v>135</v>
      </c>
      <c r="AF564" s="2017"/>
      <c r="AG564" s="2017"/>
      <c r="AH564" s="2018"/>
      <c r="AI564" s="2019" t="s">
        <v>135</v>
      </c>
      <c r="AJ564" s="2020"/>
      <c r="AK564" s="2020"/>
      <c r="AL564" s="2021"/>
      <c r="AM564" s="1685">
        <v>1428915</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6">
      <c r="B565" s="98" t="s">
        <v>479</v>
      </c>
      <c r="C565" s="1662"/>
      <c r="D565" s="1662"/>
      <c r="E565" s="1662"/>
      <c r="F565" s="1662"/>
      <c r="G565" s="1662"/>
      <c r="H565" s="1662"/>
      <c r="I565" s="1662"/>
      <c r="J565" s="1662"/>
      <c r="K565" s="1662"/>
      <c r="L565" s="1662"/>
      <c r="M565" s="1662"/>
      <c r="N565" s="1662"/>
      <c r="O565" s="1662"/>
      <c r="P565" s="2010"/>
      <c r="Q565" s="1947"/>
      <c r="R565" s="1833"/>
      <c r="S565" s="1948"/>
      <c r="T565" s="1947"/>
      <c r="U565" s="1833"/>
      <c r="V565" s="1948"/>
      <c r="W565" s="2012"/>
      <c r="X565" s="2013"/>
      <c r="Y565" s="2014"/>
      <c r="Z565" s="2015"/>
      <c r="AA565" s="2015"/>
      <c r="AB565" s="2015"/>
      <c r="AC565" s="2015"/>
      <c r="AD565" s="2015"/>
      <c r="AE565" s="2016"/>
      <c r="AF565" s="2017"/>
      <c r="AG565" s="2017"/>
      <c r="AH565" s="2018"/>
      <c r="AI565" s="2019"/>
      <c r="AJ565" s="2020"/>
      <c r="AK565" s="2020"/>
      <c r="AL565" s="2021"/>
      <c r="AM565" s="1685"/>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6">
      <c r="B566" s="98" t="s">
        <v>805</v>
      </c>
      <c r="C566" s="1662"/>
      <c r="D566" s="1662"/>
      <c r="E566" s="1662"/>
      <c r="F566" s="1662"/>
      <c r="G566" s="1662"/>
      <c r="H566" s="1662"/>
      <c r="I566" s="1662"/>
      <c r="J566" s="1662"/>
      <c r="K566" s="1662"/>
      <c r="L566" s="1662"/>
      <c r="M566" s="1662"/>
      <c r="N566" s="1662"/>
      <c r="O566" s="1662"/>
      <c r="P566" s="2010"/>
      <c r="Q566" s="1947"/>
      <c r="R566" s="1833"/>
      <c r="S566" s="1948"/>
      <c r="T566" s="1947"/>
      <c r="U566" s="1833"/>
      <c r="V566" s="1948"/>
      <c r="W566" s="2012"/>
      <c r="X566" s="2013"/>
      <c r="Y566" s="2014"/>
      <c r="Z566" s="2015"/>
      <c r="AA566" s="2015"/>
      <c r="AB566" s="2015"/>
      <c r="AC566" s="2015"/>
      <c r="AD566" s="2015"/>
      <c r="AE566" s="2016"/>
      <c r="AF566" s="2017"/>
      <c r="AG566" s="2017"/>
      <c r="AH566" s="2018"/>
      <c r="AI566" s="2019"/>
      <c r="AJ566" s="2020"/>
      <c r="AK566" s="2020"/>
      <c r="AL566" s="2021"/>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6">
      <c r="B567" s="98" t="s">
        <v>806</v>
      </c>
      <c r="C567" s="1662"/>
      <c r="D567" s="1662"/>
      <c r="E567" s="1662"/>
      <c r="F567" s="1662"/>
      <c r="G567" s="1662"/>
      <c r="H567" s="1662"/>
      <c r="I567" s="1662"/>
      <c r="J567" s="1662"/>
      <c r="K567" s="1662"/>
      <c r="L567" s="1662"/>
      <c r="M567" s="1662"/>
      <c r="N567" s="1662"/>
      <c r="O567" s="1662"/>
      <c r="P567" s="2010"/>
      <c r="Q567" s="1947"/>
      <c r="R567" s="1833"/>
      <c r="S567" s="1948"/>
      <c r="T567" s="1947"/>
      <c r="U567" s="1833"/>
      <c r="V567" s="1948"/>
      <c r="W567" s="2012"/>
      <c r="X567" s="2013"/>
      <c r="Y567" s="2014"/>
      <c r="Z567" s="2015"/>
      <c r="AA567" s="2015"/>
      <c r="AB567" s="2015"/>
      <c r="AC567" s="2015"/>
      <c r="AD567" s="2015"/>
      <c r="AE567" s="2016"/>
      <c r="AF567" s="2017"/>
      <c r="AG567" s="2017"/>
      <c r="AH567" s="2018"/>
      <c r="AI567" s="2019"/>
      <c r="AJ567" s="2020"/>
      <c r="AK567" s="2020"/>
      <c r="AL567" s="2021"/>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6">
      <c r="B568" s="98" t="s">
        <v>602</v>
      </c>
      <c r="C568" s="1662"/>
      <c r="D568" s="1662"/>
      <c r="E568" s="1662"/>
      <c r="F568" s="1662"/>
      <c r="G568" s="1662"/>
      <c r="H568" s="1662"/>
      <c r="I568" s="1662"/>
      <c r="J568" s="1662"/>
      <c r="K568" s="1662"/>
      <c r="L568" s="1662"/>
      <c r="M568" s="1662"/>
      <c r="N568" s="1662"/>
      <c r="O568" s="1662"/>
      <c r="P568" s="2010"/>
      <c r="Q568" s="1947"/>
      <c r="R568" s="1833"/>
      <c r="S568" s="1948"/>
      <c r="T568" s="1947"/>
      <c r="U568" s="1833"/>
      <c r="V568" s="1948"/>
      <c r="W568" s="2012"/>
      <c r="X568" s="2013"/>
      <c r="Y568" s="2014"/>
      <c r="Z568" s="2015"/>
      <c r="AA568" s="2015"/>
      <c r="AB568" s="2015"/>
      <c r="AC568" s="2015"/>
      <c r="AD568" s="2015"/>
      <c r="AE568" s="2016"/>
      <c r="AF568" s="2017"/>
      <c r="AG568" s="2017"/>
      <c r="AH568" s="2018"/>
      <c r="AI568" s="2019"/>
      <c r="AJ568" s="2020"/>
      <c r="AK568" s="2020"/>
      <c r="AL568" s="2021"/>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6">
      <c r="B569" s="98" t="s">
        <v>190</v>
      </c>
      <c r="C569" s="1662"/>
      <c r="D569" s="1662"/>
      <c r="E569" s="1662"/>
      <c r="F569" s="1662"/>
      <c r="G569" s="1662"/>
      <c r="H569" s="1662"/>
      <c r="I569" s="1662"/>
      <c r="J569" s="1662"/>
      <c r="K569" s="1662"/>
      <c r="L569" s="1662"/>
      <c r="M569" s="1662"/>
      <c r="N569" s="1662"/>
      <c r="O569" s="1662"/>
      <c r="P569" s="2010"/>
      <c r="Q569" s="1947"/>
      <c r="R569" s="1833"/>
      <c r="S569" s="1948"/>
      <c r="T569" s="1947"/>
      <c r="U569" s="1833"/>
      <c r="V569" s="1948"/>
      <c r="W569" s="2012"/>
      <c r="X569" s="2013"/>
      <c r="Y569" s="2014"/>
      <c r="Z569" s="2015"/>
      <c r="AA569" s="2015"/>
      <c r="AB569" s="2015"/>
      <c r="AC569" s="2015"/>
      <c r="AD569" s="2015"/>
      <c r="AE569" s="2016"/>
      <c r="AF569" s="2017"/>
      <c r="AG569" s="2017"/>
      <c r="AH569" s="2018"/>
      <c r="AI569" s="2019"/>
      <c r="AJ569" s="2020"/>
      <c r="AK569" s="2020"/>
      <c r="AL569" s="2021"/>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6">
      <c r="B570" s="98" t="s">
        <v>37</v>
      </c>
      <c r="C570" s="1662"/>
      <c r="D570" s="1662"/>
      <c r="E570" s="1662"/>
      <c r="F570" s="1662"/>
      <c r="G570" s="1662"/>
      <c r="H570" s="1662"/>
      <c r="I570" s="1662"/>
      <c r="J570" s="1662"/>
      <c r="K570" s="1662"/>
      <c r="L570" s="1662"/>
      <c r="M570" s="1662"/>
      <c r="N570" s="1662"/>
      <c r="O570" s="1662"/>
      <c r="P570" s="2010"/>
      <c r="Q570" s="1947"/>
      <c r="R570" s="1833"/>
      <c r="S570" s="1948"/>
      <c r="T570" s="1947"/>
      <c r="U570" s="1833"/>
      <c r="V570" s="1948"/>
      <c r="W570" s="2012"/>
      <c r="X570" s="2013"/>
      <c r="Y570" s="2014"/>
      <c r="Z570" s="2015"/>
      <c r="AA570" s="2015"/>
      <c r="AB570" s="2015"/>
      <c r="AC570" s="2015"/>
      <c r="AD570" s="2015"/>
      <c r="AE570" s="2016"/>
      <c r="AF570" s="2017"/>
      <c r="AG570" s="2017"/>
      <c r="AH570" s="2018"/>
      <c r="AI570" s="2019"/>
      <c r="AJ570" s="2020"/>
      <c r="AK570" s="2020"/>
      <c r="AL570" s="2021"/>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6">
      <c r="B571" s="98" t="s">
        <v>38</v>
      </c>
      <c r="C571" s="1662"/>
      <c r="D571" s="1662"/>
      <c r="E571" s="1662"/>
      <c r="F571" s="1662"/>
      <c r="G571" s="1662"/>
      <c r="H571" s="1662"/>
      <c r="I571" s="1662"/>
      <c r="J571" s="1662"/>
      <c r="K571" s="1662"/>
      <c r="L571" s="1662"/>
      <c r="M571" s="1662"/>
      <c r="N571" s="1662"/>
      <c r="O571" s="1662"/>
      <c r="P571" s="2010"/>
      <c r="Q571" s="1947"/>
      <c r="R571" s="1833"/>
      <c r="S571" s="1948"/>
      <c r="T571" s="1947"/>
      <c r="U571" s="1833"/>
      <c r="V571" s="1948"/>
      <c r="W571" s="2012"/>
      <c r="X571" s="2013"/>
      <c r="Y571" s="2014"/>
      <c r="Z571" s="2015"/>
      <c r="AA571" s="2015"/>
      <c r="AB571" s="2015"/>
      <c r="AC571" s="2015"/>
      <c r="AD571" s="2015"/>
      <c r="AE571" s="2016"/>
      <c r="AF571" s="2017"/>
      <c r="AG571" s="2017"/>
      <c r="AH571" s="2018"/>
      <c r="AI571" s="2019"/>
      <c r="AJ571" s="2020"/>
      <c r="AK571" s="2020"/>
      <c r="AL571" s="2021"/>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
      <c r="B572" s="1776" t="s">
        <v>398</v>
      </c>
      <c r="C572" s="1777"/>
      <c r="D572" s="1777"/>
      <c r="E572" s="1777"/>
      <c r="F572" s="1777"/>
      <c r="G572" s="1777"/>
      <c r="H572" s="1777"/>
      <c r="I572" s="1777"/>
      <c r="J572" s="1777"/>
      <c r="K572" s="1777"/>
      <c r="L572" s="1777"/>
      <c r="M572" s="1777"/>
      <c r="N572" s="1777"/>
      <c r="O572" s="1777"/>
      <c r="P572" s="1777"/>
      <c r="Q572" s="1777"/>
      <c r="R572" s="1777"/>
      <c r="S572" s="1777"/>
      <c r="T572" s="1777"/>
      <c r="U572" s="2054"/>
      <c r="V572" s="1777"/>
      <c r="W572" s="1777"/>
      <c r="X572" s="1777"/>
      <c r="Y572" s="1777"/>
      <c r="Z572" s="1777"/>
      <c r="AA572" s="1777"/>
      <c r="AB572" s="1777"/>
      <c r="AC572" s="1777"/>
      <c r="AD572" s="1777"/>
      <c r="AE572" s="1777"/>
      <c r="AF572" s="1777"/>
      <c r="AG572" s="1777"/>
      <c r="AH572" s="1777"/>
      <c r="AI572" s="1777"/>
      <c r="AJ572" s="1777"/>
      <c r="AK572" s="1777"/>
      <c r="AL572" s="1778"/>
      <c r="AM572" s="1692">
        <f>SUM(AM560:AS571)</f>
        <v>24689154</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6">
      <c r="A574" s="101" t="s">
        <v>983</v>
      </c>
      <c r="B574" s="16" t="s">
        <v>93</v>
      </c>
      <c r="G574" s="1827" t="str">
        <f>C560</f>
        <v>California Bank &amp; Trust - Construction Loan</v>
      </c>
      <c r="H574" s="1827"/>
      <c r="I574" s="1827"/>
      <c r="J574" s="1827"/>
      <c r="K574" s="1827"/>
      <c r="L574" s="1827"/>
      <c r="M574" s="1827"/>
      <c r="N574" s="1827"/>
      <c r="O574" s="1827"/>
      <c r="P574" s="1827"/>
      <c r="Q574" s="1827"/>
      <c r="R574" s="1827"/>
      <c r="S574" s="18"/>
      <c r="T574" s="101" t="s">
        <v>984</v>
      </c>
      <c r="U574" s="16" t="s">
        <v>93</v>
      </c>
      <c r="Z574" s="1827" t="str">
        <f>C561</f>
        <v>County of Butte - CDBG-DR Loan</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6">
      <c r="A575" s="46"/>
      <c r="B575" s="16" t="s">
        <v>413</v>
      </c>
      <c r="G575" s="1661" t="s">
        <v>2437</v>
      </c>
      <c r="H575" s="1661"/>
      <c r="I575" s="1661"/>
      <c r="J575" s="1661"/>
      <c r="K575" s="1661"/>
      <c r="L575" s="1661"/>
      <c r="M575" s="1661"/>
      <c r="N575" s="1661"/>
      <c r="O575" s="1661"/>
      <c r="P575" s="1661"/>
      <c r="Q575" s="1661"/>
      <c r="R575" s="1661"/>
      <c r="S575" s="18"/>
      <c r="T575" s="46"/>
      <c r="U575" s="16" t="s">
        <v>413</v>
      </c>
      <c r="Z575" s="1661" t="s">
        <v>2506</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6">
      <c r="A576" s="46"/>
      <c r="B576" s="16" t="s">
        <v>475</v>
      </c>
      <c r="G576" s="1661" t="s">
        <v>2438</v>
      </c>
      <c r="H576" s="1661"/>
      <c r="I576" s="1661"/>
      <c r="J576" s="1661"/>
      <c r="K576" s="1661"/>
      <c r="L576" s="1661"/>
      <c r="M576" s="1661"/>
      <c r="N576" s="1661"/>
      <c r="O576" s="1661"/>
      <c r="P576" s="1661"/>
      <c r="Q576" s="1661"/>
      <c r="R576" s="1661"/>
      <c r="S576" s="102"/>
      <c r="T576" s="46"/>
      <c r="U576" s="16" t="s">
        <v>475</v>
      </c>
      <c r="Z576" s="1653" t="s">
        <v>2507</v>
      </c>
      <c r="AA576" s="1653"/>
      <c r="AB576" s="1653"/>
      <c r="AC576" s="1653"/>
      <c r="AD576" s="1653"/>
      <c r="AE576" s="1653"/>
      <c r="AF576" s="1653"/>
      <c r="AG576" s="1653"/>
      <c r="AH576" s="1653"/>
      <c r="AI576" s="1653"/>
      <c r="AJ576" s="1653"/>
      <c r="AK576" s="165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6">
      <c r="A577" s="46"/>
      <c r="B577" s="16" t="s">
        <v>907</v>
      </c>
      <c r="G577" s="1661" t="s">
        <v>2439</v>
      </c>
      <c r="H577" s="1661"/>
      <c r="I577" s="1661"/>
      <c r="J577" s="1661"/>
      <c r="K577" s="1661"/>
      <c r="L577" s="1661"/>
      <c r="M577" s="1661"/>
      <c r="N577" s="1661"/>
      <c r="O577" s="1661"/>
      <c r="P577" s="1661"/>
      <c r="Q577" s="1661"/>
      <c r="R577" s="1661"/>
      <c r="S577" s="18"/>
      <c r="T577" s="46"/>
      <c r="U577" s="16" t="s">
        <v>907</v>
      </c>
      <c r="Z577" s="1653" t="s">
        <v>2508</v>
      </c>
      <c r="AA577" s="1653"/>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56" t="s">
        <v>2440</v>
      </c>
      <c r="H578" s="1657"/>
      <c r="I578" s="1657"/>
      <c r="J578" s="1657"/>
      <c r="K578" s="1657"/>
      <c r="L578" s="1657"/>
      <c r="O578" s="149" t="s">
        <v>892</v>
      </c>
      <c r="P578" s="1663"/>
      <c r="Q578" s="1663"/>
      <c r="R578" s="1663"/>
      <c r="S578" s="20"/>
      <c r="T578" s="46"/>
      <c r="U578" s="16" t="s">
        <v>711</v>
      </c>
      <c r="Z578" s="1656" t="s">
        <v>2509</v>
      </c>
      <c r="AA578" s="1657"/>
      <c r="AB578" s="1657"/>
      <c r="AC578" s="1657"/>
      <c r="AD578" s="1657"/>
      <c r="AE578" s="1657"/>
      <c r="AH578" s="149" t="s">
        <v>892</v>
      </c>
      <c r="AI578" s="1663"/>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1" t="s">
        <v>2441</v>
      </c>
      <c r="I579" s="1661"/>
      <c r="J579" s="1661"/>
      <c r="K579" s="1661"/>
      <c r="L579" s="1661"/>
      <c r="M579" s="1661"/>
      <c r="N579" s="1661"/>
      <c r="O579" s="1661"/>
      <c r="P579" s="1661"/>
      <c r="Q579" s="1661"/>
      <c r="R579" s="1661"/>
      <c r="S579" s="18"/>
      <c r="T579" s="46"/>
      <c r="U579" s="16" t="s">
        <v>908</v>
      </c>
      <c r="AA579" s="1661" t="s">
        <v>2442</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8" t="s">
        <v>119</v>
      </c>
      <c r="O580" s="1658"/>
      <c r="T580" s="46"/>
      <c r="U580" s="16" t="s">
        <v>910</v>
      </c>
      <c r="AG580" s="1658" t="s">
        <v>119</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7" t="str">
        <f>C562</f>
        <v>Pacific West Communities, Inc. - DDF</v>
      </c>
      <c r="H582" s="1827"/>
      <c r="I582" s="1827"/>
      <c r="J582" s="1827"/>
      <c r="K582" s="1827"/>
      <c r="L582" s="1827"/>
      <c r="M582" s="1827"/>
      <c r="N582" s="1827"/>
      <c r="O582" s="1827"/>
      <c r="P582" s="1827"/>
      <c r="Q582" s="1827"/>
      <c r="R582" s="1827"/>
      <c r="T582" s="101" t="s">
        <v>476</v>
      </c>
      <c r="U582" s="16" t="s">
        <v>93</v>
      </c>
      <c r="Z582" s="1827" t="str">
        <f>C563</f>
        <v>Gridley Orchard Assoc. - Def. Costs</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1" t="s">
        <v>2352</v>
      </c>
      <c r="H583" s="1661"/>
      <c r="I583" s="1661"/>
      <c r="J583" s="1661"/>
      <c r="K583" s="1661"/>
      <c r="L583" s="1661"/>
      <c r="M583" s="1661"/>
      <c r="N583" s="1661"/>
      <c r="O583" s="1661"/>
      <c r="P583" s="1661"/>
      <c r="Q583" s="1661"/>
      <c r="R583" s="1661"/>
      <c r="T583" s="46"/>
      <c r="U583" s="16" t="s">
        <v>413</v>
      </c>
      <c r="Z583" s="1661" t="s">
        <v>2352</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3" t="s">
        <v>2375</v>
      </c>
      <c r="H584" s="1653"/>
      <c r="I584" s="1653"/>
      <c r="J584" s="1653"/>
      <c r="K584" s="1653"/>
      <c r="L584" s="1653"/>
      <c r="M584" s="1653"/>
      <c r="N584" s="1653"/>
      <c r="O584" s="1653"/>
      <c r="P584" s="1653"/>
      <c r="Q584" s="1653"/>
      <c r="R584" s="1653"/>
      <c r="T584" s="46"/>
      <c r="U584" s="16" t="s">
        <v>475</v>
      </c>
      <c r="Z584" s="1653" t="s">
        <v>2375</v>
      </c>
      <c r="AA584" s="1653"/>
      <c r="AB584" s="1653"/>
      <c r="AC584" s="1653"/>
      <c r="AD584" s="1653"/>
      <c r="AE584" s="1653"/>
      <c r="AF584" s="1653"/>
      <c r="AG584" s="1653"/>
      <c r="AH584" s="1653"/>
      <c r="AI584" s="1653"/>
      <c r="AJ584" s="1653"/>
      <c r="AK584" s="165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3" t="s">
        <v>2340</v>
      </c>
      <c r="H585" s="1653"/>
      <c r="I585" s="1653"/>
      <c r="J585" s="1653"/>
      <c r="K585" s="1653"/>
      <c r="L585" s="1653"/>
      <c r="M585" s="1653"/>
      <c r="N585" s="1653"/>
      <c r="O585" s="1653"/>
      <c r="P585" s="1653"/>
      <c r="Q585" s="1653"/>
      <c r="R585" s="1653"/>
      <c r="T585" s="46"/>
      <c r="U585" s="16" t="s">
        <v>907</v>
      </c>
      <c r="Z585" s="1653" t="s">
        <v>2340</v>
      </c>
      <c r="AA585" s="1653"/>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56" t="s">
        <v>2354</v>
      </c>
      <c r="H586" s="1657"/>
      <c r="I586" s="1657"/>
      <c r="J586" s="1657"/>
      <c r="K586" s="1657"/>
      <c r="L586" s="1657"/>
      <c r="O586" s="149" t="s">
        <v>892</v>
      </c>
      <c r="P586" s="1663">
        <v>3015</v>
      </c>
      <c r="Q586" s="1663"/>
      <c r="R586" s="1663"/>
      <c r="T586" s="46"/>
      <c r="U586" s="16" t="s">
        <v>711</v>
      </c>
      <c r="Z586" s="1656" t="s">
        <v>2354</v>
      </c>
      <c r="AA586" s="1657"/>
      <c r="AB586" s="1657"/>
      <c r="AC586" s="1657"/>
      <c r="AD586" s="1657"/>
      <c r="AE586" s="1657"/>
      <c r="AH586" s="149" t="s">
        <v>892</v>
      </c>
      <c r="AI586" s="1663">
        <v>3015</v>
      </c>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1" t="s">
        <v>2443</v>
      </c>
      <c r="I587" s="1661"/>
      <c r="J587" s="1661"/>
      <c r="K587" s="1661"/>
      <c r="L587" s="1661"/>
      <c r="M587" s="1661"/>
      <c r="N587" s="1661"/>
      <c r="O587" s="1661"/>
      <c r="P587" s="1661"/>
      <c r="Q587" s="1661"/>
      <c r="R587" s="1661"/>
      <c r="T587" s="46"/>
      <c r="U587" s="16" t="s">
        <v>908</v>
      </c>
      <c r="AA587" s="1661" t="s">
        <v>2444</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2" t="s">
        <v>119</v>
      </c>
      <c r="O588" s="1712"/>
      <c r="T588" s="46"/>
      <c r="U588" s="16" t="s">
        <v>910</v>
      </c>
      <c r="AG588" s="1712" t="s">
        <v>119</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t="str">
        <f>C564</f>
        <v>Boston Financial - LIHTC Equity</v>
      </c>
      <c r="H590" s="1827"/>
      <c r="I590" s="1827"/>
      <c r="J590" s="1827"/>
      <c r="K590" s="1827"/>
      <c r="L590" s="1827"/>
      <c r="M590" s="1827"/>
      <c r="N590" s="1827"/>
      <c r="O590" s="1827"/>
      <c r="P590" s="1827"/>
      <c r="Q590" s="1827"/>
      <c r="R590" s="1827"/>
      <c r="T590" s="101" t="s">
        <v>479</v>
      </c>
      <c r="U590" s="16" t="s">
        <v>93</v>
      </c>
      <c r="Z590" s="1827">
        <f>C565</f>
        <v>0</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1" t="s">
        <v>2400</v>
      </c>
      <c r="H591" s="1661"/>
      <c r="I591" s="1661"/>
      <c r="J591" s="1661"/>
      <c r="K591" s="1661"/>
      <c r="L591" s="1661"/>
      <c r="M591" s="1661"/>
      <c r="N591" s="1661"/>
      <c r="O591" s="1661"/>
      <c r="P591" s="1661"/>
      <c r="Q591" s="1661"/>
      <c r="R591" s="1661"/>
      <c r="T591" s="46"/>
      <c r="U591" s="16" t="s">
        <v>413</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1" t="s">
        <v>2401</v>
      </c>
      <c r="H592" s="1661"/>
      <c r="I592" s="1661"/>
      <c r="J592" s="1661"/>
      <c r="K592" s="1661"/>
      <c r="L592" s="1661"/>
      <c r="M592" s="1661"/>
      <c r="N592" s="1661"/>
      <c r="O592" s="1661"/>
      <c r="P592" s="1661"/>
      <c r="Q592" s="1661"/>
      <c r="R592" s="1661"/>
      <c r="T592" s="46"/>
      <c r="U592" s="16" t="s">
        <v>475</v>
      </c>
      <c r="Z592" s="1653"/>
      <c r="AA592" s="1653"/>
      <c r="AB592" s="1653"/>
      <c r="AC592" s="1653"/>
      <c r="AD592" s="1653"/>
      <c r="AE592" s="1653"/>
      <c r="AF592" s="1653"/>
      <c r="AG592" s="1653"/>
      <c r="AH592" s="1653"/>
      <c r="AI592" s="1653"/>
      <c r="AJ592" s="1653"/>
      <c r="AK592" s="165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1" t="s">
        <v>2402</v>
      </c>
      <c r="H593" s="1661"/>
      <c r="I593" s="1661"/>
      <c r="J593" s="1661"/>
      <c r="K593" s="1661"/>
      <c r="L593" s="1661"/>
      <c r="M593" s="1661"/>
      <c r="N593" s="1661"/>
      <c r="O593" s="1661"/>
      <c r="P593" s="1661"/>
      <c r="Q593" s="1661"/>
      <c r="R593" s="1661"/>
      <c r="T593" s="46"/>
      <c r="U593" s="16" t="s">
        <v>907</v>
      </c>
      <c r="Z593" s="1653"/>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6">
      <c r="A594" s="46"/>
      <c r="B594" s="16" t="s">
        <v>711</v>
      </c>
      <c r="G594" s="1656" t="s">
        <v>2403</v>
      </c>
      <c r="H594" s="1657"/>
      <c r="I594" s="1657"/>
      <c r="J594" s="1657"/>
      <c r="K594" s="1657"/>
      <c r="L594" s="1657"/>
      <c r="O594" s="149" t="s">
        <v>892</v>
      </c>
      <c r="P594" s="1663"/>
      <c r="Q594" s="1663"/>
      <c r="R594" s="1663"/>
      <c r="T594" s="46"/>
      <c r="U594" s="16" t="s">
        <v>711</v>
      </c>
      <c r="Z594" s="1657"/>
      <c r="AA594" s="1657"/>
      <c r="AB594" s="1657"/>
      <c r="AC594" s="1657"/>
      <c r="AD594" s="1657"/>
      <c r="AE594" s="1657"/>
      <c r="AH594" s="149" t="s">
        <v>892</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6">
      <c r="A595" s="46"/>
      <c r="B595" s="16" t="s">
        <v>908</v>
      </c>
      <c r="H595" s="1661" t="s">
        <v>2445</v>
      </c>
      <c r="I595" s="1661"/>
      <c r="J595" s="1661"/>
      <c r="K595" s="1661"/>
      <c r="L595" s="1661"/>
      <c r="M595" s="1661"/>
      <c r="N595" s="1661"/>
      <c r="O595" s="1661"/>
      <c r="P595" s="1661"/>
      <c r="Q595" s="1661"/>
      <c r="R595" s="1661"/>
      <c r="T595" s="46"/>
      <c r="U595" s="16" t="s">
        <v>908</v>
      </c>
      <c r="AA595" s="1661"/>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6">
      <c r="A596" s="46"/>
      <c r="B596" s="16" t="s">
        <v>910</v>
      </c>
      <c r="N596" s="1712" t="s">
        <v>527</v>
      </c>
      <c r="O596" s="1712"/>
      <c r="T596" s="46"/>
      <c r="U596" s="16" t="s">
        <v>910</v>
      </c>
      <c r="AG596" s="1712" t="s">
        <v>527</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6">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7">
        <f>C566</f>
        <v>0</v>
      </c>
      <c r="H598" s="1827"/>
      <c r="I598" s="1827"/>
      <c r="J598" s="1827"/>
      <c r="K598" s="1827"/>
      <c r="L598" s="1827"/>
      <c r="M598" s="1827"/>
      <c r="N598" s="1827"/>
      <c r="O598" s="1827"/>
      <c r="P598" s="1827"/>
      <c r="Q598" s="1827"/>
      <c r="R598" s="1827"/>
      <c r="T598" s="101" t="s">
        <v>806</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6">
      <c r="A599" s="46"/>
      <c r="B599" s="16" t="s">
        <v>413</v>
      </c>
      <c r="G599" s="1661"/>
      <c r="H599" s="1661"/>
      <c r="I599" s="1661"/>
      <c r="J599" s="1661"/>
      <c r="K599" s="1661"/>
      <c r="L599" s="1661"/>
      <c r="M599" s="1661"/>
      <c r="N599" s="1661"/>
      <c r="O599" s="1661"/>
      <c r="P599" s="1661"/>
      <c r="Q599" s="1661"/>
      <c r="R599" s="1661"/>
      <c r="T599" s="46"/>
      <c r="U599" s="16" t="s">
        <v>413</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1"/>
      <c r="H600" s="1661"/>
      <c r="I600" s="1661"/>
      <c r="J600" s="1661"/>
      <c r="K600" s="1661"/>
      <c r="L600" s="1661"/>
      <c r="M600" s="1661"/>
      <c r="N600" s="1661"/>
      <c r="O600" s="1661"/>
      <c r="P600" s="1661"/>
      <c r="Q600" s="1661"/>
      <c r="R600" s="1661"/>
      <c r="S600" s="16"/>
      <c r="T600" s="46"/>
      <c r="U600" s="16" t="s">
        <v>475</v>
      </c>
      <c r="V600" s="16"/>
      <c r="W600" s="16"/>
      <c r="X600" s="16"/>
      <c r="Y600" s="16"/>
      <c r="Z600" s="1653"/>
      <c r="AA600" s="1653"/>
      <c r="AB600" s="1653"/>
      <c r="AC600" s="1653"/>
      <c r="AD600" s="1653"/>
      <c r="AE600" s="1653"/>
      <c r="AF600" s="1653"/>
      <c r="AG600" s="1653"/>
      <c r="AH600" s="1653"/>
      <c r="AI600" s="1653"/>
      <c r="AJ600" s="1653"/>
      <c r="AK600" s="165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6">
      <c r="A601" s="46"/>
      <c r="B601" s="16" t="s">
        <v>907</v>
      </c>
      <c r="C601" s="16"/>
      <c r="D601" s="16"/>
      <c r="E601" s="16"/>
      <c r="F601" s="16"/>
      <c r="G601" s="1661"/>
      <c r="H601" s="1661"/>
      <c r="I601" s="1661"/>
      <c r="J601" s="1661"/>
      <c r="K601" s="1661"/>
      <c r="L601" s="1661"/>
      <c r="M601" s="1661"/>
      <c r="N601" s="1661"/>
      <c r="O601" s="1661"/>
      <c r="P601" s="1661"/>
      <c r="Q601" s="1661"/>
      <c r="R601" s="1661"/>
      <c r="S601" s="16"/>
      <c r="T601" s="46"/>
      <c r="U601" s="16" t="s">
        <v>907</v>
      </c>
      <c r="V601" s="16"/>
      <c r="W601" s="16"/>
      <c r="X601" s="16"/>
      <c r="Y601" s="16"/>
      <c r="Z601" s="1653"/>
      <c r="AA601" s="1653"/>
      <c r="AB601" s="1653"/>
      <c r="AC601" s="1653"/>
      <c r="AD601" s="1653"/>
      <c r="AE601" s="1653"/>
      <c r="AF601" s="1653"/>
      <c r="AG601" s="1653"/>
      <c r="AH601" s="1653"/>
      <c r="AI601" s="1653"/>
      <c r="AJ601" s="1653"/>
      <c r="AK601" s="1653"/>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6">
      <c r="A602" s="46"/>
      <c r="B602" s="16" t="s">
        <v>711</v>
      </c>
      <c r="C602" s="16"/>
      <c r="D602" s="16"/>
      <c r="E602" s="16"/>
      <c r="F602" s="16"/>
      <c r="G602" s="1657"/>
      <c r="H602" s="1657"/>
      <c r="I602" s="1657"/>
      <c r="J602" s="1657"/>
      <c r="K602" s="1657"/>
      <c r="L602" s="1657"/>
      <c r="M602" s="16"/>
      <c r="N602" s="16"/>
      <c r="O602" s="149" t="s">
        <v>892</v>
      </c>
      <c r="P602" s="1663"/>
      <c r="Q602" s="1663"/>
      <c r="R602" s="1663"/>
      <c r="S602" s="16"/>
      <c r="T602" s="46"/>
      <c r="U602" s="16" t="s">
        <v>711</v>
      </c>
      <c r="V602" s="16"/>
      <c r="W602" s="16"/>
      <c r="X602" s="16"/>
      <c r="Y602" s="16"/>
      <c r="Z602" s="1657"/>
      <c r="AA602" s="1657"/>
      <c r="AB602" s="1657"/>
      <c r="AC602" s="1657"/>
      <c r="AD602" s="1657"/>
      <c r="AE602" s="1657"/>
      <c r="AF602" s="16"/>
      <c r="AG602" s="16"/>
      <c r="AH602" s="149" t="s">
        <v>892</v>
      </c>
      <c r="AI602" s="1663"/>
      <c r="AJ602" s="1663"/>
      <c r="AK602" s="1663"/>
      <c r="AL602" s="16"/>
      <c r="AZ602" s="8" t="s">
        <v>486</v>
      </c>
      <c r="BA602" s="72"/>
      <c r="BB602" s="72"/>
      <c r="BC602" s="72"/>
      <c r="BD602" s="72"/>
      <c r="BE602" s="334" t="s">
        <v>389</v>
      </c>
      <c r="BF602" s="335"/>
      <c r="BG602" s="1802"/>
      <c r="BH602" s="1805"/>
      <c r="BI602" s="334" t="s">
        <v>390</v>
      </c>
      <c r="BJ602" s="335"/>
      <c r="BK602" s="1802"/>
      <c r="BL602" s="1805"/>
      <c r="BN602" s="1802">
        <f t="shared" ref="BN602:BN626" si="0">IF(B706="SRO/Studio",G706,0)</f>
        <v>0</v>
      </c>
      <c r="BO602" s="1803"/>
      <c r="BP602" s="1803"/>
      <c r="BQ602" s="1803"/>
      <c r="BR602" s="1804"/>
      <c r="BS602" s="1802">
        <f t="shared" ref="BS602:BS626" si="1">IF(B706="1 Bedroom",G706,0)</f>
        <v>0</v>
      </c>
      <c r="BT602" s="1803"/>
      <c r="BU602" s="1803"/>
      <c r="BV602" s="1803"/>
      <c r="BW602" s="1805"/>
      <c r="BX602" s="1802">
        <f t="shared" ref="BX602:BX626" si="2">IF(B706="2 Bedrooms",G706,0)</f>
        <v>1</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3">
        <f t="shared" ref="CM602:CM626" si="5">IF(B706="5 Bedrooms",G706,0)</f>
        <v>0</v>
      </c>
      <c r="CN602" s="2124"/>
      <c r="CO602" s="2124"/>
      <c r="CP602" s="2124"/>
      <c r="CQ602" s="1804"/>
      <c r="CS602" s="1392" t="s">
        <v>464</v>
      </c>
      <c r="CT602" s="1392"/>
      <c r="CU602" s="1392"/>
      <c r="CV602" s="1392"/>
      <c r="CW602" s="1392"/>
      <c r="CX602" s="1392" t="s">
        <v>487</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6">
      <c r="A603" s="46"/>
      <c r="B603" s="16" t="s">
        <v>908</v>
      </c>
      <c r="C603" s="16"/>
      <c r="D603" s="16"/>
      <c r="E603" s="16"/>
      <c r="F603" s="16"/>
      <c r="G603" s="16"/>
      <c r="H603" s="1661"/>
      <c r="I603" s="1661"/>
      <c r="J603" s="1661"/>
      <c r="K603" s="1661"/>
      <c r="L603" s="1661"/>
      <c r="M603" s="1661"/>
      <c r="N603" s="1661"/>
      <c r="O603" s="1661"/>
      <c r="P603" s="1661"/>
      <c r="Q603" s="1661"/>
      <c r="R603" s="1661"/>
      <c r="S603" s="16"/>
      <c r="T603" s="46"/>
      <c r="U603" s="16" t="s">
        <v>908</v>
      </c>
      <c r="V603" s="16"/>
      <c r="W603" s="16"/>
      <c r="X603" s="16"/>
      <c r="Y603" s="16"/>
      <c r="Z603" s="16"/>
      <c r="AA603" s="1661"/>
      <c r="AB603" s="1661"/>
      <c r="AC603" s="1661"/>
      <c r="AD603" s="1661"/>
      <c r="AE603" s="1661"/>
      <c r="AF603" s="1661"/>
      <c r="AG603" s="1661"/>
      <c r="AH603" s="1661"/>
      <c r="AI603" s="1661"/>
      <c r="AJ603" s="1661"/>
      <c r="AK603" s="1661"/>
      <c r="AL603" s="16"/>
      <c r="AZ603" s="8" t="s">
        <v>487</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1</v>
      </c>
      <c r="BL603" s="1805"/>
      <c r="BN603" s="1802">
        <f t="shared" si="0"/>
        <v>0</v>
      </c>
      <c r="BO603" s="1803"/>
      <c r="BP603" s="1803"/>
      <c r="BQ603" s="1803"/>
      <c r="BR603" s="1804"/>
      <c r="BS603" s="1802">
        <f t="shared" si="1"/>
        <v>0</v>
      </c>
      <c r="BT603" s="1803"/>
      <c r="BU603" s="1803"/>
      <c r="BV603" s="1803"/>
      <c r="BW603" s="1805"/>
      <c r="BX603" s="1802">
        <f t="shared" si="2"/>
        <v>2</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0">
        <f>IF(AND(B706="SRO/Studio",AH706&lt;=0.3),G706,0)</f>
        <v>0</v>
      </c>
      <c r="CT603" s="2121"/>
      <c r="CU603" s="2121"/>
      <c r="CV603" s="2121"/>
      <c r="CW603" s="2122"/>
      <c r="CX603" s="2120">
        <f>IF(AND(B706="1 Bedroom",AH706&lt;=0.3),G706,0)</f>
        <v>0</v>
      </c>
      <c r="CY603" s="2121"/>
      <c r="CZ603" s="2121"/>
      <c r="DA603" s="2121"/>
      <c r="DB603" s="2122"/>
      <c r="DC603" s="2120">
        <f>IF(AND(B706="2 Bedrooms",AH706&lt;=0.3),G706,0)</f>
        <v>1</v>
      </c>
      <c r="DD603" s="2121"/>
      <c r="DE603" s="2121"/>
      <c r="DF603" s="2121"/>
      <c r="DG603" s="2122"/>
      <c r="DH603" s="2120">
        <f>IF(AND(B706="3 Bedrooms",AH706&lt;=0.3),G706,0)</f>
        <v>0</v>
      </c>
      <c r="DI603" s="2121"/>
      <c r="DJ603" s="2121"/>
      <c r="DK603" s="2121"/>
      <c r="DL603" s="2122"/>
      <c r="DM603" s="2120">
        <f>IF(AND(B706="4 Bedrooms",AH706&lt;=0.3),G706,0)</f>
        <v>0</v>
      </c>
      <c r="DN603" s="2121"/>
      <c r="DO603" s="2121"/>
      <c r="DP603" s="2121"/>
      <c r="DQ603" s="2122"/>
      <c r="DR603" s="2120">
        <f>IF(AND(B706="5 Bedrooms",AH706&lt;=0.3),G706,0)</f>
        <v>0</v>
      </c>
      <c r="DS603" s="2121"/>
      <c r="DT603" s="2121"/>
      <c r="DU603" s="2121"/>
      <c r="DV603" s="2122"/>
    </row>
    <row r="604" spans="1:126" s="8" customFormat="1" ht="12.6">
      <c r="A604" s="46"/>
      <c r="B604" s="16" t="s">
        <v>910</v>
      </c>
      <c r="C604" s="16"/>
      <c r="D604" s="16"/>
      <c r="E604" s="16"/>
      <c r="F604" s="16"/>
      <c r="G604" s="16"/>
      <c r="H604" s="16"/>
      <c r="I604" s="16"/>
      <c r="J604" s="16"/>
      <c r="K604" s="16"/>
      <c r="L604" s="16"/>
      <c r="M604" s="16"/>
      <c r="N604" s="1712" t="s">
        <v>527</v>
      </c>
      <c r="O604" s="1712"/>
      <c r="P604" s="16"/>
      <c r="Q604" s="16"/>
      <c r="R604" s="16"/>
      <c r="S604" s="16"/>
      <c r="T604" s="46"/>
      <c r="U604" s="16" t="s">
        <v>910</v>
      </c>
      <c r="V604" s="16"/>
      <c r="W604" s="16"/>
      <c r="X604" s="16"/>
      <c r="Y604" s="16"/>
      <c r="Z604" s="16"/>
      <c r="AA604" s="16"/>
      <c r="AB604" s="16"/>
      <c r="AC604" s="16"/>
      <c r="AD604" s="16"/>
      <c r="AE604" s="16"/>
      <c r="AF604" s="16"/>
      <c r="AG604" s="1712" t="s">
        <v>527</v>
      </c>
      <c r="AH604" s="1712"/>
      <c r="AI604" s="16"/>
      <c r="AJ604" s="16"/>
      <c r="AK604" s="16"/>
      <c r="AL604" s="16"/>
      <c r="AZ604" s="8" t="s">
        <v>845</v>
      </c>
      <c r="BA604" s="72"/>
      <c r="BB604" s="72"/>
      <c r="BC604" s="72"/>
      <c r="BD604" s="72"/>
      <c r="BE604" s="1806">
        <f t="shared" ref="BE604:BE627" si="8">IF(AND(AH707&lt;=0.5,AH707&gt;=0.36),1,0)</f>
        <v>1</v>
      </c>
      <c r="BF604" s="1807"/>
      <c r="BG604" s="1802">
        <f t="shared" si="6"/>
        <v>2</v>
      </c>
      <c r="BH604" s="1805"/>
      <c r="BI604" s="1806">
        <f t="shared" ref="BI604:BI627" si="9">IF(AND(AH707&lt;=0.35,AH707&gt;0),1,0)</f>
        <v>0</v>
      </c>
      <c r="BJ604" s="1807"/>
      <c r="BK604" s="1802">
        <f t="shared" si="7"/>
        <v>0</v>
      </c>
      <c r="BL604" s="1805"/>
      <c r="BN604" s="1802">
        <f t="shared" si="0"/>
        <v>0</v>
      </c>
      <c r="BO604" s="1803"/>
      <c r="BP604" s="1803"/>
      <c r="BQ604" s="1803"/>
      <c r="BR604" s="1804"/>
      <c r="BS604" s="1802">
        <f t="shared" si="1"/>
        <v>0</v>
      </c>
      <c r="BT604" s="1803"/>
      <c r="BU604" s="1803"/>
      <c r="BV604" s="1803"/>
      <c r="BW604" s="1805"/>
      <c r="BX604" s="1802">
        <f t="shared" si="2"/>
        <v>5</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20">
        <f t="shared" ref="CS604:CS627" si="10">IF(AND(B707="SRO/Studio",AH707&lt;=0.3),G707,0)</f>
        <v>0</v>
      </c>
      <c r="CT604" s="2121"/>
      <c r="CU604" s="2121"/>
      <c r="CV604" s="2121"/>
      <c r="CW604" s="2122"/>
      <c r="CX604" s="2120">
        <f t="shared" ref="CX604:CX627" si="11">IF(AND(B707="1 Bedroom",AH707&lt;=0.3),G707,0)</f>
        <v>0</v>
      </c>
      <c r="CY604" s="2121"/>
      <c r="CZ604" s="2121"/>
      <c r="DA604" s="2121"/>
      <c r="DB604" s="2122"/>
      <c r="DC604" s="2120">
        <f t="shared" ref="DC604:DC627" si="12">IF(AND(B707="2 Bedrooms",AH707&lt;=0.3),G707,0)</f>
        <v>0</v>
      </c>
      <c r="DD604" s="2121"/>
      <c r="DE604" s="2121"/>
      <c r="DF604" s="2121"/>
      <c r="DG604" s="2122"/>
      <c r="DH604" s="2120">
        <f t="shared" ref="DH604:DH627" si="13">IF(AND(B707="3 Bedrooms",AH707&lt;=0.3),G707,0)</f>
        <v>0</v>
      </c>
      <c r="DI604" s="2121"/>
      <c r="DJ604" s="2121"/>
      <c r="DK604" s="2121"/>
      <c r="DL604" s="2122"/>
      <c r="DM604" s="2120">
        <f t="shared" ref="DM604:DM627" si="14">IF(AND(B707="4 Bedrooms",AH707&lt;=0.3),G707,0)</f>
        <v>0</v>
      </c>
      <c r="DN604" s="2121"/>
      <c r="DO604" s="2121"/>
      <c r="DP604" s="2121"/>
      <c r="DQ604" s="2122"/>
      <c r="DR604" s="2120">
        <f t="shared" ref="DR604:DR627" si="15">IF(AND(B707="5 Bedrooms",AH707&lt;=0.3),G707,0)</f>
        <v>0</v>
      </c>
      <c r="DS604" s="2121"/>
      <c r="DT604" s="2121"/>
      <c r="DU604" s="2121"/>
      <c r="DV604" s="2122"/>
    </row>
    <row r="605" spans="1:126" ht="12.6">
      <c r="AZ605" s="8" t="s">
        <v>846</v>
      </c>
      <c r="BA605" s="72"/>
      <c r="BB605" s="72"/>
      <c r="BC605" s="72"/>
      <c r="BD605" s="72"/>
      <c r="BE605" s="1806">
        <f t="shared" si="8"/>
        <v>1</v>
      </c>
      <c r="BF605" s="1807"/>
      <c r="BG605" s="1802">
        <f t="shared" si="6"/>
        <v>5</v>
      </c>
      <c r="BH605" s="1805"/>
      <c r="BI605" s="1806">
        <f t="shared" si="9"/>
        <v>0</v>
      </c>
      <c r="BJ605" s="1807"/>
      <c r="BK605" s="1802">
        <f t="shared" si="7"/>
        <v>0</v>
      </c>
      <c r="BL605" s="1805"/>
      <c r="BN605" s="1802">
        <f t="shared" si="0"/>
        <v>0</v>
      </c>
      <c r="BO605" s="1803"/>
      <c r="BP605" s="1803"/>
      <c r="BQ605" s="1803"/>
      <c r="BR605" s="1804"/>
      <c r="BS605" s="1802">
        <f t="shared" si="1"/>
        <v>0</v>
      </c>
      <c r="BT605" s="1803"/>
      <c r="BU605" s="1803"/>
      <c r="BV605" s="1803"/>
      <c r="BW605" s="1805"/>
      <c r="BX605" s="1802">
        <f t="shared" si="2"/>
        <v>8</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20">
        <f t="shared" si="10"/>
        <v>0</v>
      </c>
      <c r="CT605" s="2121"/>
      <c r="CU605" s="2121"/>
      <c r="CV605" s="2121"/>
      <c r="CW605" s="2122"/>
      <c r="CX605" s="2120">
        <f t="shared" si="11"/>
        <v>0</v>
      </c>
      <c r="CY605" s="2121"/>
      <c r="CZ605" s="2121"/>
      <c r="DA605" s="2121"/>
      <c r="DB605" s="2122"/>
      <c r="DC605" s="2120">
        <f t="shared" si="12"/>
        <v>0</v>
      </c>
      <c r="DD605" s="2121"/>
      <c r="DE605" s="2121"/>
      <c r="DF605" s="2121"/>
      <c r="DG605" s="2122"/>
      <c r="DH605" s="2120">
        <f t="shared" si="13"/>
        <v>0</v>
      </c>
      <c r="DI605" s="2121"/>
      <c r="DJ605" s="2121"/>
      <c r="DK605" s="2121"/>
      <c r="DL605" s="2122"/>
      <c r="DM605" s="2120">
        <f t="shared" si="14"/>
        <v>0</v>
      </c>
      <c r="DN605" s="2121"/>
      <c r="DO605" s="2121"/>
      <c r="DP605" s="2121"/>
      <c r="DQ605" s="2122"/>
      <c r="DR605" s="2120">
        <f t="shared" si="15"/>
        <v>0</v>
      </c>
      <c r="DS605" s="2121"/>
      <c r="DT605" s="2121"/>
      <c r="DU605" s="2121"/>
      <c r="DV605" s="2122"/>
    </row>
    <row r="606" spans="1:126" ht="12.6">
      <c r="A606" s="101" t="s">
        <v>602</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847</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0</v>
      </c>
      <c r="BY606" s="1803"/>
      <c r="BZ606" s="1803"/>
      <c r="CA606" s="1803"/>
      <c r="CB606" s="1805"/>
      <c r="CC606" s="1802">
        <f t="shared" si="3"/>
        <v>3</v>
      </c>
      <c r="CD606" s="1803"/>
      <c r="CE606" s="1803"/>
      <c r="CF606" s="1803"/>
      <c r="CG606" s="1805"/>
      <c r="CH606" s="1802">
        <f t="shared" si="4"/>
        <v>0</v>
      </c>
      <c r="CI606" s="1803"/>
      <c r="CJ606" s="1803"/>
      <c r="CK606" s="1803"/>
      <c r="CL606" s="1805"/>
      <c r="CM606" s="1802">
        <f t="shared" si="5"/>
        <v>0</v>
      </c>
      <c r="CN606" s="1803"/>
      <c r="CO606" s="1803"/>
      <c r="CP606" s="1803"/>
      <c r="CQ606" s="1805"/>
      <c r="CS606" s="2120">
        <f t="shared" si="10"/>
        <v>0</v>
      </c>
      <c r="CT606" s="2121"/>
      <c r="CU606" s="2121"/>
      <c r="CV606" s="2121"/>
      <c r="CW606" s="2122"/>
      <c r="CX606" s="2120">
        <f t="shared" si="11"/>
        <v>0</v>
      </c>
      <c r="CY606" s="2121"/>
      <c r="CZ606" s="2121"/>
      <c r="DA606" s="2121"/>
      <c r="DB606" s="2122"/>
      <c r="DC606" s="2120">
        <f t="shared" si="12"/>
        <v>0</v>
      </c>
      <c r="DD606" s="2121"/>
      <c r="DE606" s="2121"/>
      <c r="DF606" s="2121"/>
      <c r="DG606" s="2122"/>
      <c r="DH606" s="2120">
        <f t="shared" si="13"/>
        <v>0</v>
      </c>
      <c r="DI606" s="2121"/>
      <c r="DJ606" s="2121"/>
      <c r="DK606" s="2121"/>
      <c r="DL606" s="2122"/>
      <c r="DM606" s="2120">
        <f t="shared" si="14"/>
        <v>0</v>
      </c>
      <c r="DN606" s="2121"/>
      <c r="DO606" s="2121"/>
      <c r="DP606" s="2121"/>
      <c r="DQ606" s="2122"/>
      <c r="DR606" s="2120">
        <f t="shared" si="15"/>
        <v>0</v>
      </c>
      <c r="DS606" s="2121"/>
      <c r="DT606" s="2121"/>
      <c r="DU606" s="2121"/>
      <c r="DV606" s="2122"/>
    </row>
    <row r="607" spans="1:126" ht="12.6">
      <c r="A607" s="46"/>
      <c r="B607" s="16" t="s">
        <v>413</v>
      </c>
      <c r="G607" s="1661"/>
      <c r="H607" s="1661"/>
      <c r="I607" s="1661"/>
      <c r="J607" s="1661"/>
      <c r="K607" s="1661"/>
      <c r="L607" s="1661"/>
      <c r="M607" s="1661"/>
      <c r="N607" s="1661"/>
      <c r="O607" s="1661"/>
      <c r="P607" s="1661"/>
      <c r="Q607" s="1661"/>
      <c r="R607" s="1661"/>
      <c r="T607" s="46"/>
      <c r="U607" s="16" t="s">
        <v>413</v>
      </c>
      <c r="Z607" s="1661"/>
      <c r="AA607" s="1661"/>
      <c r="AB607" s="1661"/>
      <c r="AC607" s="1661"/>
      <c r="AD607" s="1661"/>
      <c r="AE607" s="1661"/>
      <c r="AF607" s="1661"/>
      <c r="AG607" s="1661"/>
      <c r="AH607" s="1661"/>
      <c r="AI607" s="1661"/>
      <c r="AJ607" s="1661"/>
      <c r="AK607" s="1661"/>
      <c r="AZ607" s="8" t="s">
        <v>382</v>
      </c>
      <c r="BA607" s="72"/>
      <c r="BB607" s="72"/>
      <c r="BC607" s="72"/>
      <c r="BD607" s="72"/>
      <c r="BE607" s="1806">
        <f t="shared" si="8"/>
        <v>0</v>
      </c>
      <c r="BF607" s="1807"/>
      <c r="BG607" s="1802">
        <f t="shared" si="6"/>
        <v>0</v>
      </c>
      <c r="BH607" s="1805"/>
      <c r="BI607" s="1806">
        <f t="shared" si="9"/>
        <v>1</v>
      </c>
      <c r="BJ607" s="1807"/>
      <c r="BK607" s="1802">
        <f t="shared" si="7"/>
        <v>3</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4</v>
      </c>
      <c r="CD607" s="1803"/>
      <c r="CE607" s="1803"/>
      <c r="CF607" s="1803"/>
      <c r="CG607" s="1805"/>
      <c r="CH607" s="1802">
        <f t="shared" si="4"/>
        <v>0</v>
      </c>
      <c r="CI607" s="1803"/>
      <c r="CJ607" s="1803"/>
      <c r="CK607" s="1803"/>
      <c r="CL607" s="1805"/>
      <c r="CM607" s="1802">
        <f t="shared" si="5"/>
        <v>0</v>
      </c>
      <c r="CN607" s="1803"/>
      <c r="CO607" s="1803"/>
      <c r="CP607" s="1803"/>
      <c r="CQ607" s="1805"/>
      <c r="CS607" s="2120">
        <f t="shared" si="10"/>
        <v>0</v>
      </c>
      <c r="CT607" s="2121"/>
      <c r="CU607" s="2121"/>
      <c r="CV607" s="2121"/>
      <c r="CW607" s="2122"/>
      <c r="CX607" s="2120">
        <f t="shared" si="11"/>
        <v>0</v>
      </c>
      <c r="CY607" s="2121"/>
      <c r="CZ607" s="2121"/>
      <c r="DA607" s="2121"/>
      <c r="DB607" s="2122"/>
      <c r="DC607" s="2120">
        <f t="shared" si="12"/>
        <v>0</v>
      </c>
      <c r="DD607" s="2121"/>
      <c r="DE607" s="2121"/>
      <c r="DF607" s="2121"/>
      <c r="DG607" s="2122"/>
      <c r="DH607" s="2120">
        <f t="shared" si="13"/>
        <v>3</v>
      </c>
      <c r="DI607" s="2121"/>
      <c r="DJ607" s="2121"/>
      <c r="DK607" s="2121"/>
      <c r="DL607" s="2122"/>
      <c r="DM607" s="2120">
        <f t="shared" si="14"/>
        <v>0</v>
      </c>
      <c r="DN607" s="2121"/>
      <c r="DO607" s="2121"/>
      <c r="DP607" s="2121"/>
      <c r="DQ607" s="2122"/>
      <c r="DR607" s="2120">
        <f t="shared" si="15"/>
        <v>0</v>
      </c>
      <c r="DS607" s="2121"/>
      <c r="DT607" s="2121"/>
      <c r="DU607" s="2121"/>
      <c r="DV607" s="2122"/>
    </row>
    <row r="608" spans="1:126" ht="12.6">
      <c r="A608" s="46"/>
      <c r="B608" s="16" t="s">
        <v>475</v>
      </c>
      <c r="G608" s="1661"/>
      <c r="H608" s="1661"/>
      <c r="I608" s="1661"/>
      <c r="J608" s="1661"/>
      <c r="K608" s="1661"/>
      <c r="L608" s="1661"/>
      <c r="M608" s="1661"/>
      <c r="N608" s="1661"/>
      <c r="O608" s="1661"/>
      <c r="P608" s="1661"/>
      <c r="Q608" s="1661"/>
      <c r="R608" s="1661"/>
      <c r="T608" s="46"/>
      <c r="U608" s="16" t="s">
        <v>475</v>
      </c>
      <c r="Z608" s="1653"/>
      <c r="AA608" s="1653"/>
      <c r="AB608" s="1653"/>
      <c r="AC608" s="1653"/>
      <c r="AD608" s="1653"/>
      <c r="AE608" s="1653"/>
      <c r="AF608" s="1653"/>
      <c r="AG608" s="1653"/>
      <c r="AH608" s="1653"/>
      <c r="AI608" s="1653"/>
      <c r="AJ608" s="1653"/>
      <c r="AK608" s="1653"/>
      <c r="AZ608" s="72"/>
      <c r="BA608" s="72"/>
      <c r="BB608" s="72"/>
      <c r="BC608" s="72"/>
      <c r="BD608" s="72"/>
      <c r="BE608" s="1806">
        <f t="shared" si="8"/>
        <v>1</v>
      </c>
      <c r="BF608" s="1807"/>
      <c r="BG608" s="1802">
        <f t="shared" si="6"/>
        <v>4</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0</v>
      </c>
      <c r="BY608" s="1803"/>
      <c r="BZ608" s="1803"/>
      <c r="CA608" s="1803"/>
      <c r="CB608" s="1805"/>
      <c r="CC608" s="1802">
        <f t="shared" si="3"/>
        <v>10</v>
      </c>
      <c r="CD608" s="1803"/>
      <c r="CE608" s="1803"/>
      <c r="CF608" s="1803"/>
      <c r="CG608" s="1805"/>
      <c r="CH608" s="1802">
        <f t="shared" si="4"/>
        <v>0</v>
      </c>
      <c r="CI608" s="1803"/>
      <c r="CJ608" s="1803"/>
      <c r="CK608" s="1803"/>
      <c r="CL608" s="1805"/>
      <c r="CM608" s="1802">
        <f t="shared" si="5"/>
        <v>0</v>
      </c>
      <c r="CN608" s="1803"/>
      <c r="CO608" s="1803"/>
      <c r="CP608" s="1803"/>
      <c r="CQ608" s="1805"/>
      <c r="CS608" s="2120">
        <f t="shared" si="10"/>
        <v>0</v>
      </c>
      <c r="CT608" s="2121"/>
      <c r="CU608" s="2121"/>
      <c r="CV608" s="2121"/>
      <c r="CW608" s="2122"/>
      <c r="CX608" s="2120">
        <f t="shared" si="11"/>
        <v>0</v>
      </c>
      <c r="CY608" s="2121"/>
      <c r="CZ608" s="2121"/>
      <c r="DA608" s="2121"/>
      <c r="DB608" s="2122"/>
      <c r="DC608" s="2120">
        <f t="shared" si="12"/>
        <v>0</v>
      </c>
      <c r="DD608" s="2121"/>
      <c r="DE608" s="2121"/>
      <c r="DF608" s="2121"/>
      <c r="DG608" s="2122"/>
      <c r="DH608" s="2120">
        <f t="shared" si="13"/>
        <v>0</v>
      </c>
      <c r="DI608" s="2121"/>
      <c r="DJ608" s="2121"/>
      <c r="DK608" s="2121"/>
      <c r="DL608" s="2122"/>
      <c r="DM608" s="2120">
        <f t="shared" si="14"/>
        <v>0</v>
      </c>
      <c r="DN608" s="2121"/>
      <c r="DO608" s="2121"/>
      <c r="DP608" s="2121"/>
      <c r="DQ608" s="2122"/>
      <c r="DR608" s="2120">
        <f t="shared" si="15"/>
        <v>0</v>
      </c>
      <c r="DS608" s="2121"/>
      <c r="DT608" s="2121"/>
      <c r="DU608" s="2121"/>
      <c r="DV608" s="2122"/>
    </row>
    <row r="609" spans="1:126" ht="12.6">
      <c r="A609" s="46"/>
      <c r="B609" s="16" t="s">
        <v>907</v>
      </c>
      <c r="G609" s="1661"/>
      <c r="H609" s="1661"/>
      <c r="I609" s="1661"/>
      <c r="J609" s="1661"/>
      <c r="K609" s="1661"/>
      <c r="L609" s="1661"/>
      <c r="M609" s="1661"/>
      <c r="N609" s="1661"/>
      <c r="O609" s="1661"/>
      <c r="P609" s="1661"/>
      <c r="Q609" s="1661"/>
      <c r="R609" s="1661"/>
      <c r="T609" s="46"/>
      <c r="U609" s="16" t="s">
        <v>907</v>
      </c>
      <c r="Z609" s="1653"/>
      <c r="AA609" s="1653"/>
      <c r="AB609" s="1653"/>
      <c r="AC609" s="1653"/>
      <c r="AD609" s="1653"/>
      <c r="AE609" s="1653"/>
      <c r="AF609" s="1653"/>
      <c r="AG609" s="1653"/>
      <c r="AH609" s="1653"/>
      <c r="AI609" s="1653"/>
      <c r="AJ609" s="1653"/>
      <c r="AK609" s="1653"/>
      <c r="AZ609" s="72"/>
      <c r="BA609" s="72"/>
      <c r="BB609" s="72"/>
      <c r="BC609" s="72"/>
      <c r="BD609" s="72"/>
      <c r="BE609" s="1806">
        <f t="shared" si="8"/>
        <v>1</v>
      </c>
      <c r="BF609" s="1807"/>
      <c r="BG609" s="1802">
        <f t="shared" si="6"/>
        <v>10</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6</v>
      </c>
      <c r="CD609" s="1803"/>
      <c r="CE609" s="1803"/>
      <c r="CF609" s="1803"/>
      <c r="CG609" s="1805"/>
      <c r="CH609" s="1802">
        <f t="shared" si="4"/>
        <v>0</v>
      </c>
      <c r="CI609" s="1803"/>
      <c r="CJ609" s="1803"/>
      <c r="CK609" s="1803"/>
      <c r="CL609" s="1805"/>
      <c r="CM609" s="1802">
        <f t="shared" si="5"/>
        <v>0</v>
      </c>
      <c r="CN609" s="1803"/>
      <c r="CO609" s="1803"/>
      <c r="CP609" s="1803"/>
      <c r="CQ609" s="1805"/>
      <c r="CS609" s="2120">
        <f t="shared" si="10"/>
        <v>0</v>
      </c>
      <c r="CT609" s="2121"/>
      <c r="CU609" s="2121"/>
      <c r="CV609" s="2121"/>
      <c r="CW609" s="2122"/>
      <c r="CX609" s="2120">
        <f t="shared" si="11"/>
        <v>0</v>
      </c>
      <c r="CY609" s="2121"/>
      <c r="CZ609" s="2121"/>
      <c r="DA609" s="2121"/>
      <c r="DB609" s="2122"/>
      <c r="DC609" s="2120">
        <f t="shared" si="12"/>
        <v>0</v>
      </c>
      <c r="DD609" s="2121"/>
      <c r="DE609" s="2121"/>
      <c r="DF609" s="2121"/>
      <c r="DG609" s="2122"/>
      <c r="DH609" s="2120">
        <f t="shared" si="13"/>
        <v>0</v>
      </c>
      <c r="DI609" s="2121"/>
      <c r="DJ609" s="2121"/>
      <c r="DK609" s="2121"/>
      <c r="DL609" s="2122"/>
      <c r="DM609" s="2120">
        <f t="shared" si="14"/>
        <v>0</v>
      </c>
      <c r="DN609" s="2121"/>
      <c r="DO609" s="2121"/>
      <c r="DP609" s="2121"/>
      <c r="DQ609" s="2122"/>
      <c r="DR609" s="2120">
        <f t="shared" si="15"/>
        <v>0</v>
      </c>
      <c r="DS609" s="2121"/>
      <c r="DT609" s="2121"/>
      <c r="DU609" s="2121"/>
      <c r="DV609" s="2122"/>
    </row>
    <row r="610" spans="1:126" ht="12.6">
      <c r="A610" s="46"/>
      <c r="B610" s="16" t="s">
        <v>711</v>
      </c>
      <c r="G610" s="1657"/>
      <c r="H610" s="1657"/>
      <c r="I610" s="1657"/>
      <c r="J610" s="1657"/>
      <c r="K610" s="1657"/>
      <c r="L610" s="1657"/>
      <c r="O610" s="149" t="s">
        <v>892</v>
      </c>
      <c r="P610" s="1663"/>
      <c r="Q610" s="1663"/>
      <c r="R610" s="1663"/>
      <c r="T610" s="46"/>
      <c r="U610" s="16" t="s">
        <v>711</v>
      </c>
      <c r="Z610" s="1657"/>
      <c r="AA610" s="1657"/>
      <c r="AB610" s="1657"/>
      <c r="AC610" s="1657"/>
      <c r="AD610" s="1657"/>
      <c r="AE610" s="1657"/>
      <c r="AH610" s="149" t="s">
        <v>892</v>
      </c>
      <c r="AI610" s="1663"/>
      <c r="AJ610" s="1663"/>
      <c r="AK610" s="1663"/>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1</v>
      </c>
      <c r="CI610" s="1803"/>
      <c r="CJ610" s="1803"/>
      <c r="CK610" s="1803"/>
      <c r="CL610" s="1805"/>
      <c r="CM610" s="1802">
        <f t="shared" si="5"/>
        <v>0</v>
      </c>
      <c r="CN610" s="1803"/>
      <c r="CO610" s="1803"/>
      <c r="CP610" s="1803"/>
      <c r="CQ610" s="1805"/>
      <c r="CS610" s="2120">
        <f t="shared" si="10"/>
        <v>0</v>
      </c>
      <c r="CT610" s="2121"/>
      <c r="CU610" s="2121"/>
      <c r="CV610" s="2121"/>
      <c r="CW610" s="2122"/>
      <c r="CX610" s="2120">
        <f t="shared" si="11"/>
        <v>0</v>
      </c>
      <c r="CY610" s="2121"/>
      <c r="CZ610" s="2121"/>
      <c r="DA610" s="2121"/>
      <c r="DB610" s="2122"/>
      <c r="DC610" s="2120">
        <f t="shared" si="12"/>
        <v>0</v>
      </c>
      <c r="DD610" s="2121"/>
      <c r="DE610" s="2121"/>
      <c r="DF610" s="2121"/>
      <c r="DG610" s="2122"/>
      <c r="DH610" s="2120">
        <f t="shared" si="13"/>
        <v>0</v>
      </c>
      <c r="DI610" s="2121"/>
      <c r="DJ610" s="2121"/>
      <c r="DK610" s="2121"/>
      <c r="DL610" s="2122"/>
      <c r="DM610" s="2120">
        <f t="shared" si="14"/>
        <v>0</v>
      </c>
      <c r="DN610" s="2121"/>
      <c r="DO610" s="2121"/>
      <c r="DP610" s="2121"/>
      <c r="DQ610" s="2122"/>
      <c r="DR610" s="2120">
        <f t="shared" si="15"/>
        <v>0</v>
      </c>
      <c r="DS610" s="2121"/>
      <c r="DT610" s="2121"/>
      <c r="DU610" s="2121"/>
      <c r="DV610" s="2122"/>
    </row>
    <row r="611" spans="1:126" s="8" customFormat="1" ht="12.6">
      <c r="A611" s="46"/>
      <c r="B611" s="16" t="s">
        <v>908</v>
      </c>
      <c r="C611" s="16"/>
      <c r="D611" s="16"/>
      <c r="E611" s="16"/>
      <c r="F611" s="16"/>
      <c r="G611" s="16"/>
      <c r="H611" s="1661"/>
      <c r="I611" s="1661"/>
      <c r="J611" s="1661"/>
      <c r="K611" s="1661"/>
      <c r="L611" s="1661"/>
      <c r="M611" s="1661"/>
      <c r="N611" s="1661"/>
      <c r="O611" s="1661"/>
      <c r="P611" s="1661"/>
      <c r="Q611" s="1661"/>
      <c r="R611" s="1661"/>
      <c r="S611" s="16"/>
      <c r="T611" s="46"/>
      <c r="U611" s="16" t="s">
        <v>908</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6">
        <f t="shared" si="8"/>
        <v>0</v>
      </c>
      <c r="BF611" s="1807"/>
      <c r="BG611" s="1802">
        <f t="shared" si="6"/>
        <v>0</v>
      </c>
      <c r="BH611" s="1805"/>
      <c r="BI611" s="1806">
        <f t="shared" si="9"/>
        <v>1</v>
      </c>
      <c r="BJ611" s="1807"/>
      <c r="BK611" s="1802">
        <f t="shared" si="7"/>
        <v>1</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2</v>
      </c>
      <c r="CI611" s="1803"/>
      <c r="CJ611" s="1803"/>
      <c r="CK611" s="1803"/>
      <c r="CL611" s="1805"/>
      <c r="CM611" s="1802">
        <f t="shared" si="5"/>
        <v>0</v>
      </c>
      <c r="CN611" s="1803"/>
      <c r="CO611" s="1803"/>
      <c r="CP611" s="1803"/>
      <c r="CQ611" s="1805"/>
      <c r="CS611" s="2120">
        <f t="shared" si="10"/>
        <v>0</v>
      </c>
      <c r="CT611" s="2121"/>
      <c r="CU611" s="2121"/>
      <c r="CV611" s="2121"/>
      <c r="CW611" s="2122"/>
      <c r="CX611" s="2120">
        <f t="shared" si="11"/>
        <v>0</v>
      </c>
      <c r="CY611" s="2121"/>
      <c r="CZ611" s="2121"/>
      <c r="DA611" s="2121"/>
      <c r="DB611" s="2122"/>
      <c r="DC611" s="2120">
        <f t="shared" si="12"/>
        <v>0</v>
      </c>
      <c r="DD611" s="2121"/>
      <c r="DE611" s="2121"/>
      <c r="DF611" s="2121"/>
      <c r="DG611" s="2122"/>
      <c r="DH611" s="2120">
        <f t="shared" si="13"/>
        <v>0</v>
      </c>
      <c r="DI611" s="2121"/>
      <c r="DJ611" s="2121"/>
      <c r="DK611" s="2121"/>
      <c r="DL611" s="2122"/>
      <c r="DM611" s="2120">
        <f t="shared" si="14"/>
        <v>1</v>
      </c>
      <c r="DN611" s="2121"/>
      <c r="DO611" s="2121"/>
      <c r="DP611" s="2121"/>
      <c r="DQ611" s="2122"/>
      <c r="DR611" s="2120">
        <f t="shared" si="15"/>
        <v>0</v>
      </c>
      <c r="DS611" s="2121"/>
      <c r="DT611" s="2121"/>
      <c r="DU611" s="2121"/>
      <c r="DV611" s="2122"/>
    </row>
    <row r="612" spans="1:126" s="8" customFormat="1" ht="12.6">
      <c r="A612" s="46"/>
      <c r="B612" s="16" t="s">
        <v>910</v>
      </c>
      <c r="C612" s="16"/>
      <c r="D612" s="16"/>
      <c r="E612" s="16"/>
      <c r="F612" s="16"/>
      <c r="G612" s="16"/>
      <c r="H612" s="16"/>
      <c r="I612" s="16"/>
      <c r="J612" s="16"/>
      <c r="K612" s="16"/>
      <c r="L612" s="16"/>
      <c r="M612" s="16"/>
      <c r="N612" s="1712" t="s">
        <v>527</v>
      </c>
      <c r="O612" s="1712"/>
      <c r="P612" s="16"/>
      <c r="Q612" s="16"/>
      <c r="R612" s="16"/>
      <c r="S612" s="16"/>
      <c r="T612" s="46"/>
      <c r="U612" s="16" t="s">
        <v>910</v>
      </c>
      <c r="V612" s="16"/>
      <c r="W612" s="16"/>
      <c r="X612" s="16"/>
      <c r="Y612" s="16"/>
      <c r="Z612" s="16"/>
      <c r="AA612" s="16"/>
      <c r="AB612" s="16"/>
      <c r="AC612" s="16"/>
      <c r="AD612" s="16"/>
      <c r="AE612" s="16"/>
      <c r="AF612" s="16"/>
      <c r="AG612" s="1712" t="s">
        <v>527</v>
      </c>
      <c r="AH612" s="1712"/>
      <c r="AI612" s="16"/>
      <c r="AJ612" s="16"/>
      <c r="AK612" s="16"/>
      <c r="AL612" s="16"/>
      <c r="AZ612" s="72"/>
      <c r="BA612" s="72"/>
      <c r="BB612" s="72"/>
      <c r="BC612" s="72"/>
      <c r="BD612" s="72"/>
      <c r="BE612" s="1806">
        <f t="shared" si="8"/>
        <v>1</v>
      </c>
      <c r="BF612" s="1807"/>
      <c r="BG612" s="1802">
        <f t="shared" si="6"/>
        <v>2</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4</v>
      </c>
      <c r="CI612" s="1803"/>
      <c r="CJ612" s="1803"/>
      <c r="CK612" s="1803"/>
      <c r="CL612" s="1805"/>
      <c r="CM612" s="1802">
        <f t="shared" si="5"/>
        <v>0</v>
      </c>
      <c r="CN612" s="1803"/>
      <c r="CO612" s="1803"/>
      <c r="CP612" s="1803"/>
      <c r="CQ612" s="1805"/>
      <c r="CS612" s="2120">
        <f t="shared" si="10"/>
        <v>0</v>
      </c>
      <c r="CT612" s="2121"/>
      <c r="CU612" s="2121"/>
      <c r="CV612" s="2121"/>
      <c r="CW612" s="2122"/>
      <c r="CX612" s="2120">
        <f t="shared" si="11"/>
        <v>0</v>
      </c>
      <c r="CY612" s="2121"/>
      <c r="CZ612" s="2121"/>
      <c r="DA612" s="2121"/>
      <c r="DB612" s="2122"/>
      <c r="DC612" s="2120">
        <f t="shared" si="12"/>
        <v>0</v>
      </c>
      <c r="DD612" s="2121"/>
      <c r="DE612" s="2121"/>
      <c r="DF612" s="2121"/>
      <c r="DG612" s="2122"/>
      <c r="DH612" s="2120">
        <f t="shared" si="13"/>
        <v>0</v>
      </c>
      <c r="DI612" s="2121"/>
      <c r="DJ612" s="2121"/>
      <c r="DK612" s="2121"/>
      <c r="DL612" s="2122"/>
      <c r="DM612" s="2120">
        <f t="shared" si="14"/>
        <v>0</v>
      </c>
      <c r="DN612" s="2121"/>
      <c r="DO612" s="2121"/>
      <c r="DP612" s="2121"/>
      <c r="DQ612" s="2122"/>
      <c r="DR612" s="2120">
        <f t="shared" si="15"/>
        <v>0</v>
      </c>
      <c r="DS612" s="2121"/>
      <c r="DT612" s="2121"/>
      <c r="DU612" s="2121"/>
      <c r="DV612" s="2122"/>
    </row>
    <row r="613" spans="1:126" s="8" customFormat="1" ht="12.6">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1</v>
      </c>
      <c r="BF613" s="1807"/>
      <c r="BG613" s="1802">
        <f t="shared" si="6"/>
        <v>4</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1</v>
      </c>
      <c r="CI613" s="1803"/>
      <c r="CJ613" s="1803"/>
      <c r="CK613" s="1803"/>
      <c r="CL613" s="1805"/>
      <c r="CM613" s="1802">
        <f t="shared" si="5"/>
        <v>0</v>
      </c>
      <c r="CN613" s="1803"/>
      <c r="CO613" s="1803"/>
      <c r="CP613" s="1803"/>
      <c r="CQ613" s="1805"/>
      <c r="CS613" s="2120">
        <f t="shared" si="10"/>
        <v>0</v>
      </c>
      <c r="CT613" s="2121"/>
      <c r="CU613" s="2121"/>
      <c r="CV613" s="2121"/>
      <c r="CW613" s="2122"/>
      <c r="CX613" s="2120">
        <f t="shared" si="11"/>
        <v>0</v>
      </c>
      <c r="CY613" s="2121"/>
      <c r="CZ613" s="2121"/>
      <c r="DA613" s="2121"/>
      <c r="DB613" s="2122"/>
      <c r="DC613" s="2120">
        <f t="shared" si="12"/>
        <v>0</v>
      </c>
      <c r="DD613" s="2121"/>
      <c r="DE613" s="2121"/>
      <c r="DF613" s="2121"/>
      <c r="DG613" s="2122"/>
      <c r="DH613" s="2120">
        <f t="shared" si="13"/>
        <v>0</v>
      </c>
      <c r="DI613" s="2121"/>
      <c r="DJ613" s="2121"/>
      <c r="DK613" s="2121"/>
      <c r="DL613" s="2122"/>
      <c r="DM613" s="2120">
        <f t="shared" si="14"/>
        <v>0</v>
      </c>
      <c r="DN613" s="2121"/>
      <c r="DO613" s="2121"/>
      <c r="DP613" s="2121"/>
      <c r="DQ613" s="2122"/>
      <c r="DR613" s="2120">
        <f t="shared" si="15"/>
        <v>0</v>
      </c>
      <c r="DS613" s="2121"/>
      <c r="DT613" s="2121"/>
      <c r="DU613" s="2121"/>
      <c r="DV613" s="2122"/>
    </row>
    <row r="614" spans="1:126" ht="12.6">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0">
        <f t="shared" si="10"/>
        <v>0</v>
      </c>
      <c r="CT614" s="2121"/>
      <c r="CU614" s="2121"/>
      <c r="CV614" s="2121"/>
      <c r="CW614" s="2122"/>
      <c r="CX614" s="2120">
        <f t="shared" si="11"/>
        <v>0</v>
      </c>
      <c r="CY614" s="2121"/>
      <c r="CZ614" s="2121"/>
      <c r="DA614" s="2121"/>
      <c r="DB614" s="2122"/>
      <c r="DC614" s="2120">
        <f t="shared" si="12"/>
        <v>0</v>
      </c>
      <c r="DD614" s="2121"/>
      <c r="DE614" s="2121"/>
      <c r="DF614" s="2121"/>
      <c r="DG614" s="2122"/>
      <c r="DH614" s="2120">
        <f t="shared" si="13"/>
        <v>0</v>
      </c>
      <c r="DI614" s="2121"/>
      <c r="DJ614" s="2121"/>
      <c r="DK614" s="2121"/>
      <c r="DL614" s="2122"/>
      <c r="DM614" s="2120">
        <f t="shared" si="14"/>
        <v>0</v>
      </c>
      <c r="DN614" s="2121"/>
      <c r="DO614" s="2121"/>
      <c r="DP614" s="2121"/>
      <c r="DQ614" s="2122"/>
      <c r="DR614" s="2120">
        <f t="shared" si="15"/>
        <v>0</v>
      </c>
      <c r="DS614" s="2121"/>
      <c r="DT614" s="2121"/>
      <c r="DU614" s="2121"/>
      <c r="DV614" s="2122"/>
    </row>
    <row r="615" spans="1:126" ht="12.6">
      <c r="B615" s="16" t="s">
        <v>413</v>
      </c>
      <c r="G615" s="1661"/>
      <c r="H615" s="1661"/>
      <c r="I615" s="1661"/>
      <c r="J615" s="1661"/>
      <c r="K615" s="1661"/>
      <c r="L615" s="1661"/>
      <c r="M615" s="1661"/>
      <c r="N615" s="1661"/>
      <c r="O615" s="1661"/>
      <c r="P615" s="1661"/>
      <c r="Q615" s="1661"/>
      <c r="R615" s="1661"/>
      <c r="U615" s="16" t="s">
        <v>413</v>
      </c>
      <c r="Z615" s="1661"/>
      <c r="AA615" s="1661"/>
      <c r="AB615" s="1661"/>
      <c r="AC615" s="1661"/>
      <c r="AD615" s="1661"/>
      <c r="AE615" s="1661"/>
      <c r="AF615" s="1661"/>
      <c r="AG615" s="1661"/>
      <c r="AH615" s="1661"/>
      <c r="AI615" s="1661"/>
      <c r="AJ615" s="1661"/>
      <c r="AK615" s="1661"/>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0">
        <f t="shared" si="10"/>
        <v>0</v>
      </c>
      <c r="CT615" s="2121"/>
      <c r="CU615" s="2121"/>
      <c r="CV615" s="2121"/>
      <c r="CW615" s="2122"/>
      <c r="CX615" s="2120">
        <f t="shared" si="11"/>
        <v>0</v>
      </c>
      <c r="CY615" s="2121"/>
      <c r="CZ615" s="2121"/>
      <c r="DA615" s="2121"/>
      <c r="DB615" s="2122"/>
      <c r="DC615" s="2120">
        <f t="shared" si="12"/>
        <v>0</v>
      </c>
      <c r="DD615" s="2121"/>
      <c r="DE615" s="2121"/>
      <c r="DF615" s="2121"/>
      <c r="DG615" s="2122"/>
      <c r="DH615" s="2120">
        <f t="shared" si="13"/>
        <v>0</v>
      </c>
      <c r="DI615" s="2121"/>
      <c r="DJ615" s="2121"/>
      <c r="DK615" s="2121"/>
      <c r="DL615" s="2122"/>
      <c r="DM615" s="2120">
        <f t="shared" si="14"/>
        <v>0</v>
      </c>
      <c r="DN615" s="2121"/>
      <c r="DO615" s="2121"/>
      <c r="DP615" s="2121"/>
      <c r="DQ615" s="2122"/>
      <c r="DR615" s="2120">
        <f t="shared" si="15"/>
        <v>0</v>
      </c>
      <c r="DS615" s="2121"/>
      <c r="DT615" s="2121"/>
      <c r="DU615" s="2121"/>
      <c r="DV615" s="2122"/>
    </row>
    <row r="616" spans="1:126" ht="13.1">
      <c r="B616" s="16" t="s">
        <v>475</v>
      </c>
      <c r="G616" s="1661"/>
      <c r="H616" s="1661"/>
      <c r="I616" s="1661"/>
      <c r="J616" s="1661"/>
      <c r="K616" s="1661"/>
      <c r="L616" s="1661"/>
      <c r="M616" s="1661"/>
      <c r="N616" s="1661"/>
      <c r="O616" s="1661"/>
      <c r="P616" s="1661"/>
      <c r="Q616" s="1661"/>
      <c r="R616" s="1661"/>
      <c r="U616" s="16" t="s">
        <v>475</v>
      </c>
      <c r="Z616" s="1653"/>
      <c r="AA616" s="1653"/>
      <c r="AB616" s="1653"/>
      <c r="AC616" s="1653"/>
      <c r="AD616" s="1653"/>
      <c r="AE616" s="1653"/>
      <c r="AF616" s="1653"/>
      <c r="AG616" s="1653"/>
      <c r="AH616" s="1653"/>
      <c r="AI616" s="1653"/>
      <c r="AJ616" s="1653"/>
      <c r="AK616" s="1653"/>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0">
        <f t="shared" si="10"/>
        <v>0</v>
      </c>
      <c r="CT616" s="2121"/>
      <c r="CU616" s="2121"/>
      <c r="CV616" s="2121"/>
      <c r="CW616" s="2122"/>
      <c r="CX616" s="2120">
        <f t="shared" si="11"/>
        <v>0</v>
      </c>
      <c r="CY616" s="2121"/>
      <c r="CZ616" s="2121"/>
      <c r="DA616" s="2121"/>
      <c r="DB616" s="2122"/>
      <c r="DC616" s="2120">
        <f t="shared" si="12"/>
        <v>0</v>
      </c>
      <c r="DD616" s="2121"/>
      <c r="DE616" s="2121"/>
      <c r="DF616" s="2121"/>
      <c r="DG616" s="2122"/>
      <c r="DH616" s="2120">
        <f t="shared" si="13"/>
        <v>0</v>
      </c>
      <c r="DI616" s="2121"/>
      <c r="DJ616" s="2121"/>
      <c r="DK616" s="2121"/>
      <c r="DL616" s="2122"/>
      <c r="DM616" s="2120">
        <f t="shared" si="14"/>
        <v>0</v>
      </c>
      <c r="DN616" s="2121"/>
      <c r="DO616" s="2121"/>
      <c r="DP616" s="2121"/>
      <c r="DQ616" s="2122"/>
      <c r="DR616" s="2120">
        <f t="shared" si="15"/>
        <v>0</v>
      </c>
      <c r="DS616" s="2121"/>
      <c r="DT616" s="2121"/>
      <c r="DU616" s="2121"/>
      <c r="DV616" s="2122"/>
    </row>
    <row r="617" spans="1:126" ht="13.1">
      <c r="B617" s="16" t="s">
        <v>907</v>
      </c>
      <c r="G617" s="1661"/>
      <c r="H617" s="1661"/>
      <c r="I617" s="1661"/>
      <c r="J617" s="1661"/>
      <c r="K617" s="1661"/>
      <c r="L617" s="1661"/>
      <c r="M617" s="1661"/>
      <c r="N617" s="1661"/>
      <c r="O617" s="1661"/>
      <c r="P617" s="1661"/>
      <c r="Q617" s="1661"/>
      <c r="R617" s="1661"/>
      <c r="U617" s="16" t="s">
        <v>907</v>
      </c>
      <c r="Z617" s="1653"/>
      <c r="AA617" s="1653"/>
      <c r="AB617" s="1653"/>
      <c r="AC617" s="1653"/>
      <c r="AD617" s="1653"/>
      <c r="AE617" s="1653"/>
      <c r="AF617" s="1653"/>
      <c r="AG617" s="1653"/>
      <c r="AH617" s="1653"/>
      <c r="AI617" s="1653"/>
      <c r="AJ617" s="1653"/>
      <c r="AK617" s="1653"/>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0">
        <f t="shared" si="10"/>
        <v>0</v>
      </c>
      <c r="CT617" s="2121"/>
      <c r="CU617" s="2121"/>
      <c r="CV617" s="2121"/>
      <c r="CW617" s="2122"/>
      <c r="CX617" s="2120">
        <f t="shared" si="11"/>
        <v>0</v>
      </c>
      <c r="CY617" s="2121"/>
      <c r="CZ617" s="2121"/>
      <c r="DA617" s="2121"/>
      <c r="DB617" s="2122"/>
      <c r="DC617" s="2120">
        <f t="shared" si="12"/>
        <v>0</v>
      </c>
      <c r="DD617" s="2121"/>
      <c r="DE617" s="2121"/>
      <c r="DF617" s="2121"/>
      <c r="DG617" s="2122"/>
      <c r="DH617" s="2120">
        <f t="shared" si="13"/>
        <v>0</v>
      </c>
      <c r="DI617" s="2121"/>
      <c r="DJ617" s="2121"/>
      <c r="DK617" s="2121"/>
      <c r="DL617" s="2122"/>
      <c r="DM617" s="2120">
        <f t="shared" si="14"/>
        <v>0</v>
      </c>
      <c r="DN617" s="2121"/>
      <c r="DO617" s="2121"/>
      <c r="DP617" s="2121"/>
      <c r="DQ617" s="2122"/>
      <c r="DR617" s="2120">
        <f t="shared" si="15"/>
        <v>0</v>
      </c>
      <c r="DS617" s="2121"/>
      <c r="DT617" s="2121"/>
      <c r="DU617" s="2121"/>
      <c r="DV617" s="2122"/>
    </row>
    <row r="618" spans="1:126" ht="12.6">
      <c r="B618" s="16" t="s">
        <v>711</v>
      </c>
      <c r="G618" s="1657"/>
      <c r="H618" s="1657"/>
      <c r="I618" s="1657"/>
      <c r="J618" s="1657"/>
      <c r="K618" s="1657"/>
      <c r="L618" s="1657"/>
      <c r="O618" s="149" t="s">
        <v>892</v>
      </c>
      <c r="P618" s="1663"/>
      <c r="Q618" s="1663"/>
      <c r="R618" s="1663"/>
      <c r="U618" s="16" t="s">
        <v>711</v>
      </c>
      <c r="Z618" s="1657"/>
      <c r="AA618" s="1657"/>
      <c r="AB618" s="1657"/>
      <c r="AC618" s="1657"/>
      <c r="AD618" s="1657"/>
      <c r="AE618" s="1657"/>
      <c r="AH618" s="149" t="s">
        <v>892</v>
      </c>
      <c r="AI618" s="1663"/>
      <c r="AJ618" s="1663"/>
      <c r="AK618" s="1663"/>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0">
        <f t="shared" si="10"/>
        <v>0</v>
      </c>
      <c r="CT618" s="2121"/>
      <c r="CU618" s="2121"/>
      <c r="CV618" s="2121"/>
      <c r="CW618" s="2122"/>
      <c r="CX618" s="2120">
        <f t="shared" si="11"/>
        <v>0</v>
      </c>
      <c r="CY618" s="2121"/>
      <c r="CZ618" s="2121"/>
      <c r="DA618" s="2121"/>
      <c r="DB618" s="2122"/>
      <c r="DC618" s="2120">
        <f t="shared" si="12"/>
        <v>0</v>
      </c>
      <c r="DD618" s="2121"/>
      <c r="DE618" s="2121"/>
      <c r="DF618" s="2121"/>
      <c r="DG618" s="2122"/>
      <c r="DH618" s="2120">
        <f t="shared" si="13"/>
        <v>0</v>
      </c>
      <c r="DI618" s="2121"/>
      <c r="DJ618" s="2121"/>
      <c r="DK618" s="2121"/>
      <c r="DL618" s="2122"/>
      <c r="DM618" s="2120">
        <f t="shared" si="14"/>
        <v>0</v>
      </c>
      <c r="DN618" s="2121"/>
      <c r="DO618" s="2121"/>
      <c r="DP618" s="2121"/>
      <c r="DQ618" s="2122"/>
      <c r="DR618" s="2120">
        <f t="shared" si="15"/>
        <v>0</v>
      </c>
      <c r="DS618" s="2121"/>
      <c r="DT618" s="2121"/>
      <c r="DU618" s="2121"/>
      <c r="DV618" s="2122"/>
    </row>
    <row r="619" spans="1:126" ht="12.6">
      <c r="B619" s="16" t="s">
        <v>908</v>
      </c>
      <c r="H619" s="1661"/>
      <c r="I619" s="1661"/>
      <c r="J619" s="1661"/>
      <c r="K619" s="1661"/>
      <c r="L619" s="1661"/>
      <c r="M619" s="1661"/>
      <c r="N619" s="1661"/>
      <c r="O619" s="1661"/>
      <c r="P619" s="1661"/>
      <c r="Q619" s="1661"/>
      <c r="R619" s="1661"/>
      <c r="U619" s="16" t="s">
        <v>908</v>
      </c>
      <c r="AA619" s="1661"/>
      <c r="AB619" s="1661"/>
      <c r="AC619" s="1661"/>
      <c r="AD619" s="1661"/>
      <c r="AE619" s="1661"/>
      <c r="AF619" s="1661"/>
      <c r="AG619" s="1661"/>
      <c r="AH619" s="1661"/>
      <c r="AI619" s="1661"/>
      <c r="AJ619" s="1661"/>
      <c r="AK619" s="1661"/>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0">
        <f t="shared" si="10"/>
        <v>0</v>
      </c>
      <c r="CT619" s="2121"/>
      <c r="CU619" s="2121"/>
      <c r="CV619" s="2121"/>
      <c r="CW619" s="2122"/>
      <c r="CX619" s="2120">
        <f t="shared" si="11"/>
        <v>0</v>
      </c>
      <c r="CY619" s="2121"/>
      <c r="CZ619" s="2121"/>
      <c r="DA619" s="2121"/>
      <c r="DB619" s="2122"/>
      <c r="DC619" s="2120">
        <f t="shared" si="12"/>
        <v>0</v>
      </c>
      <c r="DD619" s="2121"/>
      <c r="DE619" s="2121"/>
      <c r="DF619" s="2121"/>
      <c r="DG619" s="2122"/>
      <c r="DH619" s="2120">
        <f t="shared" si="13"/>
        <v>0</v>
      </c>
      <c r="DI619" s="2121"/>
      <c r="DJ619" s="2121"/>
      <c r="DK619" s="2121"/>
      <c r="DL619" s="2122"/>
      <c r="DM619" s="2120">
        <f t="shared" si="14"/>
        <v>0</v>
      </c>
      <c r="DN619" s="2121"/>
      <c r="DO619" s="2121"/>
      <c r="DP619" s="2121"/>
      <c r="DQ619" s="2122"/>
      <c r="DR619" s="2120">
        <f t="shared" si="15"/>
        <v>0</v>
      </c>
      <c r="DS619" s="2121"/>
      <c r="DT619" s="2121"/>
      <c r="DU619" s="2121"/>
      <c r="DV619" s="2122"/>
    </row>
    <row r="620" spans="1:126" ht="12.75" customHeight="1">
      <c r="B620" s="16" t="s">
        <v>910</v>
      </c>
      <c r="N620" s="1658" t="s">
        <v>527</v>
      </c>
      <c r="O620" s="1658"/>
      <c r="U620" s="16" t="s">
        <v>910</v>
      </c>
      <c r="AG620" s="1658" t="s">
        <v>527</v>
      </c>
      <c r="AH620" s="1658"/>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0">
        <f t="shared" si="10"/>
        <v>0</v>
      </c>
      <c r="CT620" s="2121"/>
      <c r="CU620" s="2121"/>
      <c r="CV620" s="2121"/>
      <c r="CW620" s="2122"/>
      <c r="CX620" s="2120">
        <f t="shared" si="11"/>
        <v>0</v>
      </c>
      <c r="CY620" s="2121"/>
      <c r="CZ620" s="2121"/>
      <c r="DA620" s="2121"/>
      <c r="DB620" s="2122"/>
      <c r="DC620" s="2120">
        <f t="shared" si="12"/>
        <v>0</v>
      </c>
      <c r="DD620" s="2121"/>
      <c r="DE620" s="2121"/>
      <c r="DF620" s="2121"/>
      <c r="DG620" s="2122"/>
      <c r="DH620" s="2120">
        <f t="shared" si="13"/>
        <v>0</v>
      </c>
      <c r="DI620" s="2121"/>
      <c r="DJ620" s="2121"/>
      <c r="DK620" s="2121"/>
      <c r="DL620" s="2122"/>
      <c r="DM620" s="2120">
        <f t="shared" si="14"/>
        <v>0</v>
      </c>
      <c r="DN620" s="2121"/>
      <c r="DO620" s="2121"/>
      <c r="DP620" s="2121"/>
      <c r="DQ620" s="2122"/>
      <c r="DR620" s="2120">
        <f t="shared" si="15"/>
        <v>0</v>
      </c>
      <c r="DS620" s="2121"/>
      <c r="DT620" s="2121"/>
      <c r="DU620" s="2121"/>
      <c r="DV620" s="2122"/>
    </row>
    <row r="621" spans="1:126" ht="12.6">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0">
        <f t="shared" si="10"/>
        <v>0</v>
      </c>
      <c r="CT621" s="2121"/>
      <c r="CU621" s="2121"/>
      <c r="CV621" s="2121"/>
      <c r="CW621" s="2122"/>
      <c r="CX621" s="2120">
        <f t="shared" si="11"/>
        <v>0</v>
      </c>
      <c r="CY621" s="2121"/>
      <c r="CZ621" s="2121"/>
      <c r="DA621" s="2121"/>
      <c r="DB621" s="2122"/>
      <c r="DC621" s="2120">
        <f t="shared" si="12"/>
        <v>0</v>
      </c>
      <c r="DD621" s="2121"/>
      <c r="DE621" s="2121"/>
      <c r="DF621" s="2121"/>
      <c r="DG621" s="2122"/>
      <c r="DH621" s="2120">
        <f t="shared" si="13"/>
        <v>0</v>
      </c>
      <c r="DI621" s="2121"/>
      <c r="DJ621" s="2121"/>
      <c r="DK621" s="2121"/>
      <c r="DL621" s="2122"/>
      <c r="DM621" s="2120">
        <f t="shared" si="14"/>
        <v>0</v>
      </c>
      <c r="DN621" s="2121"/>
      <c r="DO621" s="2121"/>
      <c r="DP621" s="2121"/>
      <c r="DQ621" s="2122"/>
      <c r="DR621" s="2120">
        <f t="shared" si="15"/>
        <v>0</v>
      </c>
      <c r="DS621" s="2121"/>
      <c r="DT621" s="2121"/>
      <c r="DU621" s="2121"/>
      <c r="DV621" s="2122"/>
    </row>
    <row r="622" spans="1:126" ht="12.75" customHeight="1">
      <c r="A622" s="1517" t="s">
        <v>137</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0">
        <f t="shared" si="10"/>
        <v>0</v>
      </c>
      <c r="CT622" s="2121"/>
      <c r="CU622" s="2121"/>
      <c r="CV622" s="2121"/>
      <c r="CW622" s="2122"/>
      <c r="CX622" s="2120">
        <f t="shared" si="11"/>
        <v>0</v>
      </c>
      <c r="CY622" s="2121"/>
      <c r="CZ622" s="2121"/>
      <c r="DA622" s="2121"/>
      <c r="DB622" s="2122"/>
      <c r="DC622" s="2120">
        <f t="shared" si="12"/>
        <v>0</v>
      </c>
      <c r="DD622" s="2121"/>
      <c r="DE622" s="2121"/>
      <c r="DF622" s="2121"/>
      <c r="DG622" s="2122"/>
      <c r="DH622" s="2120">
        <f t="shared" si="13"/>
        <v>0</v>
      </c>
      <c r="DI622" s="2121"/>
      <c r="DJ622" s="2121"/>
      <c r="DK622" s="2121"/>
      <c r="DL622" s="2122"/>
      <c r="DM622" s="2120">
        <f t="shared" si="14"/>
        <v>0</v>
      </c>
      <c r="DN622" s="2121"/>
      <c r="DO622" s="2121"/>
      <c r="DP622" s="2121"/>
      <c r="DQ622" s="2122"/>
      <c r="DR622" s="2120">
        <f t="shared" si="15"/>
        <v>0</v>
      </c>
      <c r="DS622" s="2121"/>
      <c r="DT622" s="2121"/>
      <c r="DU622" s="2121"/>
      <c r="DV622" s="2122"/>
    </row>
    <row r="623" spans="1:126" ht="12.6">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0">
        <f t="shared" si="10"/>
        <v>0</v>
      </c>
      <c r="CT623" s="2121"/>
      <c r="CU623" s="2121"/>
      <c r="CV623" s="2121"/>
      <c r="CW623" s="2122"/>
      <c r="CX623" s="2120">
        <f t="shared" si="11"/>
        <v>0</v>
      </c>
      <c r="CY623" s="2121"/>
      <c r="CZ623" s="2121"/>
      <c r="DA623" s="2121"/>
      <c r="DB623" s="2122"/>
      <c r="DC623" s="2120">
        <f t="shared" si="12"/>
        <v>0</v>
      </c>
      <c r="DD623" s="2121"/>
      <c r="DE623" s="2121"/>
      <c r="DF623" s="2121"/>
      <c r="DG623" s="2122"/>
      <c r="DH623" s="2120">
        <f t="shared" si="13"/>
        <v>0</v>
      </c>
      <c r="DI623" s="2121"/>
      <c r="DJ623" s="2121"/>
      <c r="DK623" s="2121"/>
      <c r="DL623" s="2122"/>
      <c r="DM623" s="2120">
        <f t="shared" si="14"/>
        <v>0</v>
      </c>
      <c r="DN623" s="2121"/>
      <c r="DO623" s="2121"/>
      <c r="DP623" s="2121"/>
      <c r="DQ623" s="2122"/>
      <c r="DR623" s="2120">
        <f t="shared" si="15"/>
        <v>0</v>
      </c>
      <c r="DS623" s="2121"/>
      <c r="DT623" s="2121"/>
      <c r="DU623" s="2121"/>
      <c r="DV623" s="2122"/>
    </row>
    <row r="624" spans="1:126" ht="12.6">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0">
        <f t="shared" si="10"/>
        <v>0</v>
      </c>
      <c r="CT624" s="2121"/>
      <c r="CU624" s="2121"/>
      <c r="CV624" s="2121"/>
      <c r="CW624" s="2122"/>
      <c r="CX624" s="2120">
        <f t="shared" si="11"/>
        <v>0</v>
      </c>
      <c r="CY624" s="2121"/>
      <c r="CZ624" s="2121"/>
      <c r="DA624" s="2121"/>
      <c r="DB624" s="2122"/>
      <c r="DC624" s="2120">
        <f t="shared" si="12"/>
        <v>0</v>
      </c>
      <c r="DD624" s="2121"/>
      <c r="DE624" s="2121"/>
      <c r="DF624" s="2121"/>
      <c r="DG624" s="2122"/>
      <c r="DH624" s="2120">
        <f t="shared" si="13"/>
        <v>0</v>
      </c>
      <c r="DI624" s="2121"/>
      <c r="DJ624" s="2121"/>
      <c r="DK624" s="2121"/>
      <c r="DL624" s="2122"/>
      <c r="DM624" s="2120">
        <f t="shared" si="14"/>
        <v>0</v>
      </c>
      <c r="DN624" s="2121"/>
      <c r="DO624" s="2121"/>
      <c r="DP624" s="2121"/>
      <c r="DQ624" s="2122"/>
      <c r="DR624" s="2120">
        <f t="shared" si="15"/>
        <v>0</v>
      </c>
      <c r="DS624" s="2121"/>
      <c r="DT624" s="2121"/>
      <c r="DU624" s="2121"/>
      <c r="DV624" s="2122"/>
    </row>
    <row r="625" spans="1:126" ht="13.1">
      <c r="A625" s="63" t="s">
        <v>714</v>
      </c>
      <c r="B625" s="63"/>
      <c r="C625" s="63" t="s">
        <v>911</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0">
        <f t="shared" si="10"/>
        <v>0</v>
      </c>
      <c r="CT625" s="2121"/>
      <c r="CU625" s="2121"/>
      <c r="CV625" s="2121"/>
      <c r="CW625" s="2122"/>
      <c r="CX625" s="2120">
        <f t="shared" si="11"/>
        <v>0</v>
      </c>
      <c r="CY625" s="2121"/>
      <c r="CZ625" s="2121"/>
      <c r="DA625" s="2121"/>
      <c r="DB625" s="2122"/>
      <c r="DC625" s="2120">
        <f t="shared" si="12"/>
        <v>0</v>
      </c>
      <c r="DD625" s="2121"/>
      <c r="DE625" s="2121"/>
      <c r="DF625" s="2121"/>
      <c r="DG625" s="2122"/>
      <c r="DH625" s="2120">
        <f t="shared" si="13"/>
        <v>0</v>
      </c>
      <c r="DI625" s="2121"/>
      <c r="DJ625" s="2121"/>
      <c r="DK625" s="2121"/>
      <c r="DL625" s="2122"/>
      <c r="DM625" s="2120">
        <f t="shared" si="14"/>
        <v>0</v>
      </c>
      <c r="DN625" s="2121"/>
      <c r="DO625" s="2121"/>
      <c r="DP625" s="2121"/>
      <c r="DQ625" s="2122"/>
      <c r="DR625" s="2120">
        <f t="shared" si="15"/>
        <v>0</v>
      </c>
      <c r="DS625" s="2121"/>
      <c r="DT625" s="2121"/>
      <c r="DU625" s="2121"/>
      <c r="DV625" s="2122"/>
    </row>
    <row r="626" spans="1:126" ht="13.1">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0">
        <f t="shared" si="10"/>
        <v>0</v>
      </c>
      <c r="CT626" s="2121"/>
      <c r="CU626" s="2121"/>
      <c r="CV626" s="2121"/>
      <c r="CW626" s="2122"/>
      <c r="CX626" s="2120">
        <f t="shared" si="11"/>
        <v>0</v>
      </c>
      <c r="CY626" s="2121"/>
      <c r="CZ626" s="2121"/>
      <c r="DA626" s="2121"/>
      <c r="DB626" s="2122"/>
      <c r="DC626" s="2120">
        <f t="shared" si="12"/>
        <v>0</v>
      </c>
      <c r="DD626" s="2121"/>
      <c r="DE626" s="2121"/>
      <c r="DF626" s="2121"/>
      <c r="DG626" s="2122"/>
      <c r="DH626" s="2120">
        <f t="shared" si="13"/>
        <v>0</v>
      </c>
      <c r="DI626" s="2121"/>
      <c r="DJ626" s="2121"/>
      <c r="DK626" s="2121"/>
      <c r="DL626" s="2122"/>
      <c r="DM626" s="2120">
        <f t="shared" si="14"/>
        <v>0</v>
      </c>
      <c r="DN626" s="2121"/>
      <c r="DO626" s="2121"/>
      <c r="DP626" s="2121"/>
      <c r="DQ626" s="2122"/>
      <c r="DR626" s="2120">
        <f t="shared" si="15"/>
        <v>0</v>
      </c>
      <c r="DS626" s="2121"/>
      <c r="DT626" s="2121"/>
      <c r="DU626" s="2121"/>
      <c r="DV626" s="2122"/>
    </row>
    <row r="627" spans="1:126" ht="13.1">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25"/>
      <c r="BP627" s="2125"/>
      <c r="BQ627" s="2125"/>
      <c r="BR627" s="1807"/>
      <c r="BS627" s="1806">
        <f>SUM(BS602:BW626)</f>
        <v>0</v>
      </c>
      <c r="BT627" s="2125"/>
      <c r="BU627" s="2125"/>
      <c r="BV627" s="2125"/>
      <c r="BW627" s="1807"/>
      <c r="BX627" s="1806">
        <f>SUM(BX602:CB626)</f>
        <v>16</v>
      </c>
      <c r="BY627" s="2125"/>
      <c r="BZ627" s="2125"/>
      <c r="CA627" s="2125"/>
      <c r="CB627" s="1807"/>
      <c r="CC627" s="1806">
        <f>SUM(CC602:CG626)</f>
        <v>23</v>
      </c>
      <c r="CD627" s="2125"/>
      <c r="CE627" s="2125"/>
      <c r="CF627" s="2125"/>
      <c r="CG627" s="1807"/>
      <c r="CH627" s="1806">
        <f>SUM(CH602:CL626)</f>
        <v>8</v>
      </c>
      <c r="CI627" s="2125"/>
      <c r="CJ627" s="2125"/>
      <c r="CK627" s="2125"/>
      <c r="CL627" s="1807"/>
      <c r="CM627" s="1806">
        <f>SUM(CM602:CQ626)</f>
        <v>0</v>
      </c>
      <c r="CN627" s="2125"/>
      <c r="CO627" s="2125"/>
      <c r="CP627" s="2125"/>
      <c r="CQ627" s="1807"/>
      <c r="CS627" s="2120">
        <f t="shared" si="10"/>
        <v>0</v>
      </c>
      <c r="CT627" s="2121"/>
      <c r="CU627" s="2121"/>
      <c r="CV627" s="2121"/>
      <c r="CW627" s="2122"/>
      <c r="CX627" s="2120">
        <f t="shared" si="11"/>
        <v>0</v>
      </c>
      <c r="CY627" s="2121"/>
      <c r="CZ627" s="2121"/>
      <c r="DA627" s="2121"/>
      <c r="DB627" s="2122"/>
      <c r="DC627" s="2120">
        <f t="shared" si="12"/>
        <v>0</v>
      </c>
      <c r="DD627" s="2121"/>
      <c r="DE627" s="2121"/>
      <c r="DF627" s="2121"/>
      <c r="DG627" s="2122"/>
      <c r="DH627" s="2120">
        <f t="shared" si="13"/>
        <v>0</v>
      </c>
      <c r="DI627" s="2121"/>
      <c r="DJ627" s="2121"/>
      <c r="DK627" s="2121"/>
      <c r="DL627" s="2122"/>
      <c r="DM627" s="2120">
        <f t="shared" si="14"/>
        <v>0</v>
      </c>
      <c r="DN627" s="2121"/>
      <c r="DO627" s="2121"/>
      <c r="DP627" s="2121"/>
      <c r="DQ627" s="2122"/>
      <c r="DR627" s="2120">
        <f t="shared" si="15"/>
        <v>0</v>
      </c>
      <c r="DS627" s="2121"/>
      <c r="DT627" s="2121"/>
      <c r="DU627" s="2121"/>
      <c r="DV627" s="2122"/>
    </row>
    <row r="628" spans="1:126" ht="13.6"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27</v>
      </c>
      <c r="BH628" s="1807"/>
      <c r="BI628" s="72"/>
      <c r="BJ628" s="72"/>
      <c r="BK628" s="1806">
        <f>SUM(BK603:BL627)</f>
        <v>5</v>
      </c>
      <c r="BL628" s="1807"/>
      <c r="BN628" s="72" t="s">
        <v>1887</v>
      </c>
      <c r="BO628" s="72"/>
      <c r="BP628" s="72"/>
      <c r="BQ628" s="72"/>
      <c r="BR628" s="714">
        <f>BN627*1</f>
        <v>0</v>
      </c>
      <c r="BS628" s="72"/>
      <c r="BT628" s="72"/>
      <c r="BU628" s="72"/>
      <c r="BV628" s="72"/>
      <c r="BW628" s="714">
        <f>BS627*1</f>
        <v>0</v>
      </c>
      <c r="BX628" s="72"/>
      <c r="BY628" s="72"/>
      <c r="BZ628" s="72"/>
      <c r="CA628" s="72"/>
      <c r="CB628" s="714">
        <f>BX627*2</f>
        <v>32</v>
      </c>
      <c r="CC628" s="72"/>
      <c r="CD628" s="72"/>
      <c r="CE628" s="72"/>
      <c r="CF628" s="72"/>
      <c r="CG628" s="714">
        <f>CC627*3</f>
        <v>69</v>
      </c>
      <c r="CH628" s="72"/>
      <c r="CI628" s="72"/>
      <c r="CJ628" s="72"/>
      <c r="CK628" s="72"/>
      <c r="CL628" s="714">
        <f>CH627*4</f>
        <v>32</v>
      </c>
      <c r="CM628" s="72"/>
      <c r="CN628" s="72"/>
      <c r="CO628" s="72"/>
      <c r="CP628" s="72"/>
      <c r="CQ628" s="713">
        <f>CM627*5</f>
        <v>0</v>
      </c>
      <c r="CS628" s="1806">
        <f>SUM(CS603:CW627)</f>
        <v>0</v>
      </c>
      <c r="CT628" s="2125"/>
      <c r="CU628" s="2125"/>
      <c r="CV628" s="2125"/>
      <c r="CW628" s="1807"/>
      <c r="CX628" s="1806">
        <f>SUM(CX603:DB627)</f>
        <v>0</v>
      </c>
      <c r="CY628" s="2125"/>
      <c r="CZ628" s="2125"/>
      <c r="DA628" s="2125"/>
      <c r="DB628" s="1807"/>
      <c r="DC628" s="1806">
        <f>SUM(DC603:DG627)</f>
        <v>1</v>
      </c>
      <c r="DD628" s="2125"/>
      <c r="DE628" s="2125"/>
      <c r="DF628" s="2125"/>
      <c r="DG628" s="1807"/>
      <c r="DH628" s="1806">
        <f>SUM(DH603:DL627)</f>
        <v>3</v>
      </c>
      <c r="DI628" s="2125"/>
      <c r="DJ628" s="2125"/>
      <c r="DK628" s="2125"/>
      <c r="DL628" s="1807"/>
      <c r="DM628" s="1806">
        <f>SUM(DM603:DQ627)</f>
        <v>1</v>
      </c>
      <c r="DN628" s="2125"/>
      <c r="DO628" s="2125"/>
      <c r="DP628" s="2125"/>
      <c r="DQ628" s="1807"/>
      <c r="DR628" s="1806">
        <f>SUM(DR603:DV627)</f>
        <v>0</v>
      </c>
      <c r="DS628" s="2125"/>
      <c r="DT628" s="2125"/>
      <c r="DU628" s="2125"/>
      <c r="DV628" s="1807"/>
    </row>
    <row r="629" spans="1:126" ht="13.5" customHeight="1" thickBot="1">
      <c r="A629" s="1343"/>
      <c r="B629" s="2056" t="s">
        <v>802</v>
      </c>
      <c r="C629" s="2057"/>
      <c r="D629" s="2057"/>
      <c r="E629" s="2057"/>
      <c r="F629" s="2057"/>
      <c r="G629" s="2057"/>
      <c r="H629" s="2057"/>
      <c r="I629" s="2057"/>
      <c r="J629" s="2057"/>
      <c r="K629" s="2057"/>
      <c r="L629" s="2057"/>
      <c r="M629" s="2057"/>
      <c r="N629" s="2058"/>
      <c r="O629" s="1669" t="s">
        <v>485</v>
      </c>
      <c r="P629" s="1670"/>
      <c r="Q629" s="1671"/>
      <c r="R629" s="1669" t="s">
        <v>2204</v>
      </c>
      <c r="S629" s="1670"/>
      <c r="T629" s="1671"/>
      <c r="U629" s="2029" t="s">
        <v>803</v>
      </c>
      <c r="V629" s="2029"/>
      <c r="W629" s="2030"/>
      <c r="X629" s="1669" t="s">
        <v>2205</v>
      </c>
      <c r="Y629" s="1670"/>
      <c r="Z629" s="1670"/>
      <c r="AA629" s="1670"/>
      <c r="AB629" s="1671"/>
      <c r="AC629" s="2035" t="s">
        <v>2206</v>
      </c>
      <c r="AD629" s="2036"/>
      <c r="AE629" s="2037"/>
      <c r="AF629" s="1669" t="s">
        <v>2207</v>
      </c>
      <c r="AG629" s="1670"/>
      <c r="AH629" s="1670"/>
      <c r="AI629" s="1670"/>
      <c r="AJ629" s="1671"/>
      <c r="AK629" s="2044" t="s">
        <v>2208</v>
      </c>
      <c r="AL629" s="2045"/>
      <c r="AM629" s="2045"/>
      <c r="AN629" s="2046"/>
      <c r="AO629" s="2028" t="s">
        <v>804</v>
      </c>
      <c r="AP629" s="2028"/>
      <c r="AQ629" s="2028"/>
      <c r="AR629" s="2028"/>
      <c r="AS629" s="2028"/>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133</v>
      </c>
      <c r="CR629" s="72"/>
      <c r="CS629" s="72"/>
    </row>
    <row r="630" spans="1:126" ht="12.6">
      <c r="A630" s="1343"/>
      <c r="B630" s="2059"/>
      <c r="C630" s="1941"/>
      <c r="D630" s="1941"/>
      <c r="E630" s="1941"/>
      <c r="F630" s="1941"/>
      <c r="G630" s="1941"/>
      <c r="H630" s="1941"/>
      <c r="I630" s="1941"/>
      <c r="J630" s="1941"/>
      <c r="K630" s="1941"/>
      <c r="L630" s="1941"/>
      <c r="M630" s="1941"/>
      <c r="N630" s="2060"/>
      <c r="O630" s="1672"/>
      <c r="P630" s="1673"/>
      <c r="Q630" s="1674"/>
      <c r="R630" s="1672"/>
      <c r="S630" s="1673"/>
      <c r="T630" s="1674"/>
      <c r="U630" s="2031"/>
      <c r="V630" s="2031"/>
      <c r="W630" s="2032"/>
      <c r="X630" s="1672"/>
      <c r="Y630" s="1673"/>
      <c r="Z630" s="1673"/>
      <c r="AA630" s="1673"/>
      <c r="AB630" s="1674"/>
      <c r="AC630" s="2038"/>
      <c r="AD630" s="2039"/>
      <c r="AE630" s="2040"/>
      <c r="AF630" s="1672"/>
      <c r="AG630" s="1673"/>
      <c r="AH630" s="1673"/>
      <c r="AI630" s="1673"/>
      <c r="AJ630" s="1674"/>
      <c r="AK630" s="2047"/>
      <c r="AL630" s="2048"/>
      <c r="AM630" s="2048"/>
      <c r="AN630" s="2049"/>
      <c r="AO630" s="2028"/>
      <c r="AP630" s="2028"/>
      <c r="AQ630" s="2028"/>
      <c r="AR630" s="2028"/>
      <c r="AS630" s="2028"/>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0</v>
      </c>
      <c r="BY630" s="1803"/>
      <c r="BZ630" s="1803"/>
      <c r="CA630" s="1803"/>
      <c r="CB630" s="1805"/>
      <c r="CC630" s="1802">
        <f>IF(J752="3 Bedrooms",O752,0)</f>
        <v>1</v>
      </c>
      <c r="CD630" s="1803"/>
      <c r="CE630" s="1803"/>
      <c r="CF630" s="1803"/>
      <c r="CG630" s="1805"/>
      <c r="CH630" s="1802">
        <f>IF(J752="4 Bedrooms",O752,0)</f>
        <v>0</v>
      </c>
      <c r="CI630" s="1803"/>
      <c r="CJ630" s="1803"/>
      <c r="CK630" s="1803"/>
      <c r="CL630" s="1805"/>
      <c r="CM630" s="2123">
        <f>IF(J752="5 Bedrooms",O752,0)</f>
        <v>0</v>
      </c>
      <c r="CN630" s="2124"/>
      <c r="CO630" s="2124"/>
      <c r="CP630" s="2124"/>
      <c r="CQ630" s="1804"/>
      <c r="CR630" s="72"/>
      <c r="CS630" s="72"/>
    </row>
    <row r="631" spans="1:126" ht="12.75" customHeight="1">
      <c r="A631" s="1343"/>
      <c r="B631" s="2061"/>
      <c r="C631" s="1941"/>
      <c r="D631" s="1941"/>
      <c r="E631" s="1941"/>
      <c r="F631" s="1941"/>
      <c r="G631" s="1941"/>
      <c r="H631" s="1941"/>
      <c r="I631" s="1941"/>
      <c r="J631" s="1941"/>
      <c r="K631" s="1941"/>
      <c r="L631" s="1941"/>
      <c r="M631" s="1941"/>
      <c r="N631" s="2060"/>
      <c r="O631" s="1675"/>
      <c r="P631" s="1676"/>
      <c r="Q631" s="1677"/>
      <c r="R631" s="1675"/>
      <c r="S631" s="1676"/>
      <c r="T631" s="1677"/>
      <c r="U631" s="2033"/>
      <c r="V631" s="2033"/>
      <c r="W631" s="2034"/>
      <c r="X631" s="1675"/>
      <c r="Y631" s="1676"/>
      <c r="Z631" s="1676"/>
      <c r="AA631" s="1676"/>
      <c r="AB631" s="1677"/>
      <c r="AC631" s="2041"/>
      <c r="AD631" s="2042"/>
      <c r="AE631" s="2043"/>
      <c r="AF631" s="1675"/>
      <c r="AG631" s="1676"/>
      <c r="AH631" s="1676"/>
      <c r="AI631" s="1676"/>
      <c r="AJ631" s="1677"/>
      <c r="AK631" s="2050"/>
      <c r="AL631" s="2051"/>
      <c r="AM631" s="2051"/>
      <c r="AN631" s="2052"/>
      <c r="AO631" s="2028"/>
      <c r="AP631" s="2028"/>
      <c r="AQ631" s="2028"/>
      <c r="AR631" s="2028"/>
      <c r="AS631" s="2028"/>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3">
        <f>IF(J753="5 Bedrooms",O753,0)</f>
        <v>0</v>
      </c>
      <c r="CN631" s="2124"/>
      <c r="CO631" s="2124"/>
      <c r="CP631" s="2124"/>
      <c r="CQ631" s="1804"/>
      <c r="CR631" s="72"/>
      <c r="CS631" s="72"/>
    </row>
    <row r="632" spans="1:126" ht="12.75" customHeight="1">
      <c r="B632" s="97" t="s">
        <v>983</v>
      </c>
      <c r="C632" s="1662" t="s">
        <v>2446</v>
      </c>
      <c r="D632" s="1662"/>
      <c r="E632" s="1662"/>
      <c r="F632" s="1662"/>
      <c r="G632" s="1662"/>
      <c r="H632" s="1662"/>
      <c r="I632" s="1662"/>
      <c r="J632" s="1662"/>
      <c r="K632" s="1662"/>
      <c r="L632" s="1662"/>
      <c r="M632" s="1662"/>
      <c r="N632" s="2010"/>
      <c r="O632" s="2025">
        <v>180</v>
      </c>
      <c r="P632" s="2026"/>
      <c r="Q632" s="2027"/>
      <c r="R632" s="1947">
        <v>480</v>
      </c>
      <c r="S632" s="1833"/>
      <c r="T632" s="1948"/>
      <c r="U632" s="1949">
        <v>4.4999999999999998E-2</v>
      </c>
      <c r="V632" s="1950"/>
      <c r="W632" s="1951"/>
      <c r="X632" s="1682" t="s">
        <v>2210</v>
      </c>
      <c r="Y632" s="1952"/>
      <c r="Z632" s="1952"/>
      <c r="AA632" s="1952"/>
      <c r="AB632" s="1953"/>
      <c r="AC632" s="1945">
        <v>1</v>
      </c>
      <c r="AD632" s="1660"/>
      <c r="AE632" s="1946"/>
      <c r="AF632" s="1717">
        <v>94404</v>
      </c>
      <c r="AG632" s="1718"/>
      <c r="AH632" s="1718"/>
      <c r="AI632" s="1718"/>
      <c r="AJ632" s="1719"/>
      <c r="AK632" s="2022"/>
      <c r="AL632" s="2023"/>
      <c r="AM632" s="2023"/>
      <c r="AN632" s="2024"/>
      <c r="AO632" s="1742">
        <v>1750000</v>
      </c>
      <c r="AP632" s="1742"/>
      <c r="AQ632" s="1742"/>
      <c r="AR632" s="1742"/>
      <c r="AS632" s="1742"/>
      <c r="AU632" s="75"/>
      <c r="AV632" s="75"/>
      <c r="AW632" s="75"/>
      <c r="AX632" s="75"/>
      <c r="AY632" s="75"/>
      <c r="BA632" s="72" t="s">
        <v>2190</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3">
        <f>IF(J754="5 Bedrooms",O754,0)</f>
        <v>0</v>
      </c>
      <c r="CN632" s="2124"/>
      <c r="CO632" s="2124"/>
      <c r="CP632" s="2124"/>
      <c r="CQ632" s="1804"/>
      <c r="CR632" s="72"/>
      <c r="CS632" s="72"/>
    </row>
    <row r="633" spans="1:126" ht="12.6">
      <c r="B633" s="98" t="s">
        <v>984</v>
      </c>
      <c r="C633" s="1662" t="s">
        <v>2459</v>
      </c>
      <c r="D633" s="1662"/>
      <c r="E633" s="1662"/>
      <c r="F633" s="1662"/>
      <c r="G633" s="1662"/>
      <c r="H633" s="1662"/>
      <c r="I633" s="1662"/>
      <c r="J633" s="1662"/>
      <c r="K633" s="1662"/>
      <c r="L633" s="1662"/>
      <c r="M633" s="1662"/>
      <c r="N633" s="2010"/>
      <c r="O633" s="2025">
        <v>660</v>
      </c>
      <c r="P633" s="2026"/>
      <c r="Q633" s="2027"/>
      <c r="R633" s="1947">
        <v>660</v>
      </c>
      <c r="S633" s="1833"/>
      <c r="T633" s="1948"/>
      <c r="U633" s="1949">
        <v>0.03</v>
      </c>
      <c r="V633" s="1950"/>
      <c r="W633" s="1951"/>
      <c r="X633" s="1682" t="s">
        <v>856</v>
      </c>
      <c r="Y633" s="1952"/>
      <c r="Z633" s="1952"/>
      <c r="AA633" s="1952"/>
      <c r="AB633" s="1953"/>
      <c r="AC633" s="1945">
        <v>2</v>
      </c>
      <c r="AD633" s="1660"/>
      <c r="AE633" s="1946"/>
      <c r="AF633" s="1717" t="s">
        <v>2447</v>
      </c>
      <c r="AG633" s="1718"/>
      <c r="AH633" s="1718"/>
      <c r="AI633" s="1718"/>
      <c r="AJ633" s="1719"/>
      <c r="AK633" s="2022"/>
      <c r="AL633" s="2023"/>
      <c r="AM633" s="2023"/>
      <c r="AN633" s="2024"/>
      <c r="AO633" s="1742">
        <v>8650000</v>
      </c>
      <c r="AP633" s="1742"/>
      <c r="AQ633" s="1742"/>
      <c r="AR633" s="1742"/>
      <c r="AS633" s="1742"/>
      <c r="AU633" s="75"/>
      <c r="AV633" s="75"/>
      <c r="AW633" s="75"/>
      <c r="AX633" s="75"/>
      <c r="AY633" s="75"/>
      <c r="BA633" s="72" t="s">
        <v>857</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3">
        <f>IF(J755="5 Bedrooms",O755,0)</f>
        <v>0</v>
      </c>
      <c r="CN633" s="2124"/>
      <c r="CO633" s="2124"/>
      <c r="CP633" s="2124"/>
      <c r="CQ633" s="1804"/>
      <c r="CR633" s="72"/>
      <c r="CS633" s="72"/>
    </row>
    <row r="634" spans="1:126" ht="13.1">
      <c r="B634" s="98" t="s">
        <v>990</v>
      </c>
      <c r="C634" s="1662"/>
      <c r="D634" s="1662"/>
      <c r="E634" s="1662"/>
      <c r="F634" s="1662"/>
      <c r="G634" s="1662"/>
      <c r="H634" s="1662"/>
      <c r="I634" s="1662"/>
      <c r="J634" s="1662"/>
      <c r="K634" s="1662"/>
      <c r="L634" s="1662"/>
      <c r="M634" s="1662"/>
      <c r="N634" s="2010"/>
      <c r="O634" s="2025"/>
      <c r="P634" s="2026"/>
      <c r="Q634" s="2027"/>
      <c r="R634" s="1947"/>
      <c r="S634" s="1833"/>
      <c r="T634" s="1948"/>
      <c r="U634" s="1949"/>
      <c r="V634" s="1950"/>
      <c r="W634" s="1951"/>
      <c r="X634" s="1682"/>
      <c r="Y634" s="1952"/>
      <c r="Z634" s="1952"/>
      <c r="AA634" s="1952"/>
      <c r="AB634" s="1953"/>
      <c r="AC634" s="1945"/>
      <c r="AD634" s="1660"/>
      <c r="AE634" s="1946"/>
      <c r="AF634" s="1717"/>
      <c r="AG634" s="1718"/>
      <c r="AH634" s="1718"/>
      <c r="AI634" s="1718"/>
      <c r="AJ634" s="1719"/>
      <c r="AK634" s="2022"/>
      <c r="AL634" s="2023"/>
      <c r="AM634" s="2023"/>
      <c r="AN634" s="2024"/>
      <c r="AO634" s="1742"/>
      <c r="AP634" s="1742"/>
      <c r="AQ634" s="1742"/>
      <c r="AR634" s="1742"/>
      <c r="AS634" s="1742"/>
      <c r="AU634" s="75"/>
      <c r="AV634" s="75"/>
      <c r="AW634" s="75"/>
      <c r="AX634" s="75"/>
      <c r="AY634" s="75"/>
      <c r="AZ634" s="75"/>
      <c r="BA634" s="72" t="s">
        <v>856</v>
      </c>
      <c r="BB634" s="75"/>
      <c r="BC634" s="75"/>
      <c r="BD634" s="75"/>
      <c r="BN634" s="2126">
        <f>SUM(BN630:BR633)</f>
        <v>0</v>
      </c>
      <c r="BO634" s="2127"/>
      <c r="BP634" s="2127"/>
      <c r="BQ634" s="2127"/>
      <c r="BR634" s="2128"/>
      <c r="BS634" s="2126">
        <f>SUM(BS630:BW633)</f>
        <v>0</v>
      </c>
      <c r="BT634" s="2127"/>
      <c r="BU634" s="2127"/>
      <c r="BV634" s="2127"/>
      <c r="BW634" s="2128"/>
      <c r="BX634" s="2126">
        <f>SUM(BX630:CB633)</f>
        <v>0</v>
      </c>
      <c r="BY634" s="2127"/>
      <c r="BZ634" s="2127"/>
      <c r="CA634" s="2127"/>
      <c r="CB634" s="2128"/>
      <c r="CC634" s="2126">
        <f>SUM(CC630:CG633)</f>
        <v>1</v>
      </c>
      <c r="CD634" s="2127"/>
      <c r="CE634" s="2127"/>
      <c r="CF634" s="2127"/>
      <c r="CG634" s="2128"/>
      <c r="CH634" s="2126">
        <f>SUM(CH630:CL633)</f>
        <v>0</v>
      </c>
      <c r="CI634" s="2127"/>
      <c r="CJ634" s="2127"/>
      <c r="CK634" s="2127"/>
      <c r="CL634" s="2128"/>
      <c r="CM634" s="2126">
        <f>SUM(CM630:CQ633)</f>
        <v>0</v>
      </c>
      <c r="CN634" s="2127"/>
      <c r="CO634" s="2127"/>
      <c r="CP634" s="2127"/>
      <c r="CQ634" s="2128"/>
      <c r="CS634" s="714">
        <f>BN634+BS634+BX634+CC634+CH634+CM634</f>
        <v>1</v>
      </c>
      <c r="CT634" s="142" t="s">
        <v>2194</v>
      </c>
      <c r="CU634" s="72"/>
    </row>
    <row r="635" spans="1:126" ht="12.6">
      <c r="B635" s="98" t="s">
        <v>476</v>
      </c>
      <c r="C635" s="1662"/>
      <c r="D635" s="1662"/>
      <c r="E635" s="1662"/>
      <c r="F635" s="1662"/>
      <c r="G635" s="1662"/>
      <c r="H635" s="1662"/>
      <c r="I635" s="1662"/>
      <c r="J635" s="1662"/>
      <c r="K635" s="1662"/>
      <c r="L635" s="1662"/>
      <c r="M635" s="1662"/>
      <c r="N635" s="2010"/>
      <c r="O635" s="2025"/>
      <c r="P635" s="2026"/>
      <c r="Q635" s="2027"/>
      <c r="R635" s="1947"/>
      <c r="S635" s="1833"/>
      <c r="T635" s="1948"/>
      <c r="U635" s="1949"/>
      <c r="V635" s="1950"/>
      <c r="W635" s="1951"/>
      <c r="X635" s="1682"/>
      <c r="Y635" s="1952"/>
      <c r="Z635" s="1952"/>
      <c r="AA635" s="1952"/>
      <c r="AB635" s="1953"/>
      <c r="AC635" s="1945"/>
      <c r="AD635" s="1660"/>
      <c r="AE635" s="1946"/>
      <c r="AF635" s="1717"/>
      <c r="AG635" s="1718"/>
      <c r="AH635" s="1718"/>
      <c r="AI635" s="1718"/>
      <c r="AJ635" s="1719"/>
      <c r="AK635" s="2022"/>
      <c r="AL635" s="2023"/>
      <c r="AM635" s="2023"/>
      <c r="AN635" s="2024"/>
      <c r="AO635" s="1742"/>
      <c r="AP635" s="1742"/>
      <c r="AQ635" s="1742"/>
      <c r="AR635" s="1742"/>
      <c r="AS635" s="1742"/>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6">
      <c r="B636" s="98" t="s">
        <v>187</v>
      </c>
      <c r="C636" s="1662"/>
      <c r="D636" s="1662"/>
      <c r="E636" s="1662"/>
      <c r="F636" s="1662"/>
      <c r="G636" s="1662"/>
      <c r="H636" s="1662"/>
      <c r="I636" s="1662"/>
      <c r="J636" s="1662"/>
      <c r="K636" s="1662"/>
      <c r="L636" s="1662"/>
      <c r="M636" s="1662"/>
      <c r="N636" s="2010"/>
      <c r="O636" s="2025"/>
      <c r="P636" s="2026"/>
      <c r="Q636" s="2027"/>
      <c r="R636" s="1947"/>
      <c r="S636" s="1833"/>
      <c r="T636" s="1948"/>
      <c r="U636" s="1949"/>
      <c r="V636" s="1950"/>
      <c r="W636" s="1951"/>
      <c r="X636" s="1682"/>
      <c r="Y636" s="1952"/>
      <c r="Z636" s="1952"/>
      <c r="AA636" s="1952"/>
      <c r="AB636" s="1953"/>
      <c r="AC636" s="1945"/>
      <c r="AD636" s="1660"/>
      <c r="AE636" s="1946"/>
      <c r="AF636" s="1717"/>
      <c r="AG636" s="1718"/>
      <c r="AH636" s="1718"/>
      <c r="AI636" s="1718"/>
      <c r="AJ636" s="1719"/>
      <c r="AK636" s="2022"/>
      <c r="AL636" s="2023"/>
      <c r="AM636" s="2023"/>
      <c r="AN636" s="2024"/>
      <c r="AO636" s="1742"/>
      <c r="AP636" s="1742"/>
      <c r="AQ636" s="1742"/>
      <c r="AR636" s="1742"/>
      <c r="AS636" s="1742"/>
      <c r="AT636" s="75"/>
      <c r="AU636" s="75"/>
      <c r="AV636" s="75"/>
      <c r="AW636" s="75"/>
      <c r="AX636" s="75"/>
      <c r="AY636" s="75"/>
      <c r="AZ636" s="75"/>
      <c r="BA636" s="72" t="s">
        <v>544</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6">
      <c r="B637" s="98" t="s">
        <v>479</v>
      </c>
      <c r="C637" s="1662"/>
      <c r="D637" s="1662"/>
      <c r="E637" s="1662"/>
      <c r="F637" s="1662"/>
      <c r="G637" s="1662"/>
      <c r="H637" s="1662"/>
      <c r="I637" s="1662"/>
      <c r="J637" s="1662"/>
      <c r="K637" s="1662"/>
      <c r="L637" s="1662"/>
      <c r="M637" s="1662"/>
      <c r="N637" s="2010"/>
      <c r="O637" s="2025"/>
      <c r="P637" s="2026"/>
      <c r="Q637" s="2027"/>
      <c r="R637" s="1947"/>
      <c r="S637" s="1833"/>
      <c r="T637" s="1948"/>
      <c r="U637" s="1949"/>
      <c r="V637" s="1950"/>
      <c r="W637" s="1951"/>
      <c r="X637" s="1682"/>
      <c r="Y637" s="1952"/>
      <c r="Z637" s="1952"/>
      <c r="AA637" s="1952"/>
      <c r="AB637" s="1953"/>
      <c r="AC637" s="1945"/>
      <c r="AD637" s="1660"/>
      <c r="AE637" s="1946"/>
      <c r="AF637" s="1717"/>
      <c r="AG637" s="1718"/>
      <c r="AH637" s="1718"/>
      <c r="AI637" s="1718"/>
      <c r="AJ637" s="1719"/>
      <c r="AK637" s="2022"/>
      <c r="AL637" s="2023"/>
      <c r="AM637" s="2023"/>
      <c r="AN637" s="2024"/>
      <c r="AO637" s="1742"/>
      <c r="AP637" s="1742"/>
      <c r="AQ637" s="1742"/>
      <c r="AR637" s="1742"/>
      <c r="AS637" s="1742"/>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6">
      <c r="B638" s="98" t="s">
        <v>805</v>
      </c>
      <c r="C638" s="1662"/>
      <c r="D638" s="1662"/>
      <c r="E638" s="1662"/>
      <c r="F638" s="1662"/>
      <c r="G638" s="1662"/>
      <c r="H638" s="1662"/>
      <c r="I638" s="1662"/>
      <c r="J638" s="1662"/>
      <c r="K638" s="1662"/>
      <c r="L638" s="1662"/>
      <c r="M638" s="1662"/>
      <c r="N638" s="2010"/>
      <c r="O638" s="2025"/>
      <c r="P638" s="2026"/>
      <c r="Q638" s="2027"/>
      <c r="R638" s="1947"/>
      <c r="S638" s="1833"/>
      <c r="T638" s="1948"/>
      <c r="U638" s="1949"/>
      <c r="V638" s="1950"/>
      <c r="W638" s="1951"/>
      <c r="X638" s="1682"/>
      <c r="Y638" s="1952"/>
      <c r="Z638" s="1952"/>
      <c r="AA638" s="1952"/>
      <c r="AB638" s="1953"/>
      <c r="AC638" s="1945"/>
      <c r="AD638" s="1660"/>
      <c r="AE638" s="1946"/>
      <c r="AF638" s="1717"/>
      <c r="AG638" s="1718"/>
      <c r="AH638" s="1718"/>
      <c r="AI638" s="1718"/>
      <c r="AJ638" s="1719"/>
      <c r="AK638" s="2022"/>
      <c r="AL638" s="2023"/>
      <c r="AM638" s="2023"/>
      <c r="AN638" s="2024"/>
      <c r="AO638" s="1742"/>
      <c r="AP638" s="1742"/>
      <c r="AQ638" s="1742"/>
      <c r="AR638" s="1742"/>
      <c r="AS638" s="1742"/>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6">
      <c r="B639" s="98" t="s">
        <v>806</v>
      </c>
      <c r="C639" s="1662"/>
      <c r="D639" s="1662"/>
      <c r="E639" s="1662"/>
      <c r="F639" s="1662"/>
      <c r="G639" s="1662"/>
      <c r="H639" s="1662"/>
      <c r="I639" s="1662"/>
      <c r="J639" s="1662"/>
      <c r="K639" s="1662"/>
      <c r="L639" s="1662"/>
      <c r="M639" s="1662"/>
      <c r="N639" s="2010"/>
      <c r="O639" s="2025"/>
      <c r="P639" s="2026"/>
      <c r="Q639" s="2027"/>
      <c r="R639" s="1947"/>
      <c r="S639" s="1833"/>
      <c r="T639" s="1948"/>
      <c r="U639" s="1949"/>
      <c r="V639" s="1950"/>
      <c r="W639" s="1951"/>
      <c r="X639" s="1682"/>
      <c r="Y639" s="1952"/>
      <c r="Z639" s="1952"/>
      <c r="AA639" s="1952"/>
      <c r="AB639" s="1953"/>
      <c r="AC639" s="1945"/>
      <c r="AD639" s="1660"/>
      <c r="AE639" s="1946"/>
      <c r="AF639" s="1717"/>
      <c r="AG639" s="1718"/>
      <c r="AH639" s="1718"/>
      <c r="AI639" s="1718"/>
      <c r="AJ639" s="1719"/>
      <c r="AK639" s="2022"/>
      <c r="AL639" s="2023"/>
      <c r="AM639" s="2023"/>
      <c r="AN639" s="2024"/>
      <c r="AO639" s="1742"/>
      <c r="AP639" s="1742"/>
      <c r="AQ639" s="1742"/>
      <c r="AR639" s="1742"/>
      <c r="AS639" s="1742"/>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6">
      <c r="B640" s="98" t="s">
        <v>602</v>
      </c>
      <c r="C640" s="1662"/>
      <c r="D640" s="1662"/>
      <c r="E640" s="1662"/>
      <c r="F640" s="1662"/>
      <c r="G640" s="1662"/>
      <c r="H640" s="1662"/>
      <c r="I640" s="1662"/>
      <c r="J640" s="1662"/>
      <c r="K640" s="1662"/>
      <c r="L640" s="1662"/>
      <c r="M640" s="1662"/>
      <c r="N640" s="2010"/>
      <c r="O640" s="2025"/>
      <c r="P640" s="2026"/>
      <c r="Q640" s="2027"/>
      <c r="R640" s="1947"/>
      <c r="S640" s="1833"/>
      <c r="T640" s="1948"/>
      <c r="U640" s="1949"/>
      <c r="V640" s="1950"/>
      <c r="W640" s="1951"/>
      <c r="X640" s="1682"/>
      <c r="Y640" s="1952"/>
      <c r="Z640" s="1952"/>
      <c r="AA640" s="1952"/>
      <c r="AB640" s="1953"/>
      <c r="AC640" s="1945"/>
      <c r="AD640" s="1660"/>
      <c r="AE640" s="1946"/>
      <c r="AF640" s="1717"/>
      <c r="AG640" s="1718"/>
      <c r="AH640" s="1718"/>
      <c r="AI640" s="1718"/>
      <c r="AJ640" s="1719"/>
      <c r="AK640" s="2022"/>
      <c r="AL640" s="2023"/>
      <c r="AM640" s="2023"/>
      <c r="AN640" s="2024"/>
      <c r="AO640" s="1742"/>
      <c r="AP640" s="1742"/>
      <c r="AQ640" s="1742"/>
      <c r="AR640" s="1742"/>
      <c r="AS640" s="1742"/>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6">
      <c r="B641" s="98" t="s">
        <v>190</v>
      </c>
      <c r="C641" s="1662"/>
      <c r="D641" s="1662"/>
      <c r="E641" s="1662"/>
      <c r="F641" s="1662"/>
      <c r="G641" s="1662"/>
      <c r="H641" s="1662"/>
      <c r="I641" s="1662"/>
      <c r="J641" s="1662"/>
      <c r="K641" s="1662"/>
      <c r="L641" s="1662"/>
      <c r="M641" s="1662"/>
      <c r="N641" s="2010"/>
      <c r="O641" s="2025"/>
      <c r="P641" s="2026"/>
      <c r="Q641" s="2027"/>
      <c r="R641" s="1947"/>
      <c r="S641" s="1833"/>
      <c r="T641" s="1948"/>
      <c r="U641" s="1949"/>
      <c r="V641" s="1950"/>
      <c r="W641" s="1951"/>
      <c r="X641" s="1682"/>
      <c r="Y641" s="1952"/>
      <c r="Z641" s="1952"/>
      <c r="AA641" s="1952"/>
      <c r="AB641" s="1953"/>
      <c r="AC641" s="1945"/>
      <c r="AD641" s="1660"/>
      <c r="AE641" s="1946"/>
      <c r="AF641" s="1717"/>
      <c r="AG641" s="1718"/>
      <c r="AH641" s="1718"/>
      <c r="AI641" s="1718"/>
      <c r="AJ641" s="1719"/>
      <c r="AK641" s="2022"/>
      <c r="AL641" s="2023"/>
      <c r="AM641" s="2023"/>
      <c r="AN641" s="2024"/>
      <c r="AO641" s="1742"/>
      <c r="AP641" s="1742"/>
      <c r="AQ641" s="1742"/>
      <c r="AR641" s="1742"/>
      <c r="AS641" s="1742"/>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6">
      <c r="B642" s="98" t="s">
        <v>37</v>
      </c>
      <c r="C642" s="1662"/>
      <c r="D642" s="1662"/>
      <c r="E642" s="1662"/>
      <c r="F642" s="1662"/>
      <c r="G642" s="1662"/>
      <c r="H642" s="1662"/>
      <c r="I642" s="1662"/>
      <c r="J642" s="1662"/>
      <c r="K642" s="1662"/>
      <c r="L642" s="1662"/>
      <c r="M642" s="1662"/>
      <c r="N642" s="2010"/>
      <c r="O642" s="2025"/>
      <c r="P642" s="2026"/>
      <c r="Q642" s="2027"/>
      <c r="R642" s="1947"/>
      <c r="S642" s="1833"/>
      <c r="T642" s="1948"/>
      <c r="U642" s="1949"/>
      <c r="V642" s="1950"/>
      <c r="W642" s="1951"/>
      <c r="X642" s="1682"/>
      <c r="Y642" s="1952"/>
      <c r="Z642" s="1952"/>
      <c r="AA642" s="1952"/>
      <c r="AB642" s="1953"/>
      <c r="AC642" s="1945"/>
      <c r="AD642" s="1660"/>
      <c r="AE642" s="1946"/>
      <c r="AF642" s="1717"/>
      <c r="AG642" s="1718"/>
      <c r="AH642" s="1718"/>
      <c r="AI642" s="1718"/>
      <c r="AJ642" s="1719"/>
      <c r="AK642" s="2022"/>
      <c r="AL642" s="2023"/>
      <c r="AM642" s="2023"/>
      <c r="AN642" s="2024"/>
      <c r="AO642" s="1742"/>
      <c r="AP642" s="1742"/>
      <c r="AQ642" s="1742"/>
      <c r="AR642" s="1742"/>
      <c r="AS642" s="1742"/>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62"/>
      <c r="D643" s="1662"/>
      <c r="E643" s="1662"/>
      <c r="F643" s="1662"/>
      <c r="G643" s="1662"/>
      <c r="H643" s="1662"/>
      <c r="I643" s="1662"/>
      <c r="J643" s="1662"/>
      <c r="K643" s="1662"/>
      <c r="L643" s="1662"/>
      <c r="M643" s="1662"/>
      <c r="N643" s="2010"/>
      <c r="O643" s="2025"/>
      <c r="P643" s="2026"/>
      <c r="Q643" s="2027"/>
      <c r="R643" s="1947"/>
      <c r="S643" s="1833"/>
      <c r="T643" s="1948"/>
      <c r="U643" s="1949"/>
      <c r="V643" s="1950"/>
      <c r="W643" s="1951"/>
      <c r="X643" s="1682"/>
      <c r="Y643" s="1952"/>
      <c r="Z643" s="1952"/>
      <c r="AA643" s="1952"/>
      <c r="AB643" s="1953"/>
      <c r="AC643" s="1945"/>
      <c r="AD643" s="1660"/>
      <c r="AE643" s="1946"/>
      <c r="AF643" s="1717"/>
      <c r="AG643" s="1718"/>
      <c r="AH643" s="1718"/>
      <c r="AI643" s="1718"/>
      <c r="AJ643" s="1719"/>
      <c r="AK643" s="2022"/>
      <c r="AL643" s="2023"/>
      <c r="AM643" s="2023"/>
      <c r="AN643" s="2024"/>
      <c r="AO643" s="1742"/>
      <c r="AP643" s="1742"/>
      <c r="AQ643" s="1742"/>
      <c r="AR643" s="1742"/>
      <c r="AS643" s="1742"/>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399</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2">
        <f>SUM(AO632:AS643)</f>
        <v>10400000</v>
      </c>
      <c r="AP644" s="1693"/>
      <c r="AQ644" s="1693"/>
      <c r="AR644" s="1693"/>
      <c r="AS644" s="1694"/>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3.1">
      <c r="B645" s="1776" t="s">
        <v>400</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5">
        <v>14289154</v>
      </c>
      <c r="AP645" s="1686"/>
      <c r="AQ645" s="1686"/>
      <c r="AR645" s="1686"/>
      <c r="AS645" s="1687"/>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3.1">
      <c r="B646" s="2053" t="s">
        <v>1023</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2">
        <f>AO644+AO645</f>
        <v>24689154</v>
      </c>
      <c r="AP646" s="1693"/>
      <c r="AQ646" s="1693"/>
      <c r="AR646" s="1693"/>
      <c r="AS646" s="1694"/>
      <c r="AT646" s="75"/>
      <c r="AU646" s="75"/>
      <c r="AV646" s="75"/>
      <c r="AW646" s="75"/>
      <c r="AX646" s="75"/>
      <c r="AY646" s="75"/>
      <c r="AZ646" s="75"/>
      <c r="BN646" s="2126">
        <f>SUM(BN636:BR645)</f>
        <v>0</v>
      </c>
      <c r="BO646" s="2127"/>
      <c r="BP646" s="2127"/>
      <c r="BQ646" s="2127"/>
      <c r="BR646" s="2128"/>
      <c r="BS646" s="2126">
        <f>SUM(BS636:BW645)</f>
        <v>0</v>
      </c>
      <c r="BT646" s="2127"/>
      <c r="BU646" s="2127"/>
      <c r="BV646" s="2127"/>
      <c r="BW646" s="2128"/>
      <c r="BX646" s="2126">
        <f>SUM(BX636:CB645)</f>
        <v>0</v>
      </c>
      <c r="BY646" s="2127"/>
      <c r="BZ646" s="2127"/>
      <c r="CA646" s="2127"/>
      <c r="CB646" s="2128"/>
      <c r="CC646" s="2126">
        <f>SUM(CC636:CG645)</f>
        <v>0</v>
      </c>
      <c r="CD646" s="2127"/>
      <c r="CE646" s="2127"/>
      <c r="CF646" s="2127"/>
      <c r="CG646" s="2128"/>
      <c r="CH646" s="2126">
        <f>SUM(CH636:CL645)</f>
        <v>0</v>
      </c>
      <c r="CI646" s="2127"/>
      <c r="CJ646" s="2127"/>
      <c r="CK646" s="2127"/>
      <c r="CL646" s="2128"/>
      <c r="CM646" s="2126">
        <f>SUM(CM636:CQ645)</f>
        <v>0</v>
      </c>
      <c r="CN646" s="2127"/>
      <c r="CO646" s="2127"/>
      <c r="CP646" s="2127"/>
      <c r="CQ646" s="2128"/>
      <c r="CR646" s="72"/>
      <c r="CS646" s="72"/>
    </row>
    <row r="647" spans="1:97" ht="13.6"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6" thickBot="1">
      <c r="A648" s="101" t="s">
        <v>983</v>
      </c>
      <c r="B648" s="16" t="s">
        <v>93</v>
      </c>
      <c r="G648" s="1827" t="str">
        <f>C632</f>
        <v>California Bank &amp; Trust - Perm Loan</v>
      </c>
      <c r="H648" s="1827"/>
      <c r="I648" s="1827"/>
      <c r="J648" s="1827"/>
      <c r="K648" s="1827"/>
      <c r="L648" s="1827"/>
      <c r="M648" s="1827"/>
      <c r="N648" s="1827"/>
      <c r="O648" s="1827"/>
      <c r="P648" s="1827"/>
      <c r="Q648" s="1827"/>
      <c r="R648" s="1827"/>
      <c r="S648" s="18"/>
      <c r="T648" s="101" t="s">
        <v>984</v>
      </c>
      <c r="U648" s="16" t="s">
        <v>93</v>
      </c>
      <c r="Z648" s="1827" t="str">
        <f>C633</f>
        <v>County of Butte - CDBG-DR Loan</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1" thickBot="1">
      <c r="A649" s="46"/>
      <c r="B649" s="16" t="s">
        <v>413</v>
      </c>
      <c r="G649" s="1661" t="s">
        <v>2437</v>
      </c>
      <c r="H649" s="1661"/>
      <c r="I649" s="1661"/>
      <c r="J649" s="1661"/>
      <c r="K649" s="1661"/>
      <c r="L649" s="1661"/>
      <c r="M649" s="1661"/>
      <c r="N649" s="1661"/>
      <c r="O649" s="1661"/>
      <c r="P649" s="1661"/>
      <c r="Q649" s="1661"/>
      <c r="R649" s="1661"/>
      <c r="S649" s="18"/>
      <c r="T649" s="46"/>
      <c r="U649" s="16" t="s">
        <v>413</v>
      </c>
      <c r="Z649" s="1661" t="s">
        <v>2506</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6" thickBot="1">
      <c r="A650" s="46"/>
      <c r="B650" s="16" t="s">
        <v>475</v>
      </c>
      <c r="G650" s="1661" t="s">
        <v>2438</v>
      </c>
      <c r="H650" s="1661"/>
      <c r="I650" s="1661"/>
      <c r="J650" s="1661"/>
      <c r="K650" s="1661"/>
      <c r="L650" s="1661"/>
      <c r="M650" s="1661"/>
      <c r="N650" s="1661"/>
      <c r="O650" s="1661"/>
      <c r="P650" s="1661"/>
      <c r="Q650" s="1661"/>
      <c r="R650" s="1661"/>
      <c r="S650" s="102"/>
      <c r="T650" s="46"/>
      <c r="U650" s="16" t="s">
        <v>475</v>
      </c>
      <c r="Z650" s="1653" t="s">
        <v>2507</v>
      </c>
      <c r="AA650" s="1653"/>
      <c r="AB650" s="1653"/>
      <c r="AC650" s="1653"/>
      <c r="AD650" s="1653"/>
      <c r="AE650" s="1653"/>
      <c r="AF650" s="1653"/>
      <c r="AG650" s="1653"/>
      <c r="AH650" s="1653"/>
      <c r="AI650" s="1653"/>
      <c r="AJ650" s="1653"/>
      <c r="AK650" s="1653"/>
      <c r="AM650" s="75"/>
      <c r="AN650" s="75"/>
      <c r="AO650" s="75"/>
      <c r="AP650" s="75"/>
      <c r="AQ650" s="75"/>
      <c r="AR650" s="75"/>
      <c r="AS650" s="75"/>
      <c r="AT650" s="75"/>
      <c r="AU650" s="75"/>
      <c r="AV650" s="75"/>
      <c r="AW650" s="75"/>
      <c r="AX650" s="75"/>
      <c r="AY650" s="75"/>
      <c r="AZ650" s="75"/>
      <c r="CP650" s="1351" t="s">
        <v>1891</v>
      </c>
      <c r="CQ650" s="715">
        <f>CQ648+CQ629</f>
        <v>133</v>
      </c>
      <c r="CR650" s="72"/>
      <c r="CS650" s="72"/>
    </row>
    <row r="651" spans="1:97" ht="12.6">
      <c r="A651" s="46"/>
      <c r="B651" s="16" t="s">
        <v>907</v>
      </c>
      <c r="G651" s="1661" t="s">
        <v>2439</v>
      </c>
      <c r="H651" s="1661"/>
      <c r="I651" s="1661"/>
      <c r="J651" s="1661"/>
      <c r="K651" s="1661"/>
      <c r="L651" s="1661"/>
      <c r="M651" s="1661"/>
      <c r="N651" s="1661"/>
      <c r="O651" s="1661"/>
      <c r="P651" s="1661"/>
      <c r="Q651" s="1661"/>
      <c r="R651" s="1661"/>
      <c r="S651" s="18"/>
      <c r="T651" s="46"/>
      <c r="U651" s="16" t="s">
        <v>907</v>
      </c>
      <c r="Z651" s="1653" t="s">
        <v>2508</v>
      </c>
      <c r="AA651" s="1653"/>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6">
      <c r="A652" s="46"/>
      <c r="B652" s="16" t="s">
        <v>711</v>
      </c>
      <c r="G652" s="1656" t="s">
        <v>2440</v>
      </c>
      <c r="H652" s="1657"/>
      <c r="I652" s="1657"/>
      <c r="J652" s="1657"/>
      <c r="K652" s="1657"/>
      <c r="L652" s="1657"/>
      <c r="O652" s="149" t="s">
        <v>892</v>
      </c>
      <c r="P652" s="1663"/>
      <c r="Q652" s="1663"/>
      <c r="R652" s="1663"/>
      <c r="S652" s="20"/>
      <c r="T652" s="46"/>
      <c r="U652" s="16" t="s">
        <v>711</v>
      </c>
      <c r="Z652" s="1656" t="s">
        <v>2509</v>
      </c>
      <c r="AA652" s="1657"/>
      <c r="AB652" s="1657"/>
      <c r="AC652" s="1657"/>
      <c r="AD652" s="1657"/>
      <c r="AE652" s="1657"/>
      <c r="AH652" s="149" t="s">
        <v>892</v>
      </c>
      <c r="AI652" s="1663"/>
      <c r="AJ652" s="1663"/>
      <c r="AK652" s="1663"/>
      <c r="AM652" s="75"/>
      <c r="AN652" s="75"/>
      <c r="AO652" s="75"/>
      <c r="AP652" s="75"/>
      <c r="AQ652" s="75"/>
      <c r="AR652" s="75"/>
      <c r="AS652" s="75"/>
      <c r="AT652" s="75"/>
      <c r="AU652" s="75"/>
      <c r="AV652" s="75"/>
      <c r="AW652" s="75"/>
      <c r="AX652" s="75"/>
      <c r="AY652" s="75"/>
      <c r="AZ652" s="75"/>
      <c r="BN652" s="2126">
        <f>BN627+BN634+BN646</f>
        <v>0</v>
      </c>
      <c r="BO652" s="2127"/>
      <c r="BP652" s="2127"/>
      <c r="BQ652" s="2127"/>
      <c r="BR652" s="2128"/>
      <c r="BS652" s="2126">
        <f>BS627+BS634+BS646</f>
        <v>0</v>
      </c>
      <c r="BT652" s="2127"/>
      <c r="BU652" s="2127"/>
      <c r="BV652" s="2127"/>
      <c r="BW652" s="2128"/>
      <c r="BX652" s="2126">
        <f>BX627+BX634+BX646</f>
        <v>16</v>
      </c>
      <c r="BY652" s="2127"/>
      <c r="BZ652" s="2127"/>
      <c r="CA652" s="2127"/>
      <c r="CB652" s="2128"/>
      <c r="CC652" s="2126">
        <f>CC627+CC634+CC646</f>
        <v>24</v>
      </c>
      <c r="CD652" s="2127"/>
      <c r="CE652" s="2127"/>
      <c r="CF652" s="2127"/>
      <c r="CG652" s="2128"/>
      <c r="CH652" s="2126">
        <f>CH627+CH634+CH646</f>
        <v>8</v>
      </c>
      <c r="CI652" s="2127"/>
      <c r="CJ652" s="2127"/>
      <c r="CK652" s="2127"/>
      <c r="CL652" s="2128"/>
      <c r="CM652" s="1806">
        <f>CM646+CM634+CM627</f>
        <v>0</v>
      </c>
      <c r="CN652" s="2125"/>
      <c r="CO652" s="2125"/>
      <c r="CP652" s="2125"/>
      <c r="CQ652" s="1807"/>
      <c r="CR652" s="72"/>
      <c r="CS652" s="72"/>
    </row>
    <row r="653" spans="1:97" ht="12.6">
      <c r="A653" s="46"/>
      <c r="B653" s="16" t="s">
        <v>908</v>
      </c>
      <c r="H653" s="1661" t="s">
        <v>2448</v>
      </c>
      <c r="I653" s="1661"/>
      <c r="J653" s="1661"/>
      <c r="K653" s="1661"/>
      <c r="L653" s="1661"/>
      <c r="M653" s="1661"/>
      <c r="N653" s="1661"/>
      <c r="O653" s="1661"/>
      <c r="P653" s="1661"/>
      <c r="Q653" s="1661"/>
      <c r="R653" s="1661"/>
      <c r="S653" s="18"/>
      <c r="T653" s="46"/>
      <c r="U653" s="16" t="s">
        <v>908</v>
      </c>
      <c r="AA653" s="1661" t="s">
        <v>2442</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6">
      <c r="A654" s="8"/>
      <c r="B654" s="16" t="s">
        <v>910</v>
      </c>
      <c r="N654" s="1658" t="s">
        <v>119</v>
      </c>
      <c r="O654" s="1658"/>
      <c r="T654" s="46"/>
      <c r="U654" s="16" t="s">
        <v>910</v>
      </c>
      <c r="AG654" s="1658" t="s">
        <v>119</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6">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6">
      <c r="A656" s="101" t="s">
        <v>990</v>
      </c>
      <c r="B656" s="16" t="s">
        <v>93</v>
      </c>
      <c r="G656" s="1827">
        <f>C634</f>
        <v>0</v>
      </c>
      <c r="H656" s="1827"/>
      <c r="I656" s="1827"/>
      <c r="J656" s="1827"/>
      <c r="K656" s="1827"/>
      <c r="L656" s="1827"/>
      <c r="M656" s="1827"/>
      <c r="N656" s="1827"/>
      <c r="O656" s="1827"/>
      <c r="P656" s="1827"/>
      <c r="Q656" s="1827"/>
      <c r="R656" s="1827"/>
      <c r="T656" s="101" t="s">
        <v>476</v>
      </c>
      <c r="U656" s="16" t="s">
        <v>93</v>
      </c>
      <c r="Z656" s="1827">
        <f>C635</f>
        <v>0</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6">
      <c r="A657" s="46"/>
      <c r="B657" s="16" t="s">
        <v>413</v>
      </c>
      <c r="G657" s="1661"/>
      <c r="H657" s="1661"/>
      <c r="I657" s="1661"/>
      <c r="J657" s="1661"/>
      <c r="K657" s="1661"/>
      <c r="L657" s="1661"/>
      <c r="M657" s="1661"/>
      <c r="N657" s="1661"/>
      <c r="O657" s="1661"/>
      <c r="P657" s="1661"/>
      <c r="Q657" s="1661"/>
      <c r="R657" s="1661"/>
      <c r="T657" s="46"/>
      <c r="U657" s="16" t="s">
        <v>413</v>
      </c>
      <c r="Z657" s="1661"/>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6">
      <c r="A658" s="46"/>
      <c r="B658" s="16" t="s">
        <v>475</v>
      </c>
      <c r="G658" s="1653"/>
      <c r="H658" s="1653"/>
      <c r="I658" s="1653"/>
      <c r="J658" s="1653"/>
      <c r="K658" s="1653"/>
      <c r="L658" s="1653"/>
      <c r="M658" s="1653"/>
      <c r="N658" s="1653"/>
      <c r="O658" s="1653"/>
      <c r="P658" s="1653"/>
      <c r="Q658" s="1653"/>
      <c r="R658" s="1653"/>
      <c r="T658" s="46"/>
      <c r="U658" s="16" t="s">
        <v>475</v>
      </c>
      <c r="Z658" s="1653"/>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6">
      <c r="A659" s="46"/>
      <c r="B659" s="16" t="s">
        <v>907</v>
      </c>
      <c r="G659" s="1653"/>
      <c r="H659" s="1653"/>
      <c r="I659" s="1653"/>
      <c r="J659" s="1653"/>
      <c r="K659" s="1653"/>
      <c r="L659" s="1653"/>
      <c r="M659" s="1653"/>
      <c r="N659" s="1653"/>
      <c r="O659" s="1653"/>
      <c r="P659" s="1653"/>
      <c r="Q659" s="1653"/>
      <c r="R659" s="1653"/>
      <c r="T659" s="46"/>
      <c r="U659" s="16" t="s">
        <v>907</v>
      </c>
      <c r="Z659" s="1653"/>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
      <c r="A660" s="46"/>
      <c r="B660" s="16" t="s">
        <v>711</v>
      </c>
      <c r="G660" s="1657"/>
      <c r="H660" s="1657"/>
      <c r="I660" s="1657"/>
      <c r="J660" s="1657"/>
      <c r="K660" s="1657"/>
      <c r="L660" s="1657"/>
      <c r="O660" s="149" t="s">
        <v>892</v>
      </c>
      <c r="P660" s="1663"/>
      <c r="Q660" s="1663"/>
      <c r="R660" s="1663"/>
      <c r="T660" s="46"/>
      <c r="U660" s="16" t="s">
        <v>711</v>
      </c>
      <c r="Z660" s="1657"/>
      <c r="AA660" s="1657"/>
      <c r="AB660" s="1657"/>
      <c r="AC660" s="1657"/>
      <c r="AD660" s="1657"/>
      <c r="AE660" s="1657"/>
      <c r="AH660" s="149" t="s">
        <v>892</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1"/>
      <c r="I661" s="1661"/>
      <c r="J661" s="1661"/>
      <c r="K661" s="1661"/>
      <c r="L661" s="1661"/>
      <c r="M661" s="1661"/>
      <c r="N661" s="1661"/>
      <c r="O661" s="1661"/>
      <c r="P661" s="1661"/>
      <c r="Q661" s="1661"/>
      <c r="R661" s="1661"/>
      <c r="T661" s="46"/>
      <c r="U661" s="16" t="s">
        <v>908</v>
      </c>
      <c r="AA661" s="1661"/>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6">
      <c r="B662" s="16" t="s">
        <v>910</v>
      </c>
      <c r="N662" s="1658" t="s">
        <v>527</v>
      </c>
      <c r="O662" s="1658"/>
      <c r="T662" s="46"/>
      <c r="U662" s="16" t="s">
        <v>910</v>
      </c>
      <c r="AG662" s="1658" t="s">
        <v>527</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6">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f>C636</f>
        <v>0</v>
      </c>
      <c r="H664" s="1827"/>
      <c r="I664" s="1827"/>
      <c r="J664" s="1827"/>
      <c r="K664" s="1827"/>
      <c r="L664" s="1827"/>
      <c r="M664" s="1827"/>
      <c r="N664" s="1827"/>
      <c r="O664" s="1827"/>
      <c r="P664" s="1827"/>
      <c r="Q664" s="1827"/>
      <c r="R664" s="1827"/>
      <c r="T664" s="101" t="s">
        <v>479</v>
      </c>
      <c r="U664" s="16" t="s">
        <v>93</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6">
      <c r="A665" s="46"/>
      <c r="B665" s="16" t="s">
        <v>413</v>
      </c>
      <c r="G665" s="1661"/>
      <c r="H665" s="1661"/>
      <c r="I665" s="1661"/>
      <c r="J665" s="1661"/>
      <c r="K665" s="1661"/>
      <c r="L665" s="1661"/>
      <c r="M665" s="1661"/>
      <c r="N665" s="1661"/>
      <c r="O665" s="1661"/>
      <c r="P665" s="1661"/>
      <c r="Q665" s="1661"/>
      <c r="R665" s="1661"/>
      <c r="T665" s="46"/>
      <c r="U665" s="16" t="s">
        <v>413</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6">
      <c r="A666" s="46"/>
      <c r="B666" s="16" t="s">
        <v>475</v>
      </c>
      <c r="G666" s="1661"/>
      <c r="H666" s="1661"/>
      <c r="I666" s="1661"/>
      <c r="J666" s="1661"/>
      <c r="K666" s="1661"/>
      <c r="L666" s="1661"/>
      <c r="M666" s="1661"/>
      <c r="N666" s="1661"/>
      <c r="O666" s="1661"/>
      <c r="P666" s="1661"/>
      <c r="Q666" s="1661"/>
      <c r="R666" s="1661"/>
      <c r="T666" s="46"/>
      <c r="U666" s="16" t="s">
        <v>475</v>
      </c>
      <c r="Z666" s="1653"/>
      <c r="AA666" s="1653"/>
      <c r="AB666" s="1653"/>
      <c r="AC666" s="1653"/>
      <c r="AD666" s="1653"/>
      <c r="AE666" s="1653"/>
      <c r="AF666" s="1653"/>
      <c r="AG666" s="1653"/>
      <c r="AH666" s="1653"/>
      <c r="AI666" s="1653"/>
      <c r="AJ666" s="1653"/>
      <c r="AK666" s="165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6">
      <c r="A667" s="46"/>
      <c r="B667" s="16" t="s">
        <v>907</v>
      </c>
      <c r="G667" s="1661"/>
      <c r="H667" s="1661"/>
      <c r="I667" s="1661"/>
      <c r="J667" s="1661"/>
      <c r="K667" s="1661"/>
      <c r="L667" s="1661"/>
      <c r="M667" s="1661"/>
      <c r="N667" s="1661"/>
      <c r="O667" s="1661"/>
      <c r="P667" s="1661"/>
      <c r="Q667" s="1661"/>
      <c r="R667" s="1661"/>
      <c r="T667" s="46"/>
      <c r="U667" s="16" t="s">
        <v>907</v>
      </c>
      <c r="Z667" s="1653"/>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6">
      <c r="A668" s="46"/>
      <c r="B668" s="16" t="s">
        <v>711</v>
      </c>
      <c r="G668" s="1657"/>
      <c r="H668" s="1657"/>
      <c r="I668" s="1657"/>
      <c r="J668" s="1657"/>
      <c r="K668" s="1657"/>
      <c r="L668" s="1657"/>
      <c r="O668" s="149" t="s">
        <v>892</v>
      </c>
      <c r="P668" s="1663"/>
      <c r="Q668" s="1663"/>
      <c r="R668" s="1663"/>
      <c r="T668" s="46"/>
      <c r="U668" s="16" t="s">
        <v>711</v>
      </c>
      <c r="Z668" s="1657"/>
      <c r="AA668" s="1657"/>
      <c r="AB668" s="1657"/>
      <c r="AC668" s="1657"/>
      <c r="AD668" s="1657"/>
      <c r="AE668" s="1657"/>
      <c r="AH668" s="149" t="s">
        <v>892</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6">
      <c r="A669" s="46"/>
      <c r="B669" s="16" t="s">
        <v>908</v>
      </c>
      <c r="H669" s="1661"/>
      <c r="I669" s="1661"/>
      <c r="J669" s="1661"/>
      <c r="K669" s="1661"/>
      <c r="L669" s="1661"/>
      <c r="M669" s="1661"/>
      <c r="N669" s="1661"/>
      <c r="O669" s="1661"/>
      <c r="P669" s="1661"/>
      <c r="Q669" s="1661"/>
      <c r="R669" s="1661"/>
      <c r="T669" s="46"/>
      <c r="U669" s="16" t="s">
        <v>908</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6">
      <c r="B670" s="16" t="s">
        <v>910</v>
      </c>
      <c r="N670" s="1658" t="s">
        <v>527</v>
      </c>
      <c r="O670" s="1658"/>
      <c r="T670" s="46"/>
      <c r="U670" s="16" t="s">
        <v>910</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6">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7">
        <f>C638</f>
        <v>0</v>
      </c>
      <c r="H672" s="1827"/>
      <c r="I672" s="1827"/>
      <c r="J672" s="1827"/>
      <c r="K672" s="1827"/>
      <c r="L672" s="1827"/>
      <c r="M672" s="1827"/>
      <c r="N672" s="1827"/>
      <c r="O672" s="1827"/>
      <c r="P672" s="1827"/>
      <c r="Q672" s="1827"/>
      <c r="R672" s="1827"/>
      <c r="T672" s="101" t="s">
        <v>806</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6">
      <c r="A673" s="46"/>
      <c r="B673" s="16" t="s">
        <v>413</v>
      </c>
      <c r="G673" s="1661"/>
      <c r="H673" s="1661"/>
      <c r="I673" s="1661"/>
      <c r="J673" s="1661"/>
      <c r="K673" s="1661"/>
      <c r="L673" s="1661"/>
      <c r="M673" s="1661"/>
      <c r="N673" s="1661"/>
      <c r="O673" s="1661"/>
      <c r="P673" s="1661"/>
      <c r="Q673" s="1661"/>
      <c r="R673" s="1661"/>
      <c r="T673" s="46"/>
      <c r="U673" s="16" t="s">
        <v>413</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6">
      <c r="A674" s="46"/>
      <c r="B674" s="16" t="s">
        <v>475</v>
      </c>
      <c r="G674" s="1661"/>
      <c r="H674" s="1661"/>
      <c r="I674" s="1661"/>
      <c r="J674" s="1661"/>
      <c r="K674" s="1661"/>
      <c r="L674" s="1661"/>
      <c r="M674" s="1661"/>
      <c r="N674" s="1661"/>
      <c r="O674" s="1661"/>
      <c r="P674" s="1661"/>
      <c r="Q674" s="1661"/>
      <c r="R674" s="1661"/>
      <c r="T674" s="46"/>
      <c r="U674" s="16" t="s">
        <v>475</v>
      </c>
      <c r="Z674" s="1653"/>
      <c r="AA674" s="1653"/>
      <c r="AB674" s="1653"/>
      <c r="AC674" s="1653"/>
      <c r="AD674" s="1653"/>
      <c r="AE674" s="1653"/>
      <c r="AF674" s="1653"/>
      <c r="AG674" s="1653"/>
      <c r="AH674" s="1653"/>
      <c r="AI674" s="1653"/>
      <c r="AJ674" s="1653"/>
      <c r="AK674" s="165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6">
      <c r="A675" s="46"/>
      <c r="B675" s="16" t="s">
        <v>907</v>
      </c>
      <c r="G675" s="1661"/>
      <c r="H675" s="1661"/>
      <c r="I675" s="1661"/>
      <c r="J675" s="1661"/>
      <c r="K675" s="1661"/>
      <c r="L675" s="1661"/>
      <c r="M675" s="1661"/>
      <c r="N675" s="1661"/>
      <c r="O675" s="1661"/>
      <c r="P675" s="1661"/>
      <c r="Q675" s="1661"/>
      <c r="R675" s="1661"/>
      <c r="T675" s="46"/>
      <c r="U675" s="16" t="s">
        <v>907</v>
      </c>
      <c r="Z675" s="1653"/>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6">
      <c r="A676" s="46"/>
      <c r="B676" s="16" t="s">
        <v>711</v>
      </c>
      <c r="G676" s="1657"/>
      <c r="H676" s="1657"/>
      <c r="I676" s="1657"/>
      <c r="J676" s="1657"/>
      <c r="K676" s="1657"/>
      <c r="L676" s="1657"/>
      <c r="O676" s="149" t="s">
        <v>892</v>
      </c>
      <c r="P676" s="1663"/>
      <c r="Q676" s="1663"/>
      <c r="R676" s="1663"/>
      <c r="T676" s="46"/>
      <c r="U676" s="16" t="s">
        <v>711</v>
      </c>
      <c r="Z676" s="1657"/>
      <c r="AA676" s="1657"/>
      <c r="AB676" s="1657"/>
      <c r="AC676" s="1657"/>
      <c r="AD676" s="1657"/>
      <c r="AE676" s="1657"/>
      <c r="AH676" s="149" t="s">
        <v>892</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6">
      <c r="A677" s="46"/>
      <c r="B677" s="16" t="s">
        <v>908</v>
      </c>
      <c r="H677" s="1661"/>
      <c r="I677" s="1661"/>
      <c r="J677" s="1661"/>
      <c r="K677" s="1661"/>
      <c r="L677" s="1661"/>
      <c r="M677" s="1661"/>
      <c r="N677" s="1661"/>
      <c r="O677" s="1661"/>
      <c r="P677" s="1661"/>
      <c r="Q677" s="1661"/>
      <c r="R677" s="1661"/>
      <c r="T677" s="46"/>
      <c r="U677" s="16" t="s">
        <v>908</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6">
      <c r="B678" s="16" t="s">
        <v>910</v>
      </c>
      <c r="N678" s="1658" t="s">
        <v>527</v>
      </c>
      <c r="O678" s="1658"/>
      <c r="T678" s="46"/>
      <c r="U678" s="16" t="s">
        <v>910</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6">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1"/>
      <c r="H681" s="1661"/>
      <c r="I681" s="1661"/>
      <c r="J681" s="1661"/>
      <c r="K681" s="1661"/>
      <c r="L681" s="1661"/>
      <c r="M681" s="1661"/>
      <c r="N681" s="1661"/>
      <c r="O681" s="1661"/>
      <c r="P681" s="1661"/>
      <c r="Q681" s="1661"/>
      <c r="R681" s="1661"/>
      <c r="T681" s="46"/>
      <c r="U681" s="16" t="s">
        <v>413</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1"/>
      <c r="H682" s="1661"/>
      <c r="I682" s="1661"/>
      <c r="J682" s="1661"/>
      <c r="K682" s="1661"/>
      <c r="L682" s="1661"/>
      <c r="M682" s="1661"/>
      <c r="N682" s="1661"/>
      <c r="O682" s="1661"/>
      <c r="P682" s="1661"/>
      <c r="Q682" s="1661"/>
      <c r="R682" s="1661"/>
      <c r="T682" s="46"/>
      <c r="U682" s="16" t="s">
        <v>475</v>
      </c>
      <c r="Z682" s="1653"/>
      <c r="AA682" s="1653"/>
      <c r="AB682" s="1653"/>
      <c r="AC682" s="1653"/>
      <c r="AD682" s="1653"/>
      <c r="AE682" s="1653"/>
      <c r="AF682" s="1653"/>
      <c r="AG682" s="1653"/>
      <c r="AH682" s="1653"/>
      <c r="AI682" s="1653"/>
      <c r="AJ682" s="1653"/>
      <c r="AK682" s="165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1"/>
      <c r="H683" s="1661"/>
      <c r="I683" s="1661"/>
      <c r="J683" s="1661"/>
      <c r="K683" s="1661"/>
      <c r="L683" s="1661"/>
      <c r="M683" s="1661"/>
      <c r="N683" s="1661"/>
      <c r="O683" s="1661"/>
      <c r="P683" s="1661"/>
      <c r="Q683" s="1661"/>
      <c r="R683" s="1661"/>
      <c r="T683" s="46"/>
      <c r="U683" s="16" t="s">
        <v>907</v>
      </c>
      <c r="Z683" s="1653"/>
      <c r="AA683" s="1653"/>
      <c r="AB683" s="1653"/>
      <c r="AC683" s="1653"/>
      <c r="AD683" s="1653"/>
      <c r="AE683" s="1653"/>
      <c r="AF683" s="1653"/>
      <c r="AG683" s="1653"/>
      <c r="AH683" s="1653"/>
      <c r="AI683" s="1653"/>
      <c r="AJ683" s="1653"/>
      <c r="AK683" s="165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c r="H684" s="1657"/>
      <c r="I684" s="1657"/>
      <c r="J684" s="1657"/>
      <c r="K684" s="1657"/>
      <c r="L684" s="1657"/>
      <c r="O684" s="149" t="s">
        <v>892</v>
      </c>
      <c r="P684" s="1663"/>
      <c r="Q684" s="1663"/>
      <c r="R684" s="1663"/>
      <c r="T684" s="46"/>
      <c r="U684" s="16" t="s">
        <v>711</v>
      </c>
      <c r="Z684" s="1657"/>
      <c r="AA684" s="1657"/>
      <c r="AB684" s="1657"/>
      <c r="AC684" s="1657"/>
      <c r="AD684" s="1657"/>
      <c r="AE684" s="1657"/>
      <c r="AH684" s="149" t="s">
        <v>892</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
      <c r="A685" s="46"/>
      <c r="B685" s="16" t="s">
        <v>908</v>
      </c>
      <c r="H685" s="1661"/>
      <c r="I685" s="1661"/>
      <c r="J685" s="1661"/>
      <c r="K685" s="1661"/>
      <c r="L685" s="1661"/>
      <c r="M685" s="1661"/>
      <c r="N685" s="1661"/>
      <c r="O685" s="1661"/>
      <c r="P685" s="1661"/>
      <c r="Q685" s="1661"/>
      <c r="R685" s="1661"/>
      <c r="T685" s="46"/>
      <c r="U685" s="16" t="s">
        <v>908</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2240</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8" t="s">
        <v>527</v>
      </c>
      <c r="O686" s="1658"/>
      <c r="T686" s="46"/>
      <c r="U686" s="16" t="s">
        <v>910</v>
      </c>
      <c r="AG686" s="1658" t="s">
        <v>527</v>
      </c>
      <c r="AH686" s="1658"/>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1227</v>
      </c>
      <c r="BH688" s="75"/>
      <c r="BI688" s="75"/>
      <c r="BJ688" s="75"/>
      <c r="BK688" s="75"/>
      <c r="BL688" s="75"/>
      <c r="BM688" s="72"/>
      <c r="BN688" s="72"/>
      <c r="BO688" s="72"/>
      <c r="BP688" s="878" t="s">
        <v>333</v>
      </c>
      <c r="BQ688" s="879" t="s">
        <v>486</v>
      </c>
      <c r="BR688" s="879" t="s">
        <v>487</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6">
      <c r="B689" s="16" t="s">
        <v>413</v>
      </c>
      <c r="G689" s="1661"/>
      <c r="H689" s="1661"/>
      <c r="I689" s="1661"/>
      <c r="J689" s="1661"/>
      <c r="K689" s="1661"/>
      <c r="L689" s="1661"/>
      <c r="M689" s="1661"/>
      <c r="N689" s="1661"/>
      <c r="O689" s="1661"/>
      <c r="P689" s="1661"/>
      <c r="Q689" s="1661"/>
      <c r="R689" s="1661"/>
      <c r="T689" s="46"/>
      <c r="U689" s="16" t="s">
        <v>413</v>
      </c>
      <c r="Z689" s="1661"/>
      <c r="AA689" s="1661"/>
      <c r="AB689" s="1661"/>
      <c r="AC689" s="1661"/>
      <c r="AD689" s="1661"/>
      <c r="AE689" s="1661"/>
      <c r="AF689" s="1661"/>
      <c r="AG689" s="1661"/>
      <c r="AH689" s="1661"/>
      <c r="AI689" s="1661"/>
      <c r="AJ689" s="1661"/>
      <c r="AK689" s="1661"/>
      <c r="AM689" s="75"/>
      <c r="BA689" s="75">
        <f>IF($G706=0,"N/A",VLOOKUP($T$189,TC_Rent,(MATCH($B706,bedrooms,FALSE))))</f>
        <v>1570</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6">
      <c r="B690" s="16" t="s">
        <v>475</v>
      </c>
      <c r="G690" s="1661"/>
      <c r="H690" s="1661"/>
      <c r="I690" s="1661"/>
      <c r="J690" s="1661"/>
      <c r="K690" s="1661"/>
      <c r="L690" s="1661"/>
      <c r="M690" s="1661"/>
      <c r="N690" s="1661"/>
      <c r="O690" s="1661"/>
      <c r="P690" s="1661"/>
      <c r="Q690" s="1661"/>
      <c r="R690" s="1661"/>
      <c r="U690" s="16" t="s">
        <v>475</v>
      </c>
      <c r="Z690" s="1653"/>
      <c r="AA690" s="1653"/>
      <c r="AB690" s="1653"/>
      <c r="AC690" s="1653"/>
      <c r="AD690" s="1653"/>
      <c r="AE690" s="1653"/>
      <c r="AF690" s="1653"/>
      <c r="AG690" s="1653"/>
      <c r="AH690" s="1653"/>
      <c r="AI690" s="1653"/>
      <c r="AJ690" s="1653"/>
      <c r="AK690" s="1653"/>
      <c r="AM690" s="75"/>
      <c r="BA690" s="75">
        <f t="shared" ref="BA690:BA713" si="22">IF($G707=0,"N/A",VLOOKUP($T$189,TC_Rent,(MATCH($B707,bedrooms,FALSE))))</f>
        <v>1570</v>
      </c>
      <c r="BB690" s="75"/>
      <c r="BC690" s="75"/>
      <c r="BD690" s="75"/>
      <c r="BE690" s="75"/>
      <c r="BF690" s="75"/>
      <c r="BG690" s="681">
        <f>G706</f>
        <v>1</v>
      </c>
      <c r="BH690" s="694">
        <f>BG690/$BG$715</f>
        <v>2.1276595744680851E-2</v>
      </c>
      <c r="BI690" s="696">
        <f>IF(BH690=0," ",BH690*AH706)</f>
        <v>6.382978723404255E-3</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6">
      <c r="B691" s="16" t="s">
        <v>907</v>
      </c>
      <c r="G691" s="1661"/>
      <c r="H691" s="1661"/>
      <c r="I691" s="1661"/>
      <c r="J691" s="1661"/>
      <c r="K691" s="1661"/>
      <c r="L691" s="1661"/>
      <c r="M691" s="1661"/>
      <c r="N691" s="1661"/>
      <c r="O691" s="1661"/>
      <c r="P691" s="1661"/>
      <c r="Q691" s="1661"/>
      <c r="R691" s="1661"/>
      <c r="U691" s="16" t="s">
        <v>907</v>
      </c>
      <c r="Z691" s="1653"/>
      <c r="AA691" s="1653"/>
      <c r="AB691" s="1653"/>
      <c r="AC691" s="1653"/>
      <c r="AD691" s="1653"/>
      <c r="AE691" s="1653"/>
      <c r="AF691" s="1653"/>
      <c r="AG691" s="1653"/>
      <c r="AH691" s="1653"/>
      <c r="AI691" s="1653"/>
      <c r="AJ691" s="1653"/>
      <c r="AK691" s="1653"/>
      <c r="AM691" s="75"/>
      <c r="BA691" s="75">
        <f t="shared" si="22"/>
        <v>1570</v>
      </c>
      <c r="BB691" s="75"/>
      <c r="BC691" s="75"/>
      <c r="BD691" s="75"/>
      <c r="BE691" s="75"/>
      <c r="BF691" s="75"/>
      <c r="BG691" s="682">
        <f t="shared" ref="BG691:BG714" si="23">G707</f>
        <v>2</v>
      </c>
      <c r="BH691" s="694">
        <f t="shared" ref="BH691:BH714" si="24">BG691/$BG$715</f>
        <v>4.2553191489361701E-2</v>
      </c>
      <c r="BI691" s="696">
        <f t="shared" ref="BI691:BI714" si="25">IF(BH691=0," ",BH691*AH707)</f>
        <v>1.7021276595744681E-2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7"/>
      <c r="H692" s="1657"/>
      <c r="I692" s="1657"/>
      <c r="J692" s="1657"/>
      <c r="K692" s="1657"/>
      <c r="L692" s="1657"/>
      <c r="O692" s="149" t="s">
        <v>892</v>
      </c>
      <c r="P692" s="1663"/>
      <c r="Q692" s="1663"/>
      <c r="R692" s="1663"/>
      <c r="U692" s="16" t="s">
        <v>711</v>
      </c>
      <c r="Z692" s="1657"/>
      <c r="AA692" s="1657"/>
      <c r="AB692" s="1657"/>
      <c r="AC692" s="1657"/>
      <c r="AD692" s="1657"/>
      <c r="AE692" s="1657"/>
      <c r="AH692" s="149" t="s">
        <v>892</v>
      </c>
      <c r="AI692" s="1663"/>
      <c r="AJ692" s="1663"/>
      <c r="AK692" s="1663"/>
      <c r="AM692" s="75"/>
      <c r="BA692" s="75">
        <f t="shared" si="22"/>
        <v>1570</v>
      </c>
      <c r="BB692" s="72"/>
      <c r="BC692" s="72"/>
      <c r="BD692" s="72"/>
      <c r="BE692" s="72"/>
      <c r="BF692" s="72"/>
      <c r="BG692" s="682">
        <f t="shared" si="23"/>
        <v>5</v>
      </c>
      <c r="BH692" s="694">
        <f t="shared" si="24"/>
        <v>0.10638297872340426</v>
      </c>
      <c r="BI692" s="696">
        <f t="shared" si="25"/>
        <v>5.3191489361702128E-2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1"/>
      <c r="I693" s="1661"/>
      <c r="J693" s="1661"/>
      <c r="K693" s="1661"/>
      <c r="L693" s="1661"/>
      <c r="M693" s="1661"/>
      <c r="N693" s="1661"/>
      <c r="O693" s="1661"/>
      <c r="P693" s="1661"/>
      <c r="Q693" s="1661"/>
      <c r="R693" s="1661"/>
      <c r="U693" s="16" t="s">
        <v>908</v>
      </c>
      <c r="AA693" s="1661"/>
      <c r="AB693" s="1661"/>
      <c r="AC693" s="1661"/>
      <c r="AD693" s="1661"/>
      <c r="AE693" s="1661"/>
      <c r="AF693" s="1661"/>
      <c r="AG693" s="1661"/>
      <c r="AH693" s="1661"/>
      <c r="AI693" s="1661"/>
      <c r="AJ693" s="1661"/>
      <c r="AK693" s="1661"/>
      <c r="AM693" s="72"/>
      <c r="BA693" s="75">
        <f t="shared" si="22"/>
        <v>1812</v>
      </c>
      <c r="BB693" s="72"/>
      <c r="BC693" s="72"/>
      <c r="BD693" s="72"/>
      <c r="BE693" s="72"/>
      <c r="BF693" s="72"/>
      <c r="BG693" s="682">
        <f t="shared" si="23"/>
        <v>8</v>
      </c>
      <c r="BH693" s="694">
        <f t="shared" si="24"/>
        <v>0.1702127659574468</v>
      </c>
      <c r="BI693" s="696">
        <f t="shared" si="25"/>
        <v>0.10212765957446808</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6">
      <c r="B694" s="16" t="s">
        <v>910</v>
      </c>
      <c r="N694" s="1658" t="s">
        <v>527</v>
      </c>
      <c r="O694" s="1658"/>
      <c r="U694" s="16" t="s">
        <v>910</v>
      </c>
      <c r="AG694" s="1658" t="s">
        <v>527</v>
      </c>
      <c r="AH694" s="1658"/>
      <c r="AM694" s="72"/>
      <c r="BA694" s="75">
        <f t="shared" si="22"/>
        <v>1812</v>
      </c>
      <c r="BB694" s="72"/>
      <c r="BC694" s="72"/>
      <c r="BD694" s="72"/>
      <c r="BE694" s="72"/>
      <c r="BF694" s="72"/>
      <c r="BG694" s="682">
        <f t="shared" si="23"/>
        <v>3</v>
      </c>
      <c r="BH694" s="694">
        <f t="shared" si="24"/>
        <v>6.3829787234042548E-2</v>
      </c>
      <c r="BI694" s="696">
        <f t="shared" si="25"/>
        <v>1.9148936170212762E-2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6">
      <c r="N695" s="390"/>
      <c r="O695" s="390"/>
      <c r="P695" s="50"/>
      <c r="AG695" s="390"/>
      <c r="AH695" s="390"/>
      <c r="AM695" s="72"/>
      <c r="BA695" s="75">
        <f t="shared" si="22"/>
        <v>1812</v>
      </c>
      <c r="BB695" s="72"/>
      <c r="BC695" s="72"/>
      <c r="BD695" s="72"/>
      <c r="BE695" s="72"/>
      <c r="BF695" s="72"/>
      <c r="BG695" s="682">
        <f t="shared" si="23"/>
        <v>4</v>
      </c>
      <c r="BH695" s="694">
        <f t="shared" si="24"/>
        <v>8.5106382978723402E-2</v>
      </c>
      <c r="BI695" s="696">
        <f t="shared" si="25"/>
        <v>3.4042553191489362E-2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6">
      <c r="AM696" s="72"/>
      <c r="BA696" s="75">
        <f t="shared" si="22"/>
        <v>1812</v>
      </c>
      <c r="BB696" s="72"/>
      <c r="BC696" s="72"/>
      <c r="BD696" s="72"/>
      <c r="BE696" s="72"/>
      <c r="BF696" s="72"/>
      <c r="BG696" s="682">
        <f t="shared" si="23"/>
        <v>10</v>
      </c>
      <c r="BH696" s="694">
        <f t="shared" si="24"/>
        <v>0.21276595744680851</v>
      </c>
      <c r="BI696" s="696">
        <f t="shared" si="25"/>
        <v>0.10638297872340426</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6">
      <c r="A697" s="1688" t="s">
        <v>138</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2"/>
        <v>2022</v>
      </c>
      <c r="BB697" s="72"/>
      <c r="BC697" s="72"/>
      <c r="BD697" s="72"/>
      <c r="BE697" s="72"/>
      <c r="BF697" s="72"/>
      <c r="BG697" s="682">
        <f t="shared" si="23"/>
        <v>6</v>
      </c>
      <c r="BH697" s="694">
        <f t="shared" si="24"/>
        <v>0.1276595744680851</v>
      </c>
      <c r="BI697" s="696">
        <f t="shared" si="25"/>
        <v>7.6595744680851049E-2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6">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f t="shared" si="22"/>
        <v>2022</v>
      </c>
      <c r="BE698" s="72"/>
      <c r="BF698" s="72"/>
      <c r="BG698" s="682">
        <f t="shared" si="23"/>
        <v>1</v>
      </c>
      <c r="BH698" s="694">
        <f t="shared" si="24"/>
        <v>2.1276595744680851E-2</v>
      </c>
      <c r="BI698" s="696">
        <f t="shared" si="25"/>
        <v>6.382978723404255E-3</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6">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f t="shared" si="22"/>
        <v>2022</v>
      </c>
      <c r="BE699" s="72"/>
      <c r="BF699" s="72"/>
      <c r="BG699" s="682">
        <f t="shared" si="23"/>
        <v>2</v>
      </c>
      <c r="BH699" s="694">
        <f t="shared" si="24"/>
        <v>4.2553191489361701E-2</v>
      </c>
      <c r="BI699" s="696">
        <f t="shared" si="25"/>
        <v>1.7021276595744681E-2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
      <c r="A700" s="116" t="s">
        <v>714</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2022</v>
      </c>
      <c r="BE700" s="72"/>
      <c r="BF700" s="72"/>
      <c r="BG700" s="682">
        <f t="shared" si="23"/>
        <v>4</v>
      </c>
      <c r="BH700" s="694">
        <f t="shared" si="24"/>
        <v>8.5106382978723402E-2</v>
      </c>
      <c r="BI700" s="696">
        <f t="shared" si="25"/>
        <v>4.2553191489361701E-2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1</v>
      </c>
      <c r="BH701" s="694">
        <f t="shared" si="24"/>
        <v>2.1276595744680851E-2</v>
      </c>
      <c r="BI701" s="696">
        <f t="shared" si="25"/>
        <v>1.276595744680851E-2</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59</v>
      </c>
      <c r="C702" s="1765"/>
      <c r="D702" s="1765"/>
      <c r="E702" s="1765"/>
      <c r="F702" s="1766"/>
      <c r="G702" s="1764" t="s">
        <v>283</v>
      </c>
      <c r="H702" s="1765"/>
      <c r="I702" s="1765"/>
      <c r="J702" s="1766"/>
      <c r="K702" s="2129" t="s">
        <v>2211</v>
      </c>
      <c r="L702" s="2130"/>
      <c r="M702" s="2130"/>
      <c r="N702" s="2131"/>
      <c r="O702" s="1764" t="s">
        <v>650</v>
      </c>
      <c r="P702" s="1765"/>
      <c r="Q702" s="1765"/>
      <c r="R702" s="1765"/>
      <c r="S702" s="1766"/>
      <c r="T702" s="1764" t="s">
        <v>284</v>
      </c>
      <c r="U702" s="1765"/>
      <c r="V702" s="1765"/>
      <c r="W702" s="1765"/>
      <c r="X702" s="1766"/>
      <c r="Y702" s="1764" t="s">
        <v>285</v>
      </c>
      <c r="Z702" s="1765"/>
      <c r="AA702" s="1765"/>
      <c r="AB702" s="1766"/>
      <c r="AC702" s="1764" t="s">
        <v>286</v>
      </c>
      <c r="AD702" s="1765"/>
      <c r="AE702" s="1765"/>
      <c r="AF702" s="1765"/>
      <c r="AG702" s="1766"/>
      <c r="AH702" s="1764" t="s">
        <v>2212</v>
      </c>
      <c r="AI702" s="1765"/>
      <c r="AJ702" s="1765"/>
      <c r="AK702" s="1765"/>
      <c r="AL702" s="1766"/>
      <c r="AM702" s="1764" t="s">
        <v>2213</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6">
      <c r="A703" s="1343"/>
      <c r="B703" s="1767"/>
      <c r="C703" s="1768"/>
      <c r="D703" s="1768"/>
      <c r="E703" s="1768"/>
      <c r="F703" s="1769"/>
      <c r="G703" s="1767"/>
      <c r="H703" s="1768"/>
      <c r="I703" s="1768"/>
      <c r="J703" s="1769"/>
      <c r="K703" s="2132"/>
      <c r="L703" s="2133"/>
      <c r="M703" s="2133"/>
      <c r="N703" s="2134"/>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6">
      <c r="A704" s="327"/>
      <c r="B704" s="1767"/>
      <c r="C704" s="1768"/>
      <c r="D704" s="1768"/>
      <c r="E704" s="1768"/>
      <c r="F704" s="1769"/>
      <c r="G704" s="1767"/>
      <c r="H704" s="1768"/>
      <c r="I704" s="1768"/>
      <c r="J704" s="1769"/>
      <c r="K704" s="2132"/>
      <c r="L704" s="2133"/>
      <c r="M704" s="2133"/>
      <c r="N704" s="2134"/>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6">
      <c r="A705" s="327"/>
      <c r="B705" s="1770"/>
      <c r="C705" s="1771"/>
      <c r="D705" s="1771"/>
      <c r="E705" s="1771"/>
      <c r="F705" s="1772"/>
      <c r="G705" s="1770"/>
      <c r="H705" s="1771"/>
      <c r="I705" s="1771"/>
      <c r="J705" s="1772"/>
      <c r="K705" s="2132"/>
      <c r="L705" s="2133"/>
      <c r="M705" s="2133"/>
      <c r="N705" s="2134"/>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6">
      <c r="A706" s="327"/>
      <c r="B706" s="1785" t="s">
        <v>845</v>
      </c>
      <c r="C706" s="1786"/>
      <c r="D706" s="1786"/>
      <c r="E706" s="1786"/>
      <c r="F706" s="1787"/>
      <c r="G706" s="1782">
        <v>1</v>
      </c>
      <c r="H706" s="1783"/>
      <c r="I706" s="1783"/>
      <c r="J706" s="1784"/>
      <c r="K706" s="1789">
        <v>821</v>
      </c>
      <c r="L706" s="1790"/>
      <c r="M706" s="1790"/>
      <c r="N706" s="1791"/>
      <c r="O706" s="1792">
        <v>357</v>
      </c>
      <c r="P706" s="1793"/>
      <c r="Q706" s="1793"/>
      <c r="R706" s="1793"/>
      <c r="S706" s="1794"/>
      <c r="T706" s="1795">
        <f t="shared" ref="T706:T730" si="26">G706*O706</f>
        <v>357</v>
      </c>
      <c r="U706" s="1796"/>
      <c r="V706" s="1796"/>
      <c r="W706" s="1796"/>
      <c r="X706" s="1797"/>
      <c r="Y706" s="1792">
        <v>114</v>
      </c>
      <c r="Z706" s="1793"/>
      <c r="AA706" s="1793"/>
      <c r="AB706" s="1794"/>
      <c r="AC706" s="1795">
        <f t="shared" ref="AC706:AC730" si="27">O706+Y706</f>
        <v>471</v>
      </c>
      <c r="AD706" s="1796"/>
      <c r="AE706" s="1796"/>
      <c r="AF706" s="1796"/>
      <c r="AG706" s="1797"/>
      <c r="AH706" s="1942">
        <v>0.3</v>
      </c>
      <c r="AI706" s="1943"/>
      <c r="AJ706" s="1943"/>
      <c r="AK706" s="1943"/>
      <c r="AL706" s="1944"/>
      <c r="AM706" s="2135">
        <f>IF($AH706&gt;0,($AC706/$BA689)," ")</f>
        <v>0.3</v>
      </c>
      <c r="AN706" s="2136"/>
      <c r="AO706" s="2137"/>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6">
      <c r="A707" s="327"/>
      <c r="B707" s="1785" t="s">
        <v>845</v>
      </c>
      <c r="C707" s="1786"/>
      <c r="D707" s="1786"/>
      <c r="E707" s="1786"/>
      <c r="F707" s="1787"/>
      <c r="G707" s="1782">
        <v>2</v>
      </c>
      <c r="H707" s="1783"/>
      <c r="I707" s="1783"/>
      <c r="J707" s="1784"/>
      <c r="K707" s="1789">
        <v>821</v>
      </c>
      <c r="L707" s="1790"/>
      <c r="M707" s="1790"/>
      <c r="N707" s="1791"/>
      <c r="O707" s="1792">
        <v>514</v>
      </c>
      <c r="P707" s="1793"/>
      <c r="Q707" s="1793"/>
      <c r="R707" s="1793"/>
      <c r="S707" s="1794"/>
      <c r="T707" s="1795">
        <f t="shared" si="26"/>
        <v>1028</v>
      </c>
      <c r="U707" s="1796"/>
      <c r="V707" s="1796"/>
      <c r="W707" s="1796"/>
      <c r="X707" s="1797"/>
      <c r="Y707" s="1792">
        <v>114</v>
      </c>
      <c r="Z707" s="1793"/>
      <c r="AA707" s="1793"/>
      <c r="AB707" s="1794"/>
      <c r="AC707" s="1795">
        <f t="shared" si="27"/>
        <v>628</v>
      </c>
      <c r="AD707" s="1796"/>
      <c r="AE707" s="1796"/>
      <c r="AF707" s="1796"/>
      <c r="AG707" s="1797"/>
      <c r="AH707" s="1810">
        <v>0.4</v>
      </c>
      <c r="AI707" s="1811"/>
      <c r="AJ707" s="1811"/>
      <c r="AK707" s="1811"/>
      <c r="AL707" s="1812"/>
      <c r="AM707" s="2135">
        <f t="shared" ref="AM707:AM730" si="28">IF($AH707&gt;0,($AC707/$BA690), " ")</f>
        <v>0.4</v>
      </c>
      <c r="AN707" s="2136"/>
      <c r="AO707" s="2137"/>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6">
      <c r="A708" s="327"/>
      <c r="B708" s="1785" t="s">
        <v>845</v>
      </c>
      <c r="C708" s="1786"/>
      <c r="D708" s="1786"/>
      <c r="E708" s="1786"/>
      <c r="F708" s="1787"/>
      <c r="G708" s="1782">
        <v>5</v>
      </c>
      <c r="H708" s="1783"/>
      <c r="I708" s="1783"/>
      <c r="J708" s="1784"/>
      <c r="K708" s="1789">
        <v>821</v>
      </c>
      <c r="L708" s="1790"/>
      <c r="M708" s="1790"/>
      <c r="N708" s="1791"/>
      <c r="O708" s="1792">
        <v>671</v>
      </c>
      <c r="P708" s="1793"/>
      <c r="Q708" s="1793"/>
      <c r="R708" s="1793"/>
      <c r="S708" s="1794"/>
      <c r="T708" s="1795">
        <f t="shared" si="26"/>
        <v>3355</v>
      </c>
      <c r="U708" s="1796"/>
      <c r="V708" s="1796"/>
      <c r="W708" s="1796"/>
      <c r="X708" s="1797"/>
      <c r="Y708" s="1792">
        <v>114</v>
      </c>
      <c r="Z708" s="1793"/>
      <c r="AA708" s="1793"/>
      <c r="AB708" s="1794"/>
      <c r="AC708" s="1795">
        <f t="shared" si="27"/>
        <v>785</v>
      </c>
      <c r="AD708" s="1796"/>
      <c r="AE708" s="1796"/>
      <c r="AF708" s="1796"/>
      <c r="AG708" s="1797"/>
      <c r="AH708" s="1810">
        <v>0.5</v>
      </c>
      <c r="AI708" s="1811"/>
      <c r="AJ708" s="1811"/>
      <c r="AK708" s="1811"/>
      <c r="AL708" s="1812"/>
      <c r="AM708" s="2135">
        <f t="shared" si="28"/>
        <v>0.5</v>
      </c>
      <c r="AN708" s="2136"/>
      <c r="AO708" s="2137"/>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6">
      <c r="A709" s="1343"/>
      <c r="B709" s="1785" t="s">
        <v>845</v>
      </c>
      <c r="C709" s="1786"/>
      <c r="D709" s="1786"/>
      <c r="E709" s="1786"/>
      <c r="F709" s="1787"/>
      <c r="G709" s="1782">
        <v>8</v>
      </c>
      <c r="H709" s="1783"/>
      <c r="I709" s="1783"/>
      <c r="J709" s="1784"/>
      <c r="K709" s="1789">
        <v>821</v>
      </c>
      <c r="L709" s="1790"/>
      <c r="M709" s="1790"/>
      <c r="N709" s="1791"/>
      <c r="O709" s="1792">
        <v>828</v>
      </c>
      <c r="P709" s="1793"/>
      <c r="Q709" s="1793"/>
      <c r="R709" s="1793"/>
      <c r="S709" s="1794"/>
      <c r="T709" s="1795">
        <f t="shared" si="26"/>
        <v>6624</v>
      </c>
      <c r="U709" s="1796"/>
      <c r="V709" s="1796"/>
      <c r="W709" s="1796"/>
      <c r="X709" s="1797"/>
      <c r="Y709" s="1792">
        <v>114</v>
      </c>
      <c r="Z709" s="1793"/>
      <c r="AA709" s="1793"/>
      <c r="AB709" s="1794"/>
      <c r="AC709" s="1795">
        <f t="shared" si="27"/>
        <v>942</v>
      </c>
      <c r="AD709" s="1796"/>
      <c r="AE709" s="1796"/>
      <c r="AF709" s="1796"/>
      <c r="AG709" s="1797"/>
      <c r="AH709" s="1810">
        <v>0.6</v>
      </c>
      <c r="AI709" s="1811"/>
      <c r="AJ709" s="1811"/>
      <c r="AK709" s="1811"/>
      <c r="AL709" s="1812"/>
      <c r="AM709" s="2135">
        <f t="shared" si="28"/>
        <v>0.6</v>
      </c>
      <c r="AN709" s="2136"/>
      <c r="AO709" s="2137"/>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6">
      <c r="A710" s="1343"/>
      <c r="B710" s="1785" t="s">
        <v>846</v>
      </c>
      <c r="C710" s="1786"/>
      <c r="D710" s="1786"/>
      <c r="E710" s="1786"/>
      <c r="F710" s="1787"/>
      <c r="G710" s="1782">
        <v>3</v>
      </c>
      <c r="H710" s="1783"/>
      <c r="I710" s="1783"/>
      <c r="J710" s="1784"/>
      <c r="K710" s="1789">
        <v>1022</v>
      </c>
      <c r="L710" s="1790"/>
      <c r="M710" s="1790"/>
      <c r="N710" s="1791"/>
      <c r="O710" s="1792">
        <v>407</v>
      </c>
      <c r="P710" s="1793"/>
      <c r="Q710" s="1793"/>
      <c r="R710" s="1793"/>
      <c r="S710" s="1794"/>
      <c r="T710" s="1795">
        <f t="shared" si="26"/>
        <v>1221</v>
      </c>
      <c r="U710" s="1796"/>
      <c r="V710" s="1796"/>
      <c r="W710" s="1796"/>
      <c r="X710" s="1797"/>
      <c r="Y710" s="1792">
        <v>136</v>
      </c>
      <c r="Z710" s="1793"/>
      <c r="AA710" s="1793"/>
      <c r="AB710" s="1794"/>
      <c r="AC710" s="1795">
        <f t="shared" si="27"/>
        <v>543</v>
      </c>
      <c r="AD710" s="1796"/>
      <c r="AE710" s="1796"/>
      <c r="AF710" s="1796"/>
      <c r="AG710" s="1797"/>
      <c r="AH710" s="1810">
        <v>0.3</v>
      </c>
      <c r="AI710" s="1811"/>
      <c r="AJ710" s="1811"/>
      <c r="AK710" s="1811"/>
      <c r="AL710" s="1812"/>
      <c r="AM710" s="2135">
        <f t="shared" si="28"/>
        <v>0.29966887417218541</v>
      </c>
      <c r="AN710" s="2136"/>
      <c r="AO710" s="2137"/>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6">
      <c r="A711" s="1343"/>
      <c r="B711" s="1785" t="s">
        <v>846</v>
      </c>
      <c r="C711" s="1786"/>
      <c r="D711" s="1786"/>
      <c r="E711" s="1786"/>
      <c r="F711" s="1787"/>
      <c r="G711" s="1782">
        <v>4</v>
      </c>
      <c r="H711" s="1783"/>
      <c r="I711" s="1783"/>
      <c r="J711" s="1784"/>
      <c r="K711" s="1789">
        <v>1022</v>
      </c>
      <c r="L711" s="1790"/>
      <c r="M711" s="1790"/>
      <c r="N711" s="1791"/>
      <c r="O711" s="1792">
        <v>589</v>
      </c>
      <c r="P711" s="1793"/>
      <c r="Q711" s="1793"/>
      <c r="R711" s="1793"/>
      <c r="S711" s="1794"/>
      <c r="T711" s="1795">
        <f t="shared" si="26"/>
        <v>2356</v>
      </c>
      <c r="U711" s="1796"/>
      <c r="V711" s="1796"/>
      <c r="W711" s="1796"/>
      <c r="X711" s="1797"/>
      <c r="Y711" s="1792">
        <v>136</v>
      </c>
      <c r="Z711" s="1793"/>
      <c r="AA711" s="1793"/>
      <c r="AB711" s="1794"/>
      <c r="AC711" s="1795">
        <f t="shared" si="27"/>
        <v>725</v>
      </c>
      <c r="AD711" s="1796"/>
      <c r="AE711" s="1796"/>
      <c r="AF711" s="1796"/>
      <c r="AG711" s="1797"/>
      <c r="AH711" s="1810">
        <v>0.4</v>
      </c>
      <c r="AI711" s="1811"/>
      <c r="AJ711" s="1811"/>
      <c r="AK711" s="1811"/>
      <c r="AL711" s="1812"/>
      <c r="AM711" s="2135">
        <f t="shared" si="28"/>
        <v>0.40011037527593818</v>
      </c>
      <c r="AN711" s="2136"/>
      <c r="AO711" s="2137"/>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6">
      <c r="A712" s="1343"/>
      <c r="B712" s="1785" t="s">
        <v>846</v>
      </c>
      <c r="C712" s="1786"/>
      <c r="D712" s="1786"/>
      <c r="E712" s="1786"/>
      <c r="F712" s="1787"/>
      <c r="G712" s="1782">
        <v>10</v>
      </c>
      <c r="H712" s="1783"/>
      <c r="I712" s="1783"/>
      <c r="J712" s="1784"/>
      <c r="K712" s="1789">
        <v>1022</v>
      </c>
      <c r="L712" s="1790"/>
      <c r="M712" s="1790"/>
      <c r="N712" s="1791"/>
      <c r="O712" s="1792">
        <v>770</v>
      </c>
      <c r="P712" s="1793"/>
      <c r="Q712" s="1793"/>
      <c r="R712" s="1793"/>
      <c r="S712" s="1794"/>
      <c r="T712" s="1795">
        <f t="shared" si="26"/>
        <v>7700</v>
      </c>
      <c r="U712" s="1796"/>
      <c r="V712" s="1796"/>
      <c r="W712" s="1796"/>
      <c r="X712" s="1797"/>
      <c r="Y712" s="1792">
        <v>136</v>
      </c>
      <c r="Z712" s="1793"/>
      <c r="AA712" s="1793"/>
      <c r="AB712" s="1794"/>
      <c r="AC712" s="1795">
        <f t="shared" si="27"/>
        <v>906</v>
      </c>
      <c r="AD712" s="1796"/>
      <c r="AE712" s="1796"/>
      <c r="AF712" s="1796"/>
      <c r="AG712" s="1797"/>
      <c r="AH712" s="1810">
        <v>0.5</v>
      </c>
      <c r="AI712" s="1811"/>
      <c r="AJ712" s="1811"/>
      <c r="AK712" s="1811"/>
      <c r="AL712" s="1812"/>
      <c r="AM712" s="2135">
        <f t="shared" si="28"/>
        <v>0.5</v>
      </c>
      <c r="AN712" s="2136"/>
      <c r="AO712" s="2137"/>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6">
      <c r="A713" s="1343"/>
      <c r="B713" s="1785" t="s">
        <v>846</v>
      </c>
      <c r="C713" s="1786"/>
      <c r="D713" s="1786"/>
      <c r="E713" s="1786"/>
      <c r="F713" s="1787"/>
      <c r="G713" s="1782">
        <v>6</v>
      </c>
      <c r="H713" s="1783"/>
      <c r="I713" s="1783"/>
      <c r="J713" s="1784"/>
      <c r="K713" s="1789">
        <v>1022</v>
      </c>
      <c r="L713" s="1790"/>
      <c r="M713" s="1790"/>
      <c r="N713" s="1791"/>
      <c r="O713" s="1792">
        <v>951</v>
      </c>
      <c r="P713" s="1793"/>
      <c r="Q713" s="1793"/>
      <c r="R713" s="1793"/>
      <c r="S713" s="1794"/>
      <c r="T713" s="1795">
        <f t="shared" si="26"/>
        <v>5706</v>
      </c>
      <c r="U713" s="1796"/>
      <c r="V713" s="1796"/>
      <c r="W713" s="1796"/>
      <c r="X713" s="1797"/>
      <c r="Y713" s="1792">
        <v>136</v>
      </c>
      <c r="Z713" s="1793"/>
      <c r="AA713" s="1793"/>
      <c r="AB713" s="1794"/>
      <c r="AC713" s="1795">
        <f t="shared" si="27"/>
        <v>1087</v>
      </c>
      <c r="AD713" s="1796"/>
      <c r="AE713" s="1796"/>
      <c r="AF713" s="1796"/>
      <c r="AG713" s="1797"/>
      <c r="AH713" s="1810">
        <v>0.6</v>
      </c>
      <c r="AI713" s="1811"/>
      <c r="AJ713" s="1811"/>
      <c r="AK713" s="1811"/>
      <c r="AL713" s="1812"/>
      <c r="AM713" s="2135">
        <f t="shared" si="28"/>
        <v>0.59988962472406182</v>
      </c>
      <c r="AN713" s="2136"/>
      <c r="AO713" s="2137"/>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6">
      <c r="A714" s="1343"/>
      <c r="B714" s="1785" t="s">
        <v>847</v>
      </c>
      <c r="C714" s="1786"/>
      <c r="D714" s="1786"/>
      <c r="E714" s="1786"/>
      <c r="F714" s="1787"/>
      <c r="G714" s="1782">
        <v>1</v>
      </c>
      <c r="H714" s="1783"/>
      <c r="I714" s="1783"/>
      <c r="J714" s="1784"/>
      <c r="K714" s="1789">
        <v>1217</v>
      </c>
      <c r="L714" s="1790"/>
      <c r="M714" s="1790"/>
      <c r="N714" s="1791"/>
      <c r="O714" s="1792">
        <v>451</v>
      </c>
      <c r="P714" s="1793"/>
      <c r="Q714" s="1793"/>
      <c r="R714" s="1793"/>
      <c r="S714" s="1794"/>
      <c r="T714" s="1795">
        <f t="shared" si="26"/>
        <v>451</v>
      </c>
      <c r="U714" s="1796"/>
      <c r="V714" s="1796"/>
      <c r="W714" s="1796"/>
      <c r="X714" s="1797"/>
      <c r="Y714" s="1792">
        <v>155</v>
      </c>
      <c r="Z714" s="1793"/>
      <c r="AA714" s="1793"/>
      <c r="AB714" s="1794"/>
      <c r="AC714" s="1795">
        <f t="shared" si="27"/>
        <v>606</v>
      </c>
      <c r="AD714" s="1796"/>
      <c r="AE714" s="1796"/>
      <c r="AF714" s="1796"/>
      <c r="AG714" s="1797"/>
      <c r="AH714" s="1810">
        <v>0.3</v>
      </c>
      <c r="AI714" s="1811"/>
      <c r="AJ714" s="1811"/>
      <c r="AK714" s="1811"/>
      <c r="AL714" s="1812"/>
      <c r="AM714" s="2135">
        <f t="shared" si="28"/>
        <v>0.29970326409495551</v>
      </c>
      <c r="AN714" s="2136"/>
      <c r="AO714" s="2137"/>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
      <c r="A715" s="327"/>
      <c r="B715" s="1785" t="s">
        <v>847</v>
      </c>
      <c r="C715" s="1786"/>
      <c r="D715" s="1786"/>
      <c r="E715" s="1786"/>
      <c r="F715" s="1787"/>
      <c r="G715" s="1782">
        <v>2</v>
      </c>
      <c r="H715" s="1783"/>
      <c r="I715" s="1783"/>
      <c r="J715" s="1784"/>
      <c r="K715" s="1789">
        <v>1217</v>
      </c>
      <c r="L715" s="1790"/>
      <c r="M715" s="1790"/>
      <c r="N715" s="1791"/>
      <c r="O715" s="1792">
        <v>654</v>
      </c>
      <c r="P715" s="1793"/>
      <c r="Q715" s="1793"/>
      <c r="R715" s="1793"/>
      <c r="S715" s="1794"/>
      <c r="T715" s="1795">
        <f t="shared" si="26"/>
        <v>1308</v>
      </c>
      <c r="U715" s="1796"/>
      <c r="V715" s="1796"/>
      <c r="W715" s="1796"/>
      <c r="X715" s="1797"/>
      <c r="Y715" s="1792">
        <v>155</v>
      </c>
      <c r="Z715" s="1793"/>
      <c r="AA715" s="1793"/>
      <c r="AB715" s="1794"/>
      <c r="AC715" s="1795">
        <f t="shared" si="27"/>
        <v>809</v>
      </c>
      <c r="AD715" s="1796"/>
      <c r="AE715" s="1796"/>
      <c r="AF715" s="1796"/>
      <c r="AG715" s="1797"/>
      <c r="AH715" s="1810">
        <v>0.4</v>
      </c>
      <c r="AI715" s="1811"/>
      <c r="AJ715" s="1811"/>
      <c r="AK715" s="1811"/>
      <c r="AL715" s="1812"/>
      <c r="AM715" s="2135">
        <f t="shared" si="28"/>
        <v>0.40009891196834818</v>
      </c>
      <c r="AN715" s="2136"/>
      <c r="AO715" s="2137"/>
      <c r="BA715" s="72"/>
      <c r="BB715" s="72"/>
      <c r="BC715" s="72"/>
      <c r="BD715" s="72"/>
      <c r="BE715" s="149"/>
      <c r="BF715" s="147" t="s">
        <v>953</v>
      </c>
      <c r="BG715" s="697">
        <f>SUM(BG690:BG714)</f>
        <v>47</v>
      </c>
      <c r="BH715" s="698">
        <f>SUM(BH690:BH714)</f>
        <v>1</v>
      </c>
      <c r="BI715" s="698">
        <f>SUM(BI690:BI714)</f>
        <v>0.49361702127659579</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6">
      <c r="A716" s="327"/>
      <c r="B716" s="1785" t="s">
        <v>847</v>
      </c>
      <c r="C716" s="1786"/>
      <c r="D716" s="1786"/>
      <c r="E716" s="1786"/>
      <c r="F716" s="1787"/>
      <c r="G716" s="1782">
        <v>4</v>
      </c>
      <c r="H716" s="1783"/>
      <c r="I716" s="1783"/>
      <c r="J716" s="1784"/>
      <c r="K716" s="1789">
        <v>1217</v>
      </c>
      <c r="L716" s="1790"/>
      <c r="M716" s="1790"/>
      <c r="N716" s="1791"/>
      <c r="O716" s="1792">
        <v>856</v>
      </c>
      <c r="P716" s="1793"/>
      <c r="Q716" s="1793"/>
      <c r="R716" s="1793"/>
      <c r="S716" s="1794"/>
      <c r="T716" s="1795">
        <f t="shared" si="26"/>
        <v>3424</v>
      </c>
      <c r="U716" s="1796"/>
      <c r="V716" s="1796"/>
      <c r="W716" s="1796"/>
      <c r="X716" s="1797"/>
      <c r="Y716" s="1792">
        <v>155</v>
      </c>
      <c r="Z716" s="1793"/>
      <c r="AA716" s="1793"/>
      <c r="AB716" s="1794"/>
      <c r="AC716" s="1795">
        <f t="shared" si="27"/>
        <v>1011</v>
      </c>
      <c r="AD716" s="1796"/>
      <c r="AE716" s="1796"/>
      <c r="AF716" s="1796"/>
      <c r="AG716" s="1797"/>
      <c r="AH716" s="1810">
        <v>0.5</v>
      </c>
      <c r="AI716" s="1811"/>
      <c r="AJ716" s="1811"/>
      <c r="AK716" s="1811"/>
      <c r="AL716" s="1812"/>
      <c r="AM716" s="2135">
        <f t="shared" si="28"/>
        <v>0.5</v>
      </c>
      <c r="AN716" s="2136"/>
      <c r="AO716" s="2137"/>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6">
      <c r="A717" s="327"/>
      <c r="B717" s="1785" t="s">
        <v>847</v>
      </c>
      <c r="C717" s="1786"/>
      <c r="D717" s="1786"/>
      <c r="E717" s="1786"/>
      <c r="F717" s="1787"/>
      <c r="G717" s="1782">
        <v>1</v>
      </c>
      <c r="H717" s="1783"/>
      <c r="I717" s="1783"/>
      <c r="J717" s="1784"/>
      <c r="K717" s="1789">
        <v>1217</v>
      </c>
      <c r="L717" s="1790"/>
      <c r="M717" s="1790"/>
      <c r="N717" s="1791"/>
      <c r="O717" s="1792">
        <v>1058</v>
      </c>
      <c r="P717" s="1793"/>
      <c r="Q717" s="1793"/>
      <c r="R717" s="1793"/>
      <c r="S717" s="1794"/>
      <c r="T717" s="1795">
        <f t="shared" si="26"/>
        <v>1058</v>
      </c>
      <c r="U717" s="1796"/>
      <c r="V717" s="1796"/>
      <c r="W717" s="1796"/>
      <c r="X717" s="1797"/>
      <c r="Y717" s="1792">
        <v>155</v>
      </c>
      <c r="Z717" s="1793"/>
      <c r="AA717" s="1793"/>
      <c r="AB717" s="1794"/>
      <c r="AC717" s="1795">
        <f t="shared" si="27"/>
        <v>1213</v>
      </c>
      <c r="AD717" s="1796"/>
      <c r="AE717" s="1796"/>
      <c r="AF717" s="1796"/>
      <c r="AG717" s="1797"/>
      <c r="AH717" s="1810">
        <v>0.6</v>
      </c>
      <c r="AI717" s="1811"/>
      <c r="AJ717" s="1811"/>
      <c r="AK717" s="1811"/>
      <c r="AL717" s="1812"/>
      <c r="AM717" s="2135">
        <f t="shared" si="28"/>
        <v>0.59990108803165187</v>
      </c>
      <c r="AN717" s="2136"/>
      <c r="AO717" s="2137"/>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6">
      <c r="A718" s="1343"/>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c r="AI718" s="1811"/>
      <c r="AJ718" s="1811"/>
      <c r="AK718" s="1811"/>
      <c r="AL718" s="1812"/>
      <c r="AM718" s="2135" t="str">
        <f t="shared" si="28"/>
        <v xml:space="preserve"> </v>
      </c>
      <c r="AN718" s="2136"/>
      <c r="AO718" s="2137"/>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v>0</v>
      </c>
      <c r="AI719" s="1811"/>
      <c r="AJ719" s="1811"/>
      <c r="AK719" s="1811"/>
      <c r="AL719" s="1812"/>
      <c r="AM719" s="2135" t="str">
        <f t="shared" si="28"/>
        <v xml:space="preserve"> </v>
      </c>
      <c r="AN719" s="2136"/>
      <c r="AO719" s="2137"/>
      <c r="BA719" s="72"/>
      <c r="BB719" s="72"/>
      <c r="BC719" s="72"/>
      <c r="BD719" s="72"/>
      <c r="BE719" s="72"/>
      <c r="BF719" s="72"/>
      <c r="BG719" s="1401" t="s">
        <v>2214</v>
      </c>
      <c r="BH719" s="1402"/>
      <c r="BI719" s="1402"/>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6">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v>0</v>
      </c>
      <c r="AI720" s="1811"/>
      <c r="AJ720" s="1811"/>
      <c r="AK720" s="1811"/>
      <c r="AL720" s="1812"/>
      <c r="AM720" s="2135" t="str">
        <f t="shared" si="28"/>
        <v xml:space="preserve"> </v>
      </c>
      <c r="AN720" s="2136"/>
      <c r="AO720" s="2137"/>
      <c r="BA720" s="72"/>
      <c r="BB720" s="72"/>
      <c r="BC720" s="72"/>
      <c r="BD720" s="72"/>
      <c r="BE720" s="72"/>
      <c r="BF720" s="72"/>
      <c r="BG720" s="1403" t="s">
        <v>1228</v>
      </c>
      <c r="BH720" s="1404" t="s">
        <v>1229</v>
      </c>
      <c r="BI720" s="1405"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6">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v>0</v>
      </c>
      <c r="AI721" s="1811"/>
      <c r="AJ721" s="1811"/>
      <c r="AK721" s="1811"/>
      <c r="AL721" s="1812"/>
      <c r="AM721" s="2135" t="str">
        <f t="shared" si="28"/>
        <v xml:space="preserve"> </v>
      </c>
      <c r="AN721" s="2136"/>
      <c r="AO721" s="2137"/>
      <c r="BA721" s="72"/>
      <c r="BB721" s="72"/>
      <c r="BC721" s="72"/>
      <c r="BD721" s="72"/>
      <c r="BE721" s="72"/>
      <c r="BF721" s="72"/>
      <c r="BG721" s="1406">
        <f>G706</f>
        <v>1</v>
      </c>
      <c r="BH721" s="1410">
        <f>BG721/$BG$746</f>
        <v>2.1276595744680851E-2</v>
      </c>
      <c r="BI721" s="1411">
        <f>IF(BH721=0," ",BH721*AM706)</f>
        <v>6.382978723404255E-3</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6">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v>0</v>
      </c>
      <c r="AI722" s="1811"/>
      <c r="AJ722" s="1811"/>
      <c r="AK722" s="1811"/>
      <c r="AL722" s="1812"/>
      <c r="AM722" s="2135" t="str">
        <f t="shared" si="28"/>
        <v xml:space="preserve"> </v>
      </c>
      <c r="AN722" s="2136"/>
      <c r="AO722" s="2137"/>
      <c r="BA722" s="72"/>
      <c r="BB722" s="72"/>
      <c r="BC722" s="72"/>
      <c r="BD722" s="72"/>
      <c r="BE722" s="72"/>
      <c r="BF722" s="72"/>
      <c r="BG722" s="1406">
        <f t="shared" ref="BG722:BG745" si="29">G707</f>
        <v>2</v>
      </c>
      <c r="BH722" s="1410">
        <f t="shared" ref="BH722:BH745" si="30">BG722/$BG$746</f>
        <v>4.2553191489361701E-2</v>
      </c>
      <c r="BI722" s="1411">
        <f t="shared" ref="BI722:BI745" si="31">IF(BH722=0," ",BH722*AM707)</f>
        <v>1.7021276595744681E-2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6">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v>0</v>
      </c>
      <c r="AI723" s="1811"/>
      <c r="AJ723" s="1811"/>
      <c r="AK723" s="1811"/>
      <c r="AL723" s="1812"/>
      <c r="AM723" s="2135" t="str">
        <f t="shared" si="28"/>
        <v xml:space="preserve"> </v>
      </c>
      <c r="AN723" s="2136"/>
      <c r="AO723" s="2137"/>
      <c r="BA723" s="75"/>
      <c r="BB723" s="75"/>
      <c r="BC723" s="75"/>
      <c r="BD723" s="75"/>
      <c r="BE723" s="75"/>
      <c r="BF723" s="75"/>
      <c r="BG723" s="1406">
        <f t="shared" si="29"/>
        <v>5</v>
      </c>
      <c r="BH723" s="1410">
        <f t="shared" si="30"/>
        <v>0.10638297872340426</v>
      </c>
      <c r="BI723" s="1411">
        <f t="shared" si="31"/>
        <v>5.3191489361702128E-2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6">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v>0</v>
      </c>
      <c r="AI724" s="1811"/>
      <c r="AJ724" s="1811"/>
      <c r="AK724" s="1811"/>
      <c r="AL724" s="1812"/>
      <c r="AM724" s="2135" t="str">
        <f t="shared" si="28"/>
        <v xml:space="preserve"> </v>
      </c>
      <c r="AN724" s="2136"/>
      <c r="AO724" s="2137"/>
      <c r="BA724" s="75"/>
      <c r="BB724" s="75"/>
      <c r="BC724" s="75"/>
      <c r="BD724" s="75"/>
      <c r="BE724" s="75"/>
      <c r="BF724" s="75"/>
      <c r="BG724" s="1406">
        <f t="shared" si="29"/>
        <v>8</v>
      </c>
      <c r="BH724" s="1410">
        <f t="shared" si="30"/>
        <v>0.1702127659574468</v>
      </c>
      <c r="BI724" s="1411">
        <f t="shared" si="31"/>
        <v>0.10212765957446808</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6">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v>0</v>
      </c>
      <c r="AI725" s="1811"/>
      <c r="AJ725" s="1811"/>
      <c r="AK725" s="1811"/>
      <c r="AL725" s="1812"/>
      <c r="AM725" s="2135" t="str">
        <f t="shared" si="28"/>
        <v xml:space="preserve"> </v>
      </c>
      <c r="AN725" s="2136"/>
      <c r="AO725" s="2137"/>
      <c r="BA725" s="75"/>
      <c r="BB725" s="75"/>
      <c r="BC725" s="75"/>
      <c r="BD725" s="75"/>
      <c r="BE725" s="75"/>
      <c r="BF725" s="75"/>
      <c r="BG725" s="1406">
        <f t="shared" si="29"/>
        <v>3</v>
      </c>
      <c r="BH725" s="1410">
        <f t="shared" si="30"/>
        <v>6.3829787234042548E-2</v>
      </c>
      <c r="BI725" s="1411">
        <f t="shared" si="31"/>
        <v>1.9127800479075661E-2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6">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v>0</v>
      </c>
      <c r="AI726" s="1811"/>
      <c r="AJ726" s="1811"/>
      <c r="AK726" s="1811"/>
      <c r="AL726" s="1812"/>
      <c r="AM726" s="2135" t="str">
        <f t="shared" si="28"/>
        <v xml:space="preserve"> </v>
      </c>
      <c r="AN726" s="2136"/>
      <c r="AO726" s="2137"/>
      <c r="BA726" s="75"/>
      <c r="BB726" s="75"/>
      <c r="BC726" s="75"/>
      <c r="BD726" s="75"/>
      <c r="BE726" s="75"/>
      <c r="BF726" s="75"/>
      <c r="BG726" s="1406">
        <f t="shared" si="29"/>
        <v>4</v>
      </c>
      <c r="BH726" s="1410">
        <f t="shared" si="30"/>
        <v>8.5106382978723402E-2</v>
      </c>
      <c r="BI726" s="1411">
        <f t="shared" si="31"/>
        <v>3.4051946831994737E-2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6">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v>0</v>
      </c>
      <c r="AI727" s="1811"/>
      <c r="AJ727" s="1811"/>
      <c r="AK727" s="1811"/>
      <c r="AL727" s="1812"/>
      <c r="AM727" s="2135" t="str">
        <f t="shared" si="28"/>
        <v xml:space="preserve"> </v>
      </c>
      <c r="AN727" s="2136"/>
      <c r="AO727" s="2137"/>
      <c r="BA727" s="75"/>
      <c r="BB727" s="75"/>
      <c r="BC727" s="75"/>
      <c r="BD727" s="75"/>
      <c r="BE727" s="75"/>
      <c r="BF727" s="75"/>
      <c r="BG727" s="1406">
        <f t="shared" si="29"/>
        <v>10</v>
      </c>
      <c r="BH727" s="1410">
        <f t="shared" si="30"/>
        <v>0.21276595744680851</v>
      </c>
      <c r="BI727" s="1411">
        <f t="shared" si="31"/>
        <v>0.10638297872340426</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v>0</v>
      </c>
      <c r="AI728" s="1811"/>
      <c r="AJ728" s="1811"/>
      <c r="AK728" s="1811"/>
      <c r="AL728" s="1812"/>
      <c r="AM728" s="2135" t="str">
        <f t="shared" si="28"/>
        <v xml:space="preserve"> </v>
      </c>
      <c r="AN728" s="2136"/>
      <c r="AO728" s="2137"/>
      <c r="BA728" s="62"/>
      <c r="BB728" s="326"/>
      <c r="BC728" s="326"/>
      <c r="BD728" s="326"/>
      <c r="BE728" s="781"/>
      <c r="BF728" s="781"/>
      <c r="BG728" s="1406">
        <f t="shared" si="29"/>
        <v>6</v>
      </c>
      <c r="BH728" s="1410">
        <f t="shared" si="30"/>
        <v>0.1276595744680851</v>
      </c>
      <c r="BI728" s="1411">
        <f t="shared" si="31"/>
        <v>7.6581654220092998E-2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6">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v>0</v>
      </c>
      <c r="AI729" s="1811"/>
      <c r="AJ729" s="1811"/>
      <c r="AK729" s="1811"/>
      <c r="AL729" s="1812"/>
      <c r="AM729" s="2135" t="str">
        <f t="shared" si="28"/>
        <v xml:space="preserve"> </v>
      </c>
      <c r="AN729" s="2136"/>
      <c r="AO729" s="2137"/>
      <c r="BA729" s="326"/>
      <c r="BB729" s="326"/>
      <c r="BC729" s="326"/>
      <c r="BD729" s="326"/>
      <c r="BE729" s="781"/>
      <c r="BF729" s="781"/>
      <c r="BG729" s="1406">
        <f t="shared" si="29"/>
        <v>1</v>
      </c>
      <c r="BH729" s="1410">
        <f t="shared" si="30"/>
        <v>2.1276595744680851E-2</v>
      </c>
      <c r="BI729" s="1411">
        <f t="shared" si="31"/>
        <v>6.3766651935096919E-3</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6">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v>0</v>
      </c>
      <c r="AI730" s="1811"/>
      <c r="AJ730" s="1811"/>
      <c r="AK730" s="1811"/>
      <c r="AL730" s="1812"/>
      <c r="AM730" s="2135" t="str">
        <f t="shared" si="28"/>
        <v xml:space="preserve"> </v>
      </c>
      <c r="AN730" s="2136"/>
      <c r="AO730" s="2137"/>
      <c r="BA730" s="326"/>
      <c r="BB730" s="326"/>
      <c r="BC730" s="326"/>
      <c r="BD730" s="326"/>
      <c r="BE730" s="781"/>
      <c r="BF730" s="781"/>
      <c r="BG730" s="1406">
        <f t="shared" si="29"/>
        <v>2</v>
      </c>
      <c r="BH730" s="1410">
        <f t="shared" si="30"/>
        <v>4.2553191489361701E-2</v>
      </c>
      <c r="BI730" s="1411">
        <f t="shared" si="31"/>
        <v>1.702548561567439E-2</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
      <c r="A731" s="1343"/>
      <c r="B731" s="1776" t="s">
        <v>955</v>
      </c>
      <c r="C731" s="1777"/>
      <c r="D731" s="1777"/>
      <c r="E731" s="1777"/>
      <c r="F731" s="1778"/>
      <c r="G731" s="1773">
        <f>SUM(G706:J730)</f>
        <v>47</v>
      </c>
      <c r="H731" s="1774"/>
      <c r="I731" s="1774"/>
      <c r="J731" s="1775"/>
      <c r="K731" s="1343"/>
      <c r="L731" s="1343"/>
      <c r="M731" s="1343"/>
      <c r="N731" s="1343"/>
      <c r="O731" s="661" t="s">
        <v>954</v>
      </c>
      <c r="P731" s="662"/>
      <c r="Q731" s="662"/>
      <c r="R731" s="662"/>
      <c r="S731" s="1396"/>
      <c r="T731" s="1795">
        <f>SUM(T706:X730)</f>
        <v>34588</v>
      </c>
      <c r="U731" s="1796"/>
      <c r="V731" s="1796"/>
      <c r="W731" s="1796"/>
      <c r="X731" s="1797"/>
      <c r="Y731" s="1343"/>
      <c r="Z731" s="1343"/>
      <c r="AA731" s="1343"/>
      <c r="AB731" s="1343"/>
      <c r="AC731" s="1397" t="s">
        <v>1231</v>
      </c>
      <c r="AD731" s="1398"/>
      <c r="AE731" s="1398"/>
      <c r="AF731" s="1398"/>
      <c r="AG731" s="1399"/>
      <c r="AH731" s="2138">
        <f>BI715</f>
        <v>0.49361702127659579</v>
      </c>
      <c r="AI731" s="2139"/>
      <c r="AJ731" s="2139"/>
      <c r="AK731" s="2139"/>
      <c r="AL731" s="2140"/>
      <c r="AM731" s="2138">
        <f>BI746</f>
        <v>0.49358697974527627</v>
      </c>
      <c r="AN731" s="2139"/>
      <c r="AO731" s="2140"/>
      <c r="BA731" s="326"/>
      <c r="BB731" s="326"/>
      <c r="BC731" s="326"/>
      <c r="BD731" s="326"/>
      <c r="BE731" s="781"/>
      <c r="BF731" s="781"/>
      <c r="BG731" s="1406">
        <f t="shared" si="29"/>
        <v>4</v>
      </c>
      <c r="BH731" s="1410">
        <f t="shared" si="30"/>
        <v>8.5106382978723402E-2</v>
      </c>
      <c r="BI731" s="1411">
        <f t="shared" si="31"/>
        <v>4.2553191489361701E-2</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
      <c r="B732" s="103"/>
      <c r="C732" s="1941" t="s">
        <v>2288</v>
      </c>
      <c r="D732" s="1941"/>
      <c r="E732" s="1941"/>
      <c r="F732" s="1941"/>
      <c r="G732" s="1941"/>
      <c r="H732" s="1941"/>
      <c r="I732" s="1941"/>
      <c r="J732" s="1941"/>
      <c r="K732" s="1941"/>
      <c r="L732" s="1941"/>
      <c r="M732" s="1941"/>
      <c r="N732" s="1941"/>
      <c r="O732" s="1941"/>
      <c r="P732" s="1941"/>
      <c r="Q732" s="1941"/>
      <c r="R732" s="1941"/>
      <c r="S732" s="1941"/>
      <c r="T732" s="1941"/>
      <c r="U732" s="1941"/>
      <c r="V732" s="1941"/>
      <c r="W732" s="1941"/>
      <c r="X732" s="1941"/>
      <c r="Y732" s="1941"/>
      <c r="Z732" s="1941"/>
      <c r="AA732" s="1941"/>
      <c r="AB732" s="1941"/>
      <c r="AC732" s="1941"/>
      <c r="AD732" s="1941"/>
      <c r="AE732" s="1941"/>
      <c r="AF732" s="1941"/>
      <c r="AG732" s="1941"/>
      <c r="AH732" s="1941"/>
      <c r="AL732" s="72"/>
      <c r="AM732" s="781"/>
      <c r="BA732" s="72"/>
      <c r="BB732" s="72"/>
      <c r="BC732" s="72"/>
      <c r="BD732" s="72"/>
      <c r="BE732" s="72"/>
      <c r="BF732" s="72"/>
      <c r="BG732" s="1406">
        <f t="shared" si="29"/>
        <v>1</v>
      </c>
      <c r="BH732" s="1410">
        <f t="shared" si="30"/>
        <v>2.1276595744680851E-2</v>
      </c>
      <c r="BI732" s="1411">
        <f t="shared" si="31"/>
        <v>1.2763852936843657E-2</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6">
      <c r="C733" s="1941"/>
      <c r="D733" s="1941"/>
      <c r="E733" s="1941"/>
      <c r="F733" s="1941"/>
      <c r="G733" s="1941"/>
      <c r="H733" s="1941"/>
      <c r="I733" s="1941"/>
      <c r="J733" s="1941"/>
      <c r="K733" s="1941"/>
      <c r="L733" s="1941"/>
      <c r="M733" s="1941"/>
      <c r="N733" s="1941"/>
      <c r="O733" s="1941"/>
      <c r="P733" s="1941"/>
      <c r="Q733" s="1941"/>
      <c r="R733" s="1941"/>
      <c r="S733" s="1941"/>
      <c r="T733" s="1941"/>
      <c r="U733" s="1941"/>
      <c r="V733" s="1941"/>
      <c r="W733" s="1941"/>
      <c r="X733" s="1941"/>
      <c r="Y733" s="1941"/>
      <c r="Z733" s="1941"/>
      <c r="AA733" s="1941"/>
      <c r="AB733" s="1941"/>
      <c r="AC733" s="1941"/>
      <c r="AD733" s="1941"/>
      <c r="AE733" s="1941"/>
      <c r="AF733" s="1941"/>
      <c r="AG733" s="1941"/>
      <c r="AH733" s="1941"/>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6">
      <c r="C734" s="1494" t="s">
        <v>2289</v>
      </c>
      <c r="D734" s="1497"/>
      <c r="E734" s="1497"/>
      <c r="F734" s="1497"/>
      <c r="G734" s="1498"/>
      <c r="H734" s="1498"/>
      <c r="I734" s="1498"/>
      <c r="J734" s="1498"/>
      <c r="K734" s="1497"/>
      <c r="L734" s="1497"/>
      <c r="M734" s="1497"/>
      <c r="N734" s="1497"/>
      <c r="O734" s="1800">
        <f>CQ629</f>
        <v>133</v>
      </c>
      <c r="P734" s="1800"/>
      <c r="Q734" s="1800"/>
      <c r="R734" s="1800"/>
      <c r="S734" s="1499"/>
      <c r="T734" s="1499"/>
      <c r="U734" s="1494" t="s">
        <v>2290</v>
      </c>
      <c r="V734" s="1497"/>
      <c r="W734" s="1497"/>
      <c r="X734" s="1497"/>
      <c r="Y734" s="1498"/>
      <c r="Z734" s="1498"/>
      <c r="AA734" s="1498"/>
      <c r="AB734" s="1498"/>
      <c r="AC734" s="1497"/>
      <c r="AD734" s="1497"/>
      <c r="AE734" s="1497"/>
      <c r="AF734" s="1497"/>
      <c r="AG734" s="1801"/>
      <c r="AH734" s="1801"/>
      <c r="AI734" s="1801"/>
      <c r="AJ734" s="180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
      <c r="B736" s="1500" t="s">
        <v>2287</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4" t="s">
        <v>135</v>
      </c>
      <c r="AA736" s="2144"/>
      <c r="AB736" s="2144"/>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6">
      <c r="B737" s="1799" t="s">
        <v>2286</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798" t="s">
        <v>1656</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47</v>
      </c>
      <c r="BH746" s="1408">
        <f>SUM(BH721:BH745)</f>
        <v>1</v>
      </c>
      <c r="BI746" s="1408">
        <f>SUM(BI721:BI745)</f>
        <v>0.49358697974527627</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59</v>
      </c>
      <c r="K748" s="1765"/>
      <c r="L748" s="1765"/>
      <c r="M748" s="1765"/>
      <c r="N748" s="1766"/>
      <c r="O748" s="1809" t="s">
        <v>283</v>
      </c>
      <c r="P748" s="1809"/>
      <c r="Q748" s="1809"/>
      <c r="R748" s="1809"/>
      <c r="S748" s="1809"/>
      <c r="T748" s="2129" t="s">
        <v>2211</v>
      </c>
      <c r="U748" s="2130"/>
      <c r="V748" s="2130"/>
      <c r="W748" s="2131"/>
      <c r="X748" s="1764" t="s">
        <v>650</v>
      </c>
      <c r="Y748" s="1765"/>
      <c r="Z748" s="1765"/>
      <c r="AA748" s="1765"/>
      <c r="AB748" s="1766"/>
      <c r="AC748" s="1764" t="s">
        <v>284</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6">
      <c r="J749" s="1767"/>
      <c r="K749" s="1768"/>
      <c r="L749" s="1768"/>
      <c r="M749" s="1768"/>
      <c r="N749" s="1769"/>
      <c r="O749" s="1809"/>
      <c r="P749" s="1809"/>
      <c r="Q749" s="1809"/>
      <c r="R749" s="1809"/>
      <c r="S749" s="1809"/>
      <c r="T749" s="2132"/>
      <c r="U749" s="2133"/>
      <c r="V749" s="2133"/>
      <c r="W749" s="2134"/>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
      <c r="J750" s="1767"/>
      <c r="K750" s="1768"/>
      <c r="L750" s="1768"/>
      <c r="M750" s="1768"/>
      <c r="N750" s="1769"/>
      <c r="O750" s="1809"/>
      <c r="P750" s="1809"/>
      <c r="Q750" s="1809"/>
      <c r="R750" s="1809"/>
      <c r="S750" s="1809"/>
      <c r="T750" s="2132"/>
      <c r="U750" s="2133"/>
      <c r="V750" s="2133"/>
      <c r="W750" s="2134"/>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
      <c r="J751" s="1770"/>
      <c r="K751" s="1771"/>
      <c r="L751" s="1771"/>
      <c r="M751" s="1771"/>
      <c r="N751" s="1772"/>
      <c r="O751" s="1809"/>
      <c r="P751" s="1809"/>
      <c r="Q751" s="1809"/>
      <c r="R751" s="1809"/>
      <c r="S751" s="1809"/>
      <c r="T751" s="2141"/>
      <c r="U751" s="2142"/>
      <c r="V751" s="2142"/>
      <c r="W751" s="2143"/>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6">
      <c r="J752" s="1785" t="s">
        <v>846</v>
      </c>
      <c r="K752" s="1786"/>
      <c r="L752" s="1786"/>
      <c r="M752" s="1786"/>
      <c r="N752" s="1787"/>
      <c r="O752" s="1779">
        <v>1</v>
      </c>
      <c r="P752" s="1779"/>
      <c r="Q752" s="1779"/>
      <c r="R752" s="1779"/>
      <c r="S752" s="1779"/>
      <c r="T752" s="1789">
        <v>1022</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6">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6">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6">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
      <c r="J756" s="1776" t="s">
        <v>955</v>
      </c>
      <c r="K756" s="1777"/>
      <c r="L756" s="1777"/>
      <c r="M756" s="1777"/>
      <c r="N756" s="1778"/>
      <c r="O756" s="1868">
        <f>SUM(O752:S755)</f>
        <v>1</v>
      </c>
      <c r="P756" s="1869"/>
      <c r="Q756" s="1869"/>
      <c r="R756" s="1869"/>
      <c r="S756" s="1870"/>
      <c r="X756" s="2145" t="s">
        <v>954</v>
      </c>
      <c r="Y756" s="2146"/>
      <c r="Z756" s="2146"/>
      <c r="AA756" s="2146"/>
      <c r="AB756" s="2147"/>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
      <c r="B758" s="103"/>
      <c r="C758" s="103"/>
      <c r="D758" s="103"/>
      <c r="E758" s="103"/>
      <c r="F758" s="103"/>
      <c r="G758" s="25"/>
      <c r="H758" s="25"/>
      <c r="I758" s="25"/>
      <c r="J758" s="1849" t="s">
        <v>527</v>
      </c>
      <c r="K758" s="1849"/>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59</v>
      </c>
      <c r="K762" s="1765"/>
      <c r="L762" s="1765"/>
      <c r="M762" s="1765"/>
      <c r="N762" s="1766"/>
      <c r="O762" s="1809" t="s">
        <v>283</v>
      </c>
      <c r="P762" s="1809"/>
      <c r="Q762" s="1809"/>
      <c r="R762" s="1809"/>
      <c r="S762" s="1809"/>
      <c r="T762" s="2129" t="s">
        <v>2211</v>
      </c>
      <c r="U762" s="2130"/>
      <c r="V762" s="2130"/>
      <c r="W762" s="2131"/>
      <c r="X762" s="1764" t="s">
        <v>650</v>
      </c>
      <c r="Y762" s="1765"/>
      <c r="Z762" s="1765"/>
      <c r="AA762" s="1765"/>
      <c r="AB762" s="1766"/>
      <c r="AC762" s="1764" t="s">
        <v>284</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6">
      <c r="J763" s="1767"/>
      <c r="K763" s="1768"/>
      <c r="L763" s="1768"/>
      <c r="M763" s="1768"/>
      <c r="N763" s="1769"/>
      <c r="O763" s="1809"/>
      <c r="P763" s="1809"/>
      <c r="Q763" s="1809"/>
      <c r="R763" s="1809"/>
      <c r="S763" s="1809"/>
      <c r="T763" s="2132"/>
      <c r="U763" s="2133"/>
      <c r="V763" s="2133"/>
      <c r="W763" s="2134"/>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6">
      <c r="J764" s="1767"/>
      <c r="K764" s="1768"/>
      <c r="L764" s="1768"/>
      <c r="M764" s="1768"/>
      <c r="N764" s="1769"/>
      <c r="O764" s="1809"/>
      <c r="P764" s="1809"/>
      <c r="Q764" s="1809"/>
      <c r="R764" s="1809"/>
      <c r="S764" s="1809"/>
      <c r="T764" s="2132"/>
      <c r="U764" s="2133"/>
      <c r="V764" s="2133"/>
      <c r="W764" s="2134"/>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6">
      <c r="J765" s="1770"/>
      <c r="K765" s="1771"/>
      <c r="L765" s="1771"/>
      <c r="M765" s="1771"/>
      <c r="N765" s="1772"/>
      <c r="O765" s="1809"/>
      <c r="P765" s="1809"/>
      <c r="Q765" s="1809"/>
      <c r="R765" s="1809"/>
      <c r="S765" s="1809"/>
      <c r="T765" s="2141"/>
      <c r="U765" s="2142"/>
      <c r="V765" s="2142"/>
      <c r="W765" s="2143"/>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6">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6">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6">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6">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6">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6">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6">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6">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6">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76" t="s">
        <v>955</v>
      </c>
      <c r="K776" s="1777"/>
      <c r="L776" s="1777"/>
      <c r="M776" s="1777"/>
      <c r="N776" s="1778"/>
      <c r="O776" s="1855">
        <f>SUM(O766:S775)</f>
        <v>0</v>
      </c>
      <c r="P776" s="1855"/>
      <c r="Q776" s="1855"/>
      <c r="R776" s="1855"/>
      <c r="S776" s="1855"/>
      <c r="X776" s="1412" t="s">
        <v>954</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8">
        <f>T731+AC756+AC776</f>
        <v>34588</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8">
        <f>(T731+AC756+AC776)*12</f>
        <v>415056</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2"/>
      <c r="AA784" s="1863"/>
      <c r="AB784" s="1863"/>
      <c r="AC784" s="1863"/>
      <c r="AD784" s="1863"/>
      <c r="AE784" s="186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5">
        <v>0</v>
      </c>
      <c r="AA785" s="1863"/>
      <c r="AB785" s="1863"/>
      <c r="AC785" s="1863"/>
      <c r="AD785" s="1863"/>
      <c r="AE785" s="186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3">
        <v>0</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5">
        <f>'Subsidy Contract Calculation'!I30</f>
        <v>0</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5">
        <v>4800</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5">
        <v>500</v>
      </c>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5">
        <v>500</v>
      </c>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99" t="s">
        <v>2449</v>
      </c>
      <c r="Q794" s="1700"/>
      <c r="R794" s="1700"/>
      <c r="S794" s="1700"/>
      <c r="T794" s="1700"/>
      <c r="U794" s="1700"/>
      <c r="V794" s="1700"/>
      <c r="W794" s="1700"/>
      <c r="X794" s="1700"/>
      <c r="Y794" s="1701"/>
      <c r="Z794" s="1685">
        <v>1400</v>
      </c>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2">
        <f>SUM(Z791:AE794)</f>
        <v>7200</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2">
        <f>Z795+Y779+Z787</f>
        <v>422256</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6" t="s">
        <v>956</v>
      </c>
      <c r="N801" s="2066"/>
      <c r="O801" s="2066"/>
      <c r="P801" s="2067"/>
      <c r="Q801" s="1788" t="s">
        <v>290</v>
      </c>
      <c r="R801" s="1788"/>
      <c r="S801" s="1788"/>
      <c r="T801" s="1788"/>
      <c r="U801" s="1788" t="s">
        <v>291</v>
      </c>
      <c r="V801" s="1788"/>
      <c r="W801" s="1788"/>
      <c r="X801" s="1788"/>
      <c r="Y801" s="1788" t="s">
        <v>292</v>
      </c>
      <c r="Z801" s="1788"/>
      <c r="AA801" s="1788"/>
      <c r="AB801" s="1788"/>
      <c r="AC801" s="1788" t="s">
        <v>36</v>
      </c>
      <c r="AD801" s="1788"/>
      <c r="AE801" s="1788"/>
      <c r="AF801" s="1788"/>
      <c r="AG801" s="2148" t="s">
        <v>619</v>
      </c>
      <c r="AH801" s="2148"/>
      <c r="AI801" s="2148"/>
      <c r="AJ801" s="214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8"/>
      <c r="N802" s="2068"/>
      <c r="O802" s="2068"/>
      <c r="P802" s="2069"/>
      <c r="Q802" s="1788"/>
      <c r="R802" s="1788"/>
      <c r="S802" s="1788"/>
      <c r="T802" s="1788"/>
      <c r="U802" s="1788"/>
      <c r="V802" s="1788"/>
      <c r="W802" s="1788"/>
      <c r="X802" s="1788"/>
      <c r="Y802" s="1788"/>
      <c r="Z802" s="1788"/>
      <c r="AA802" s="1788"/>
      <c r="AB802" s="1788"/>
      <c r="AC802" s="1788"/>
      <c r="AD802" s="1788"/>
      <c r="AE802" s="1788"/>
      <c r="AF802" s="1788"/>
      <c r="AG802" s="2148"/>
      <c r="AH802" s="2148"/>
      <c r="AI802" s="2148"/>
      <c r="AJ802" s="214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8" t="s">
        <v>755</v>
      </c>
      <c r="D803" s="1899"/>
      <c r="E803" s="1899"/>
      <c r="F803" s="1899"/>
      <c r="G803" s="1899"/>
      <c r="H803" s="1899"/>
      <c r="I803" s="94"/>
      <c r="J803" s="94"/>
      <c r="K803" s="94"/>
      <c r="L803" s="95"/>
      <c r="M803" s="1722"/>
      <c r="N803" s="1722"/>
      <c r="O803" s="1722"/>
      <c r="P803" s="1722"/>
      <c r="Q803" s="1722"/>
      <c r="R803" s="1722"/>
      <c r="S803" s="1722"/>
      <c r="T803" s="1722"/>
      <c r="U803" s="1722">
        <v>17</v>
      </c>
      <c r="V803" s="1722"/>
      <c r="W803" s="1722"/>
      <c r="X803" s="1722"/>
      <c r="Y803" s="1722">
        <v>22</v>
      </c>
      <c r="Z803" s="1722"/>
      <c r="AA803" s="1722"/>
      <c r="AB803" s="1722"/>
      <c r="AC803" s="1717">
        <v>25</v>
      </c>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756</v>
      </c>
      <c r="D804" s="1721"/>
      <c r="E804" s="1721"/>
      <c r="F804" s="1721"/>
      <c r="G804" s="1721"/>
      <c r="H804" s="1721"/>
      <c r="I804" s="91"/>
      <c r="J804" s="91"/>
      <c r="K804" s="91"/>
      <c r="L804" s="92"/>
      <c r="M804" s="1722"/>
      <c r="N804" s="1722"/>
      <c r="O804" s="1722"/>
      <c r="P804" s="1722"/>
      <c r="Q804" s="1722"/>
      <c r="R804" s="1722"/>
      <c r="S804" s="1722"/>
      <c r="T804" s="1722"/>
      <c r="U804" s="1722">
        <v>15</v>
      </c>
      <c r="V804" s="1722"/>
      <c r="W804" s="1722"/>
      <c r="X804" s="1722"/>
      <c r="Y804" s="1722">
        <v>18</v>
      </c>
      <c r="Z804" s="1722"/>
      <c r="AA804" s="1722"/>
      <c r="AB804" s="1722"/>
      <c r="AC804" s="1717">
        <v>21</v>
      </c>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78</v>
      </c>
      <c r="D805" s="1721"/>
      <c r="E805" s="1721"/>
      <c r="F805" s="1721"/>
      <c r="G805" s="1721"/>
      <c r="H805" s="1721"/>
      <c r="I805" s="110"/>
      <c r="J805" s="110"/>
      <c r="K805" s="110"/>
      <c r="L805" s="111"/>
      <c r="M805" s="1722"/>
      <c r="N805" s="1722"/>
      <c r="O805" s="1722"/>
      <c r="P805" s="1722"/>
      <c r="Q805" s="1722"/>
      <c r="R805" s="1722"/>
      <c r="S805" s="1722"/>
      <c r="T805" s="1722"/>
      <c r="U805" s="1722">
        <v>3</v>
      </c>
      <c r="V805" s="1722"/>
      <c r="W805" s="1722"/>
      <c r="X805" s="1722"/>
      <c r="Y805" s="1722">
        <v>4</v>
      </c>
      <c r="Z805" s="1722"/>
      <c r="AA805" s="1722"/>
      <c r="AB805" s="1722"/>
      <c r="AC805" s="1717">
        <v>4</v>
      </c>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194</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6">
      <c r="C807" s="1720" t="s">
        <v>858</v>
      </c>
      <c r="D807" s="1721"/>
      <c r="E807" s="1721"/>
      <c r="F807" s="1721"/>
      <c r="G807" s="1721"/>
      <c r="H807" s="1721"/>
      <c r="I807" s="110"/>
      <c r="J807" s="110"/>
      <c r="K807" s="110"/>
      <c r="L807" s="111"/>
      <c r="M807" s="1722"/>
      <c r="N807" s="1722"/>
      <c r="O807" s="1722"/>
      <c r="P807" s="1722"/>
      <c r="Q807" s="1722"/>
      <c r="R807" s="1722"/>
      <c r="S807" s="1722"/>
      <c r="T807" s="1722"/>
      <c r="U807" s="1722">
        <v>46</v>
      </c>
      <c r="V807" s="1722"/>
      <c r="W807" s="1722"/>
      <c r="X807" s="1722"/>
      <c r="Y807" s="1722">
        <v>57</v>
      </c>
      <c r="Z807" s="1722"/>
      <c r="AA807" s="1722"/>
      <c r="AB807" s="1722"/>
      <c r="AC807" s="1717">
        <v>67</v>
      </c>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6">
      <c r="C808" s="1854" t="s">
        <v>1026</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6">
      <c r="C809" s="109" t="s">
        <v>293</v>
      </c>
      <c r="D809" s="110"/>
      <c r="E809" s="110"/>
      <c r="F809" s="1682" t="s">
        <v>2450</v>
      </c>
      <c r="G809" s="1683"/>
      <c r="H809" s="1683"/>
      <c r="I809" s="1683"/>
      <c r="J809" s="1683"/>
      <c r="K809" s="1683"/>
      <c r="L809" s="1684"/>
      <c r="M809" s="1722"/>
      <c r="N809" s="1722"/>
      <c r="O809" s="1722"/>
      <c r="P809" s="1722"/>
      <c r="Q809" s="1722"/>
      <c r="R809" s="1722"/>
      <c r="S809" s="1722"/>
      <c r="T809" s="1722"/>
      <c r="U809" s="1722">
        <f>16+13+4</f>
        <v>33</v>
      </c>
      <c r="V809" s="1722"/>
      <c r="W809" s="1722"/>
      <c r="X809" s="1722"/>
      <c r="Y809" s="1722">
        <f>18+13+4</f>
        <v>35</v>
      </c>
      <c r="Z809" s="1722"/>
      <c r="AA809" s="1722"/>
      <c r="AB809" s="1722"/>
      <c r="AC809" s="1717">
        <f>21+13+4</f>
        <v>38</v>
      </c>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954</v>
      </c>
      <c r="D810" s="1777"/>
      <c r="E810" s="1777"/>
      <c r="F810" s="1777"/>
      <c r="G810" s="1777"/>
      <c r="H810" s="1777"/>
      <c r="I810" s="1777"/>
      <c r="J810" s="1777"/>
      <c r="K810" s="1777"/>
      <c r="L810" s="1778"/>
      <c r="M810" s="1867">
        <f>SUM(M803:P809)</f>
        <v>0</v>
      </c>
      <c r="N810" s="1867"/>
      <c r="O810" s="1867"/>
      <c r="P810" s="1867"/>
      <c r="Q810" s="1867">
        <f>SUM(Q803:T809)</f>
        <v>0</v>
      </c>
      <c r="R810" s="1867"/>
      <c r="S810" s="1867"/>
      <c r="T810" s="1867"/>
      <c r="U810" s="1867">
        <f>SUM(U803:X809)</f>
        <v>114</v>
      </c>
      <c r="V810" s="1867"/>
      <c r="W810" s="1867"/>
      <c r="X810" s="1867"/>
      <c r="Y810" s="1867">
        <f>SUM(Y803:AB809)</f>
        <v>136</v>
      </c>
      <c r="Z810" s="1867"/>
      <c r="AA810" s="1867"/>
      <c r="AB810" s="1867"/>
      <c r="AC810" s="1867">
        <f>SUM(AC803:AF809)</f>
        <v>155</v>
      </c>
      <c r="AD810" s="1867"/>
      <c r="AE810" s="1867"/>
      <c r="AF810" s="1867"/>
      <c r="AG810" s="1867">
        <f>SUM(AG803:AJ809)</f>
        <v>0</v>
      </c>
      <c r="AH810" s="1867"/>
      <c r="AI810" s="1867"/>
      <c r="AJ810" s="186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1" t="s">
        <v>2451</v>
      </c>
      <c r="D815" s="2152"/>
      <c r="E815" s="2152"/>
      <c r="F815" s="2152"/>
      <c r="G815" s="2152"/>
      <c r="H815" s="2152"/>
      <c r="I815" s="2152"/>
      <c r="J815" s="2152"/>
      <c r="K815" s="2152"/>
      <c r="L815" s="2152"/>
      <c r="M815" s="2152"/>
      <c r="N815" s="2152"/>
      <c r="O815" s="2152"/>
      <c r="P815" s="2152"/>
      <c r="Q815" s="2152"/>
      <c r="R815" s="2152"/>
      <c r="S815" s="2152"/>
      <c r="T815" s="2152"/>
      <c r="U815" s="2152"/>
      <c r="V815" s="2152"/>
      <c r="W815" s="2152"/>
      <c r="X815" s="2152"/>
      <c r="Y815" s="2152"/>
      <c r="Z815" s="2152"/>
      <c r="AA815" s="2152"/>
      <c r="AB815" s="2152"/>
      <c r="AC815" s="2152"/>
      <c r="AD815" s="2152"/>
      <c r="AE815" s="2152"/>
      <c r="AF815" s="2152"/>
      <c r="AG815" s="2152"/>
      <c r="AH815" s="2152"/>
      <c r="AI815" s="2152"/>
      <c r="AJ815" s="215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6" t="s">
        <v>409</v>
      </c>
      <c r="BB819" s="1727"/>
      <c r="BC819" s="72"/>
      <c r="BD819" s="72"/>
      <c r="BE819" s="72"/>
      <c r="BF819" s="65" t="s">
        <v>465</v>
      </c>
      <c r="BG819" s="65"/>
      <c r="BH819" s="65"/>
      <c r="BI819" s="65"/>
      <c r="BJ819" s="65"/>
      <c r="BK819" s="65"/>
      <c r="BL819" s="65"/>
      <c r="BM819" s="65"/>
      <c r="BN819" s="65"/>
      <c r="BO819" s="1723" t="str">
        <f>T189</f>
        <v>Butte</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512</v>
      </c>
      <c r="J820" s="90" t="s">
        <v>361</v>
      </c>
      <c r="K820" s="91"/>
      <c r="L820" s="91"/>
      <c r="M820" s="91"/>
      <c r="N820" s="91"/>
      <c r="O820" s="91"/>
      <c r="P820" s="91"/>
      <c r="Q820" s="91"/>
      <c r="R820" s="91"/>
      <c r="S820" s="91"/>
      <c r="T820" s="91"/>
      <c r="U820" s="91"/>
      <c r="V820" s="92"/>
      <c r="W820" s="1742">
        <v>1400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2">
        <v>2000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2">
        <v>3000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2"/>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409</v>
      </c>
      <c r="BB823" s="67" t="s">
        <v>2296</v>
      </c>
      <c r="BC823" s="68"/>
      <c r="BD823" s="68"/>
      <c r="BE823" s="68"/>
      <c r="BF823" s="68"/>
      <c r="BG823" s="68"/>
      <c r="BI823" s="67" t="s">
        <v>2297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2" t="s">
        <v>2452</v>
      </c>
      <c r="N824" s="1683"/>
      <c r="O824" s="1683"/>
      <c r="P824" s="1683"/>
      <c r="Q824" s="1683"/>
      <c r="R824" s="1683"/>
      <c r="S824" s="1683"/>
      <c r="T824" s="1683"/>
      <c r="U824" s="1683"/>
      <c r="V824" s="1684"/>
      <c r="W824" s="1742">
        <v>6530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2">
        <f>SUM(W820:AC824)</f>
        <v>12930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6" t="s">
        <v>514</v>
      </c>
      <c r="K827" s="1777"/>
      <c r="L827" s="1777"/>
      <c r="M827" s="1777"/>
      <c r="N827" s="1777"/>
      <c r="O827" s="1777"/>
      <c r="P827" s="1777"/>
      <c r="Q827" s="1777"/>
      <c r="R827" s="1777"/>
      <c r="S827" s="1777"/>
      <c r="T827" s="1777"/>
      <c r="U827" s="1777"/>
      <c r="V827" s="1778"/>
      <c r="W827" s="1685">
        <v>24100</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1">
        <v>200</v>
      </c>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1">
        <v>2600</v>
      </c>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1">
        <v>5600</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845</v>
      </c>
      <c r="BF831" s="123" t="s">
        <v>846</v>
      </c>
      <c r="BG831" s="123" t="s">
        <v>859</v>
      </c>
      <c r="BH831" s="70"/>
      <c r="BI831" s="70"/>
      <c r="BJ831" s="122" t="s">
        <v>464</v>
      </c>
      <c r="BK831" s="123" t="s">
        <v>487</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1">
        <v>22200</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30600</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0">
        <v>23040</v>
      </c>
      <c r="X835" s="2071"/>
      <c r="Y835" s="2071"/>
      <c r="Z835" s="2071"/>
      <c r="AA835" s="2071"/>
      <c r="AB835" s="2071"/>
      <c r="AC835" s="20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1">
        <v>1.5</v>
      </c>
      <c r="U836" s="1872"/>
      <c r="V836" s="187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505</v>
      </c>
      <c r="K837" s="91"/>
      <c r="L837" s="91"/>
      <c r="M837" s="91"/>
      <c r="N837" s="91"/>
      <c r="O837" s="91"/>
      <c r="P837" s="91"/>
      <c r="Q837" s="91"/>
      <c r="R837" s="91"/>
      <c r="S837" s="91"/>
      <c r="T837" s="91"/>
      <c r="U837" s="91"/>
      <c r="V837" s="92"/>
      <c r="W837" s="2070">
        <v>16700</v>
      </c>
      <c r="X837" s="2071"/>
      <c r="Y837" s="2071"/>
      <c r="Z837" s="2071"/>
      <c r="AA837" s="2071"/>
      <c r="AB837" s="2071"/>
      <c r="AC837" s="20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1">
        <v>1</v>
      </c>
      <c r="U838" s="1872"/>
      <c r="V838" s="187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2" t="s">
        <v>2453</v>
      </c>
      <c r="N839" s="1683"/>
      <c r="O839" s="1683"/>
      <c r="P839" s="1683"/>
      <c r="Q839" s="1683"/>
      <c r="R839" s="1683"/>
      <c r="S839" s="1683"/>
      <c r="T839" s="1683"/>
      <c r="U839" s="1683"/>
      <c r="V839" s="1684"/>
      <c r="W839" s="2070">
        <v>11100</v>
      </c>
      <c r="X839" s="2071"/>
      <c r="Y839" s="2071"/>
      <c r="Z839" s="2071"/>
      <c r="AA839" s="2071"/>
      <c r="AB839" s="2071"/>
      <c r="AC839" s="2072"/>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50840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0">
        <v>24000</v>
      </c>
      <c r="X841" s="2071"/>
      <c r="Y841" s="2071"/>
      <c r="Z841" s="2071"/>
      <c r="AA841" s="2071"/>
      <c r="AB841" s="2071"/>
      <c r="AC841" s="20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2">
        <v>2400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2">
        <v>28200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2">
        <v>13900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2">
        <v>1000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2">
        <v>22200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1">
      <c r="J848" s="90" t="s">
        <v>679</v>
      </c>
      <c r="K848" s="91"/>
      <c r="L848" s="91"/>
      <c r="M848" s="91"/>
      <c r="N848" s="91"/>
      <c r="O848" s="91"/>
      <c r="P848" s="91"/>
      <c r="Q848" s="91"/>
      <c r="R848" s="91"/>
      <c r="S848" s="91"/>
      <c r="T848" s="91"/>
      <c r="U848" s="91"/>
      <c r="V848" s="92"/>
      <c r="W848" s="1742"/>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1">
      <c r="J849" s="90" t="s">
        <v>310</v>
      </c>
      <c r="K849" s="91"/>
      <c r="L849" s="91"/>
      <c r="M849" s="1682" t="s">
        <v>2454</v>
      </c>
      <c r="N849" s="1683"/>
      <c r="O849" s="1683"/>
      <c r="P849" s="1683"/>
      <c r="Q849" s="1683"/>
      <c r="R849" s="1683"/>
      <c r="S849" s="1683"/>
      <c r="T849" s="1683"/>
      <c r="U849" s="1683"/>
      <c r="V849" s="1684"/>
      <c r="W849" s="1742">
        <v>19500</v>
      </c>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1">
      <c r="J850" s="90"/>
      <c r="K850" s="91"/>
      <c r="L850" s="91"/>
      <c r="M850" s="91"/>
      <c r="N850" s="91"/>
      <c r="O850" s="91"/>
      <c r="P850" s="91"/>
      <c r="Q850" s="91"/>
      <c r="R850" s="91"/>
      <c r="S850" s="91"/>
      <c r="T850" s="91"/>
      <c r="U850" s="91"/>
      <c r="V850" s="100" t="s">
        <v>16</v>
      </c>
      <c r="W850" s="1698">
        <f>SUM(W843:AC849)</f>
        <v>87200</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1">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1">
      <c r="C852" s="63" t="s">
        <v>2058</v>
      </c>
      <c r="J852" s="90" t="s">
        <v>310</v>
      </c>
      <c r="K852" s="91"/>
      <c r="L852" s="91"/>
      <c r="M852" s="1682" t="s">
        <v>2455</v>
      </c>
      <c r="N852" s="1683"/>
      <c r="O852" s="1683"/>
      <c r="P852" s="1683"/>
      <c r="Q852" s="1683"/>
      <c r="R852" s="1683"/>
      <c r="S852" s="1683"/>
      <c r="T852" s="1683"/>
      <c r="U852" s="1683"/>
      <c r="V852" s="1684"/>
      <c r="W852" s="1685">
        <v>350</v>
      </c>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2" t="s">
        <v>2456</v>
      </c>
      <c r="N853" s="1683"/>
      <c r="O853" s="1683"/>
      <c r="P853" s="1683"/>
      <c r="Q853" s="1683"/>
      <c r="R853" s="1683"/>
      <c r="S853" s="1683"/>
      <c r="T853" s="1683"/>
      <c r="U853" s="1683"/>
      <c r="V853" s="1684"/>
      <c r="W853" s="1685">
        <v>800</v>
      </c>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22" t="s">
        <v>618</v>
      </c>
      <c r="N854" s="1683"/>
      <c r="O854" s="1683"/>
      <c r="P854" s="1683"/>
      <c r="Q854" s="1683"/>
      <c r="R854" s="1683"/>
      <c r="S854" s="1683"/>
      <c r="T854" s="1683"/>
      <c r="U854" s="1683"/>
      <c r="V854" s="1684"/>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2" t="s">
        <v>618</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2" t="s">
        <v>618</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1150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230820</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59">
        <f>O776+O756+G731</f>
        <v>48</v>
      </c>
      <c r="AD862" s="2160"/>
      <c r="AE862" s="2160"/>
      <c r="AF862" s="2160"/>
      <c r="AG862" s="2160"/>
      <c r="AH862" s="2161"/>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384</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49">
        <f>IF(ISERROR((ROUNDDOWN(AC861/AC862,0))),0,(ROUNDDOWN(AC861/AC862,0)))</f>
        <v>4808</v>
      </c>
      <c r="AD863" s="2150"/>
      <c r="AE863" s="2150"/>
      <c r="AF863" s="2150"/>
      <c r="AG863" s="2150"/>
      <c r="AH863" s="2150"/>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41">
        <v>93081</v>
      </c>
      <c r="AD864" s="2155"/>
      <c r="AE864" s="2155"/>
      <c r="AF864" s="2155"/>
      <c r="AG864" s="2155"/>
      <c r="AH864" s="2155"/>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5">
        <v>14000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5">
        <v>24000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5">
        <v>3500</v>
      </c>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1">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5">
        <v>5600</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1">
      <c r="A871" s="16"/>
      <c r="B871" s="16"/>
      <c r="C871" s="16"/>
      <c r="D871" s="3"/>
      <c r="E871" s="2062" t="s">
        <v>1309</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1309</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4"/>
      <c r="AD873" s="2154"/>
      <c r="AE873" s="2154"/>
      <c r="AF873" s="2154"/>
      <c r="AG873" s="2154"/>
      <c r="AH873" s="2154"/>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3"/>
      <c r="AO874" s="2163"/>
      <c r="AP874" s="1762"/>
      <c r="AQ874" s="1762"/>
      <c r="AR874" s="1762"/>
      <c r="AS874" s="1762"/>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1">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6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6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6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6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1">
      <c r="A886" s="1688" t="s">
        <v>139</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6" t="s">
        <v>1044</v>
      </c>
      <c r="G891" s="2157"/>
      <c r="H891" s="2157"/>
      <c r="I891" s="2157"/>
      <c r="J891" s="2157"/>
      <c r="K891" s="2157"/>
      <c r="L891" s="2157"/>
      <c r="M891" s="2157"/>
      <c r="N891" s="2157"/>
      <c r="O891" s="2157"/>
      <c r="P891" s="2157"/>
      <c r="Q891" s="2157"/>
      <c r="R891" s="2157"/>
      <c r="S891" s="2157"/>
      <c r="T891" s="2158"/>
      <c r="U891" s="1813" t="s">
        <v>383</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1126</v>
      </c>
      <c r="G892" s="1816"/>
      <c r="H892" s="1816"/>
      <c r="I892" s="1816"/>
      <c r="J892" s="1816"/>
      <c r="K892" s="1816"/>
      <c r="L892" s="1816"/>
      <c r="M892" s="1816"/>
      <c r="N892" s="1816"/>
      <c r="O892" s="1816"/>
      <c r="P892" s="1816"/>
      <c r="Q892" s="1816"/>
      <c r="R892" s="1816"/>
      <c r="S892" s="1816"/>
      <c r="T892" s="1874"/>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5"/>
      <c r="U893" s="1817"/>
      <c r="V893" s="1818"/>
      <c r="W893" s="1818"/>
      <c r="X893" s="1818"/>
      <c r="Y893" s="1818"/>
      <c r="Z893" s="1818"/>
      <c r="AA893" s="310"/>
      <c r="AB893" s="2162" t="s">
        <v>61</v>
      </c>
      <c r="AC893" s="2162"/>
      <c r="AD893" s="2162"/>
      <c r="AE893" s="216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1" t="s">
        <v>135</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1" t="s">
        <v>119</v>
      </c>
      <c r="V895" s="1712"/>
      <c r="W895" s="1712"/>
      <c r="X895" s="1712"/>
      <c r="Y895" s="1712"/>
      <c r="Z895" s="1713"/>
      <c r="AA895" s="1739">
        <v>8650000</v>
      </c>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1" t="s">
        <v>135</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1" t="s">
        <v>135</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1" t="s">
        <v>135</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1" t="s">
        <v>135</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1" t="s">
        <v>135</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1" t="s">
        <v>135</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1" t="s">
        <v>135</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1" t="s">
        <v>135</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3" t="s">
        <v>135</v>
      </c>
      <c r="V904" s="1824"/>
      <c r="W904" s="1824"/>
      <c r="X904" s="1824"/>
      <c r="Y904" s="1824"/>
      <c r="Z904" s="1825"/>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1" t="s">
        <v>135</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1" t="s">
        <v>135</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1" t="s">
        <v>135</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5" t="s">
        <v>527</v>
      </c>
      <c r="Q908" s="1712"/>
      <c r="R908" s="1712"/>
      <c r="S908" s="1712"/>
      <c r="T908" s="1713"/>
      <c r="U908" s="1711" t="s">
        <v>135</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43" t="s">
        <v>618</v>
      </c>
      <c r="J909" s="1700"/>
      <c r="K909" s="1700"/>
      <c r="L909" s="1700"/>
      <c r="M909" s="1700"/>
      <c r="N909" s="1700"/>
      <c r="O909" s="1700"/>
      <c r="P909" s="1700"/>
      <c r="Q909" s="1700"/>
      <c r="R909" s="1700"/>
      <c r="S909" s="1700"/>
      <c r="T909" s="1701"/>
      <c r="U909" s="1711" t="s">
        <v>135</v>
      </c>
      <c r="V909" s="1712"/>
      <c r="W909" s="1712"/>
      <c r="X909" s="1712"/>
      <c r="Y909" s="1712"/>
      <c r="Z909" s="1713"/>
      <c r="AA909" s="1739"/>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43" t="s">
        <v>618</v>
      </c>
      <c r="J910" s="1700"/>
      <c r="K910" s="1700"/>
      <c r="L910" s="1700"/>
      <c r="M910" s="1700"/>
      <c r="N910" s="1700"/>
      <c r="O910" s="1700"/>
      <c r="P910" s="1700"/>
      <c r="Q910" s="1700"/>
      <c r="R910" s="1700"/>
      <c r="S910" s="1700"/>
      <c r="T910" s="1701"/>
      <c r="U910" s="1711" t="s">
        <v>135</v>
      </c>
      <c r="V910" s="1712"/>
      <c r="W910" s="1712"/>
      <c r="X910" s="1712"/>
      <c r="Y910" s="1712"/>
      <c r="Z910" s="1713"/>
      <c r="AA910" s="1739"/>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43" t="s">
        <v>618</v>
      </c>
      <c r="J911" s="1700"/>
      <c r="K911" s="1700"/>
      <c r="L911" s="1700"/>
      <c r="M911" s="1700"/>
      <c r="N911" s="1700"/>
      <c r="O911" s="1700"/>
      <c r="P911" s="1700"/>
      <c r="Q911" s="1700"/>
      <c r="R911" s="1700"/>
      <c r="S911" s="1700"/>
      <c r="T911" s="1701"/>
      <c r="U911" s="1711" t="s">
        <v>135</v>
      </c>
      <c r="V911" s="1712"/>
      <c r="W911" s="1712"/>
      <c r="X911" s="1712"/>
      <c r="Y911" s="1712"/>
      <c r="Z911" s="1713"/>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43" t="s">
        <v>618</v>
      </c>
      <c r="J912" s="1700"/>
      <c r="K912" s="1700"/>
      <c r="L912" s="1700"/>
      <c r="M912" s="1700"/>
      <c r="N912" s="1700"/>
      <c r="O912" s="1700"/>
      <c r="P912" s="1700"/>
      <c r="Q912" s="1700"/>
      <c r="R912" s="1700"/>
      <c r="S912" s="1700"/>
      <c r="T912" s="1701"/>
      <c r="U912" s="1711" t="s">
        <v>135</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08"/>
      <c r="M917" s="1865"/>
      <c r="N917" s="1865"/>
      <c r="O917" s="1865"/>
      <c r="P917" s="1865"/>
      <c r="Q917" s="1865"/>
      <c r="R917" s="1865"/>
      <c r="S917" s="1909"/>
      <c r="U917" s="117" t="s">
        <v>901</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8"/>
      <c r="M918" s="1865"/>
      <c r="N918" s="1865"/>
      <c r="O918" s="1865"/>
      <c r="P918" s="1865"/>
      <c r="Q918" s="1865"/>
      <c r="R918" s="1865"/>
      <c r="S918" s="1909"/>
      <c r="U918" s="117" t="s">
        <v>902</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5" t="s">
        <v>86</v>
      </c>
      <c r="M919" s="1906"/>
      <c r="N919" s="1906"/>
      <c r="O919" s="1906"/>
      <c r="P919" s="1906"/>
      <c r="Q919" s="1906"/>
      <c r="R919" s="1906"/>
      <c r="S919" s="1907"/>
      <c r="U919" s="117" t="s">
        <v>1196</v>
      </c>
      <c r="V919" s="91"/>
      <c r="W919" s="91"/>
      <c r="AE919" s="1714" t="s">
        <v>86</v>
      </c>
      <c r="AF919" s="1715"/>
      <c r="AG919" s="1715"/>
      <c r="AH919" s="1715"/>
      <c r="AI919" s="1715"/>
      <c r="AJ919" s="1715"/>
      <c r="AK919" s="1716"/>
      <c r="AL919" s="119"/>
      <c r="AM919" s="75"/>
      <c r="AN919" s="75"/>
      <c r="AO919" s="75"/>
      <c r="AP919" s="75"/>
      <c r="AQ919" s="75"/>
      <c r="AR919" s="75"/>
      <c r="AS919" s="75"/>
      <c r="AT919" s="75"/>
      <c r="AU919" s="75"/>
      <c r="AV919" s="75"/>
      <c r="AW919" s="66" t="s">
        <v>645</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7"/>
      <c r="M920" s="1748"/>
      <c r="N920" s="1748"/>
      <c r="O920" s="1748"/>
      <c r="P920" s="1748"/>
      <c r="Q920" s="1748"/>
      <c r="R920" s="1748"/>
      <c r="S920" s="1749"/>
      <c r="U920" s="117" t="s">
        <v>903</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59"/>
      <c r="M921" s="1860"/>
      <c r="N921" s="1860"/>
      <c r="O921" s="1860"/>
      <c r="P921" s="1860"/>
      <c r="Q921" s="1860"/>
      <c r="R921" s="1860"/>
      <c r="S921" s="1861"/>
      <c r="U921" s="117" t="s">
        <v>904</v>
      </c>
      <c r="V921" s="91"/>
      <c r="W921" s="91"/>
      <c r="X921" s="91"/>
      <c r="Y921" s="91"/>
      <c r="Z921" s="91"/>
      <c r="AA921" s="91"/>
      <c r="AB921" s="91"/>
      <c r="AC921" s="91"/>
      <c r="AD921" s="92"/>
      <c r="AE921" s="1862"/>
      <c r="AF921" s="1863"/>
      <c r="AG921" s="1863"/>
      <c r="AH921" s="1863"/>
      <c r="AI921" s="1863"/>
      <c r="AJ921" s="1863"/>
      <c r="AK921" s="1864"/>
      <c r="AL921" s="119"/>
      <c r="AM921" s="75"/>
      <c r="AN921" s="75"/>
      <c r="AO921" s="75"/>
      <c r="AP921" s="75"/>
      <c r="AQ921" s="75"/>
      <c r="AR921" s="75"/>
      <c r="AS921" s="75"/>
      <c r="AT921" s="75"/>
      <c r="AU921" s="75"/>
      <c r="AV921" s="75"/>
      <c r="AW921" s="66" t="s">
        <v>646</v>
      </c>
      <c r="AX921" s="319">
        <v>7</v>
      </c>
      <c r="AY921" s="1881">
        <f>IF(AD962&gt;0,0.07,0)</f>
        <v>0</v>
      </c>
      <c r="AZ921" s="188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5"/>
      <c r="M922" s="1686"/>
      <c r="N922" s="1686"/>
      <c r="O922" s="1686"/>
      <c r="P922" s="1686"/>
      <c r="Q922" s="1686"/>
      <c r="R922" s="1686"/>
      <c r="S922" s="1687"/>
      <c r="U922" s="117" t="s">
        <v>905</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163</v>
      </c>
      <c r="AX922" s="319">
        <v>2</v>
      </c>
      <c r="AY922" s="1890">
        <f>IF(AD966&gt;0,0.02,0)</f>
        <v>0</v>
      </c>
      <c r="AZ922" s="189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5"/>
      <c r="M923" s="1686"/>
      <c r="N923" s="1686"/>
      <c r="O923" s="1686"/>
      <c r="P923" s="1686"/>
      <c r="Q923" s="1686"/>
      <c r="R923" s="1686"/>
      <c r="S923" s="1687"/>
      <c r="U923" s="117" t="s">
        <v>906</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647</v>
      </c>
      <c r="AX923" s="319">
        <v>2</v>
      </c>
      <c r="AY923" s="1890">
        <f>IF(AD968&gt;0,0.02,0)</f>
        <v>0</v>
      </c>
      <c r="AZ923" s="189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6"/>
      <c r="M924" s="1857"/>
      <c r="N924" s="1857"/>
      <c r="O924" s="1857"/>
      <c r="P924" s="1857"/>
      <c r="Q924" s="1857"/>
      <c r="R924" s="1857"/>
      <c r="S924" s="1858"/>
      <c r="U924" s="117" t="s">
        <v>851</v>
      </c>
      <c r="V924" s="91"/>
      <c r="W924" s="91"/>
      <c r="X924" s="91"/>
      <c r="Y924" s="91"/>
      <c r="Z924" s="91"/>
      <c r="AA924" s="91"/>
      <c r="AB924" s="91"/>
      <c r="AC924" s="91"/>
      <c r="AD924" s="92"/>
      <c r="AE924" s="1856"/>
      <c r="AF924" s="1857"/>
      <c r="AG924" s="1857"/>
      <c r="AH924" s="1857"/>
      <c r="AI924" s="1857"/>
      <c r="AJ924" s="1857"/>
      <c r="AK924" s="1858"/>
      <c r="AL924" s="119"/>
      <c r="AM924" s="75"/>
      <c r="AN924" s="75"/>
      <c r="AO924" s="75"/>
      <c r="AP924" s="75"/>
      <c r="AQ924" s="75"/>
      <c r="AR924" s="75"/>
      <c r="AS924" s="75"/>
      <c r="AT924" s="75"/>
      <c r="AU924" s="75"/>
      <c r="AV924" s="75"/>
      <c r="AW924" s="66" t="s">
        <v>648</v>
      </c>
      <c r="AX924" s="319">
        <v>10</v>
      </c>
      <c r="AY924" s="1888">
        <f>AY932</f>
        <v>0</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0"/>
      <c r="AZ925" s="189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6"/>
      <c r="AZ926" s="1877"/>
      <c r="BA926" s="187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0">
        <f>IF(AD985&gt;0,0.1,0)</f>
        <v>0</v>
      </c>
      <c r="AZ927" s="189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v>
      </c>
      <c r="AZ928" s="1889"/>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9"/>
      <c r="N929" s="1690"/>
      <c r="O929" s="1690"/>
      <c r="P929" s="1690"/>
      <c r="Q929" s="1690"/>
      <c r="R929" s="1690"/>
      <c r="S929" s="1691"/>
      <c r="T929" s="117" t="s">
        <v>1033</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9"/>
      <c r="N930" s="1690"/>
      <c r="O930" s="1690"/>
      <c r="P930" s="1690"/>
      <c r="Q930" s="1690"/>
      <c r="R930" s="1690"/>
      <c r="S930" s="1691"/>
      <c r="T930" s="117" t="s">
        <v>1032</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88">
        <f>SUM(AY919:AZ923)+AY927</f>
        <v>0</v>
      </c>
      <c r="AZ930" s="1889"/>
      <c r="BA930" s="1879">
        <v>0.39</v>
      </c>
      <c r="BB930" s="188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9" t="s">
        <v>135</v>
      </c>
      <c r="N931" s="1653"/>
      <c r="O931" s="1653"/>
      <c r="P931" s="1653"/>
      <c r="Q931" s="1653"/>
      <c r="R931" s="1653"/>
      <c r="S931" s="1710"/>
      <c r="T931" s="90" t="s">
        <v>622</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9"/>
      <c r="N932" s="1690"/>
      <c r="O932" s="1690"/>
      <c r="P932" s="1690"/>
      <c r="Q932" s="1690"/>
      <c r="R932" s="1690"/>
      <c r="S932" s="1691"/>
      <c r="T932" s="90" t="s">
        <v>623</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9"/>
      <c r="N933" s="1690"/>
      <c r="O933" s="1690"/>
      <c r="P933" s="1690"/>
      <c r="Q933" s="1690"/>
      <c r="R933" s="1690"/>
      <c r="S933" s="1691"/>
      <c r="T933" s="90" t="s">
        <v>538</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4" t="s">
        <v>86</v>
      </c>
      <c r="N934" s="1715"/>
      <c r="O934" s="1715"/>
      <c r="P934" s="1715"/>
      <c r="Q934" s="1715"/>
      <c r="R934" s="1715"/>
      <c r="S934" s="1716"/>
      <c r="T934" s="1895"/>
      <c r="U934" s="1896"/>
      <c r="V934" s="1896"/>
      <c r="W934" s="1896"/>
      <c r="X934" s="1896"/>
      <c r="Y934" s="1896"/>
      <c r="Z934" s="1897"/>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9"/>
      <c r="N935" s="1690"/>
      <c r="O935" s="1690"/>
      <c r="P935" s="1690"/>
      <c r="Q935" s="1690"/>
      <c r="R935" s="1690"/>
      <c r="S935" s="1691"/>
      <c r="T935" s="1895"/>
      <c r="U935" s="1896"/>
      <c r="V935" s="1896"/>
      <c r="W935" s="1896"/>
      <c r="X935" s="1896"/>
      <c r="Y935" s="1896"/>
      <c r="Z935" s="1897"/>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09" t="s">
        <v>527</v>
      </c>
      <c r="P936" s="1710"/>
      <c r="Q936" s="228"/>
      <c r="R936" s="228"/>
      <c r="S936" s="229"/>
      <c r="T936" s="85" t="s">
        <v>310</v>
      </c>
      <c r="U936" s="86"/>
      <c r="V936" s="86"/>
      <c r="W936" s="1822" t="s">
        <v>618</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8" t="s">
        <v>251</v>
      </c>
      <c r="G937" s="1899"/>
      <c r="H937" s="1899"/>
      <c r="I937" s="1899"/>
      <c r="J937" s="1899"/>
      <c r="K937" s="1899"/>
      <c r="L937" s="1899"/>
      <c r="M937" s="1689"/>
      <c r="N937" s="1690"/>
      <c r="O937" s="1690"/>
      <c r="P937" s="1690"/>
      <c r="Q937" s="1690"/>
      <c r="R937" s="1690"/>
      <c r="S937" s="1691"/>
      <c r="T937" s="93"/>
      <c r="U937" s="94"/>
      <c r="V937" s="94"/>
      <c r="W937" s="94"/>
      <c r="X937" s="94"/>
      <c r="Y937" s="94"/>
      <c r="Z937" s="351" t="s">
        <v>252</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140</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4" t="s">
        <v>469</v>
      </c>
      <c r="E946" s="1745"/>
      <c r="F946" s="1745"/>
      <c r="G946" s="1745"/>
      <c r="H946" s="1745"/>
      <c r="I946" s="1745"/>
      <c r="J946" s="1745"/>
      <c r="K946" s="1745"/>
      <c r="L946" s="1745"/>
      <c r="M946" s="1745"/>
      <c r="N946" s="1745"/>
      <c r="O946" s="1745"/>
      <c r="P946" s="1745"/>
      <c r="Q946" s="1746"/>
      <c r="R946" s="1744" t="s">
        <v>470</v>
      </c>
      <c r="S946" s="1745"/>
      <c r="T946" s="1745"/>
      <c r="U946" s="1745"/>
      <c r="V946" s="1745"/>
      <c r="W946" s="1745"/>
      <c r="X946" s="1745"/>
      <c r="Y946" s="1745"/>
      <c r="Z946" s="1745"/>
      <c r="AA946" s="1746"/>
      <c r="AB946" s="1744" t="s">
        <v>471</v>
      </c>
      <c r="AC946" s="1745"/>
      <c r="AD946" s="1745"/>
      <c r="AE946" s="1745"/>
      <c r="AF946" s="1745"/>
      <c r="AG946" s="1745"/>
      <c r="AH946" s="1745"/>
      <c r="AI946" s="1746"/>
      <c r="AJ946" s="1744" t="s">
        <v>472</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5" t="s">
        <v>464</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246186</v>
      </c>
      <c r="S947" s="1738"/>
      <c r="T947" s="1738"/>
      <c r="U947" s="1738"/>
      <c r="V947" s="1738"/>
      <c r="W947" s="1738"/>
      <c r="X947" s="1738"/>
      <c r="Y947" s="1738"/>
      <c r="Z947" s="1738"/>
      <c r="AA947" s="1738"/>
      <c r="AB947" s="1882">
        <f>BN652</f>
        <v>0</v>
      </c>
      <c r="AC947" s="1883"/>
      <c r="AD947" s="1883"/>
      <c r="AE947" s="1883"/>
      <c r="AF947" s="1883"/>
      <c r="AG947" s="1883"/>
      <c r="AH947" s="1883"/>
      <c r="AI947" s="1884"/>
      <c r="AJ947" s="1885">
        <f>IF(ISERROR((R947*AB947)),0,(R947*AB947))</f>
        <v>0</v>
      </c>
      <c r="AK947" s="1886"/>
      <c r="AL947" s="1886"/>
      <c r="AM947" s="1886"/>
      <c r="AN947" s="1886"/>
      <c r="AO947" s="1886"/>
      <c r="AP947" s="1886"/>
      <c r="AQ947" s="188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5" t="s">
        <v>487</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283850</v>
      </c>
      <c r="S948" s="1738"/>
      <c r="T948" s="1738"/>
      <c r="U948" s="1738"/>
      <c r="V948" s="1738"/>
      <c r="W948" s="1738"/>
      <c r="X948" s="1738"/>
      <c r="Y948" s="1738"/>
      <c r="Z948" s="1738"/>
      <c r="AA948" s="1738"/>
      <c r="AB948" s="1882">
        <f>BS652</f>
        <v>0</v>
      </c>
      <c r="AC948" s="1883"/>
      <c r="AD948" s="1883"/>
      <c r="AE948" s="1883"/>
      <c r="AF948" s="1883"/>
      <c r="AG948" s="1883"/>
      <c r="AH948" s="1883"/>
      <c r="AI948" s="1884"/>
      <c r="AJ948" s="1885">
        <f>IF(ISERROR((R948*AB948)),0,(R948*AB948))</f>
        <v>0</v>
      </c>
      <c r="AK948" s="1886"/>
      <c r="AL948" s="1886"/>
      <c r="AM948" s="1886"/>
      <c r="AN948" s="1886"/>
      <c r="AO948" s="1886"/>
      <c r="AP948" s="1886"/>
      <c r="AQ948" s="188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5" t="s">
        <v>845</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342400</v>
      </c>
      <c r="S949" s="1738"/>
      <c r="T949" s="1738"/>
      <c r="U949" s="1738"/>
      <c r="V949" s="1738"/>
      <c r="W949" s="1738"/>
      <c r="X949" s="1738"/>
      <c r="Y949" s="1738"/>
      <c r="Z949" s="1738"/>
      <c r="AA949" s="1738"/>
      <c r="AB949" s="1882">
        <f>BX652</f>
        <v>16</v>
      </c>
      <c r="AC949" s="1883"/>
      <c r="AD949" s="1883"/>
      <c r="AE949" s="1883"/>
      <c r="AF949" s="1883"/>
      <c r="AG949" s="1883"/>
      <c r="AH949" s="1883"/>
      <c r="AI949" s="1884"/>
      <c r="AJ949" s="1885">
        <f>IF(ISERROR((R949*AB949)),0,(R949*AB949))</f>
        <v>5478400</v>
      </c>
      <c r="AK949" s="1886"/>
      <c r="AL949" s="1886"/>
      <c r="AM949" s="1886"/>
      <c r="AN949" s="1886"/>
      <c r="AO949" s="1886"/>
      <c r="AP949" s="1886"/>
      <c r="AQ949" s="188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5" t="s">
        <v>846</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438272</v>
      </c>
      <c r="S950" s="1738"/>
      <c r="T950" s="1738"/>
      <c r="U950" s="1738"/>
      <c r="V950" s="1738"/>
      <c r="W950" s="1738"/>
      <c r="X950" s="1738"/>
      <c r="Y950" s="1738"/>
      <c r="Z950" s="1738"/>
      <c r="AA950" s="1738"/>
      <c r="AB950" s="1882">
        <f>CC652</f>
        <v>24</v>
      </c>
      <c r="AC950" s="1883"/>
      <c r="AD950" s="1883"/>
      <c r="AE950" s="1883"/>
      <c r="AF950" s="1883"/>
      <c r="AG950" s="1883"/>
      <c r="AH950" s="1883"/>
      <c r="AI950" s="1884"/>
      <c r="AJ950" s="1885">
        <f>IF(ISERROR((R950*AB950)),0,(R950*AB950))</f>
        <v>10518528</v>
      </c>
      <c r="AK950" s="1886"/>
      <c r="AL950" s="1886"/>
      <c r="AM950" s="1886"/>
      <c r="AN950" s="1886"/>
      <c r="AO950" s="1886"/>
      <c r="AP950" s="1886"/>
      <c r="AQ950" s="188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5" t="s">
        <v>859</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488262</v>
      </c>
      <c r="S951" s="1738"/>
      <c r="T951" s="1738"/>
      <c r="U951" s="1738"/>
      <c r="V951" s="1738"/>
      <c r="W951" s="1738"/>
      <c r="X951" s="1738"/>
      <c r="Y951" s="1738"/>
      <c r="Z951" s="1738"/>
      <c r="AA951" s="1738"/>
      <c r="AB951" s="1882">
        <f>CM652+CH652</f>
        <v>8</v>
      </c>
      <c r="AC951" s="1883"/>
      <c r="AD951" s="1883"/>
      <c r="AE951" s="1883"/>
      <c r="AF951" s="1883"/>
      <c r="AG951" s="1883"/>
      <c r="AH951" s="1883"/>
      <c r="AI951" s="1884"/>
      <c r="AJ951" s="1885">
        <f>IF(ISERROR((R951*AB951)),0,(R951*AB951))</f>
        <v>3906096</v>
      </c>
      <c r="AK951" s="1886"/>
      <c r="AL951" s="1886"/>
      <c r="AM951" s="1886"/>
      <c r="AN951" s="1886"/>
      <c r="AO951" s="1886"/>
      <c r="AP951" s="1886"/>
      <c r="AQ951" s="188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2" t="s">
        <v>1043</v>
      </c>
      <c r="C952" s="2183"/>
      <c r="D952" s="2183"/>
      <c r="E952" s="2183"/>
      <c r="F952" s="2183"/>
      <c r="G952" s="2183"/>
      <c r="H952" s="2183"/>
      <c r="I952" s="2183"/>
      <c r="J952" s="2183"/>
      <c r="K952" s="2183"/>
      <c r="L952" s="2183"/>
      <c r="M952" s="2183"/>
      <c r="N952" s="2183"/>
      <c r="O952" s="2183"/>
      <c r="P952" s="2183"/>
      <c r="Q952" s="2183"/>
      <c r="R952" s="2183"/>
      <c r="S952" s="2183"/>
      <c r="T952" s="2183"/>
      <c r="U952" s="2183"/>
      <c r="V952" s="2183"/>
      <c r="W952" s="2183"/>
      <c r="X952" s="2183"/>
      <c r="Y952" s="2183"/>
      <c r="Z952" s="2183"/>
      <c r="AA952" s="2184"/>
      <c r="AB952" s="1882">
        <f>SUM(AB947:AI951)</f>
        <v>48</v>
      </c>
      <c r="AC952" s="1883"/>
      <c r="AD952" s="1883"/>
      <c r="AE952" s="1883"/>
      <c r="AF952" s="1883"/>
      <c r="AG952" s="1883"/>
      <c r="AH952" s="1883"/>
      <c r="AI952" s="1884"/>
      <c r="AJ952" s="1885"/>
      <c r="AK952" s="1886"/>
      <c r="AL952" s="1886"/>
      <c r="AM952" s="1886"/>
      <c r="AN952" s="1886"/>
      <c r="AO952" s="1886"/>
      <c r="AP952" s="1886"/>
      <c r="AQ952" s="188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5" t="s">
        <v>811</v>
      </c>
      <c r="C953" s="2186"/>
      <c r="D953" s="2186"/>
      <c r="E953" s="2186"/>
      <c r="F953" s="2186"/>
      <c r="G953" s="2186"/>
      <c r="H953" s="2186"/>
      <c r="I953" s="2186"/>
      <c r="J953" s="2186"/>
      <c r="K953" s="2186"/>
      <c r="L953" s="2186"/>
      <c r="M953" s="2186"/>
      <c r="N953" s="2186"/>
      <c r="O953" s="2186"/>
      <c r="P953" s="2186"/>
      <c r="Q953" s="2186"/>
      <c r="R953" s="2186"/>
      <c r="S953" s="2186"/>
      <c r="T953" s="2186"/>
      <c r="U953" s="2186"/>
      <c r="V953" s="2186"/>
      <c r="W953" s="2186"/>
      <c r="X953" s="2186"/>
      <c r="Y953" s="2186"/>
      <c r="Z953" s="2186"/>
      <c r="AA953" s="2186"/>
      <c r="AB953" s="2186"/>
      <c r="AC953" s="2186"/>
      <c r="AD953" s="2186"/>
      <c r="AE953" s="2186"/>
      <c r="AF953" s="2186"/>
      <c r="AG953" s="2186"/>
      <c r="AH953" s="2186"/>
      <c r="AI953" s="2187"/>
      <c r="AJ953" s="1885">
        <f>SUM(AJ947:AQ951)</f>
        <v>19903024</v>
      </c>
      <c r="AK953" s="1886"/>
      <c r="AL953" s="1886"/>
      <c r="AM953" s="1886"/>
      <c r="AN953" s="1886"/>
      <c r="AO953" s="1886"/>
      <c r="AP953" s="1886"/>
      <c r="AQ953" s="188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8"/>
      <c r="C954" s="2189"/>
      <c r="D954" s="2189"/>
      <c r="E954" s="2189"/>
      <c r="F954" s="2189"/>
      <c r="G954" s="2189"/>
      <c r="H954" s="2189"/>
      <c r="I954" s="2189"/>
      <c r="J954" s="2189"/>
      <c r="K954" s="2189"/>
      <c r="L954" s="2189"/>
      <c r="M954" s="2189"/>
      <c r="N954" s="2189"/>
      <c r="O954" s="2189"/>
      <c r="P954" s="2189"/>
      <c r="Q954" s="2189"/>
      <c r="R954" s="2189"/>
      <c r="S954" s="2189"/>
      <c r="T954" s="2189"/>
      <c r="U954" s="2189"/>
      <c r="V954" s="2189"/>
      <c r="W954" s="2189"/>
      <c r="X954" s="2189"/>
      <c r="Y954" s="2189"/>
      <c r="Z954" s="2189"/>
      <c r="AA954" s="2189"/>
      <c r="AB954" s="2189"/>
      <c r="AC954" s="2189"/>
      <c r="AD954" s="2189"/>
      <c r="AE954" s="2190"/>
      <c r="AF954" s="2191" t="s">
        <v>524</v>
      </c>
      <c r="AG954" s="2192"/>
      <c r="AH954" s="2192"/>
      <c r="AI954" s="2193"/>
      <c r="AJ954" s="2188"/>
      <c r="AK954" s="2189"/>
      <c r="AL954" s="2189"/>
      <c r="AM954" s="2189"/>
      <c r="AN954" s="2189"/>
      <c r="AO954" s="2189"/>
      <c r="AP954" s="2189"/>
      <c r="AQ954" s="219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938" t="s">
        <v>2088</v>
      </c>
      <c r="E955" s="1939"/>
      <c r="F955" s="1939"/>
      <c r="G955" s="1939"/>
      <c r="H955" s="1939"/>
      <c r="I955" s="1939"/>
      <c r="J955" s="1939"/>
      <c r="K955" s="1939"/>
      <c r="L955" s="1939"/>
      <c r="M955" s="1939"/>
      <c r="N955" s="1939"/>
      <c r="O955" s="1939"/>
      <c r="P955" s="1939"/>
      <c r="Q955" s="1939"/>
      <c r="R955" s="1939"/>
      <c r="S955" s="1939"/>
      <c r="T955" s="1939"/>
      <c r="U955" s="1939"/>
      <c r="V955" s="1939"/>
      <c r="W955" s="1939"/>
      <c r="X955" s="1939"/>
      <c r="Y955" s="1939"/>
      <c r="Z955" s="1939"/>
      <c r="AA955" s="1939"/>
      <c r="AB955" s="1939"/>
      <c r="AC955" s="1939"/>
      <c r="AD955" s="1939"/>
      <c r="AE955" s="1940"/>
      <c r="AF955" s="128"/>
      <c r="AG955" s="2180" t="s">
        <v>119</v>
      </c>
      <c r="AH955" s="2181"/>
      <c r="AI955" s="131"/>
      <c r="AJ955" s="1915">
        <f>ROUND(IF(AND(AG955="yes",D957&gt;0),AJ953*0.2,0),0)</f>
        <v>3980605</v>
      </c>
      <c r="AK955" s="1916"/>
      <c r="AL955" s="1916"/>
      <c r="AM955" s="1916"/>
      <c r="AN955" s="1916"/>
      <c r="AO955" s="1916"/>
      <c r="AP955" s="1916"/>
      <c r="AQ955" s="191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9" t="s">
        <v>2215</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1"/>
      <c r="AK956" s="1922"/>
      <c r="AL956" s="1922"/>
      <c r="AM956" s="1922"/>
      <c r="AN956" s="1922"/>
      <c r="AO956" s="1922"/>
      <c r="AP956" s="1922"/>
      <c r="AQ956" s="192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0" t="s">
        <v>2457</v>
      </c>
      <c r="E957" s="1931"/>
      <c r="F957" s="1931"/>
      <c r="G957" s="1931"/>
      <c r="H957" s="1931"/>
      <c r="I957" s="1931"/>
      <c r="J957" s="1931"/>
      <c r="K957" s="1931"/>
      <c r="L957" s="1931"/>
      <c r="M957" s="1931"/>
      <c r="N957" s="1931"/>
      <c r="O957" s="1931"/>
      <c r="P957" s="1931"/>
      <c r="Q957" s="1931"/>
      <c r="R957" s="1931"/>
      <c r="S957" s="1931"/>
      <c r="T957" s="1931"/>
      <c r="U957" s="1931"/>
      <c r="V957" s="1931"/>
      <c r="W957" s="1931"/>
      <c r="X957" s="1931"/>
      <c r="Y957" s="1931"/>
      <c r="Z957" s="1931"/>
      <c r="AA957" s="1931"/>
      <c r="AB957" s="1931"/>
      <c r="AC957" s="1931"/>
      <c r="AD957" s="1931"/>
      <c r="AE957" s="1932"/>
      <c r="AF957" s="126"/>
      <c r="AG957" s="15"/>
      <c r="AH957" s="15"/>
      <c r="AI957" s="127"/>
      <c r="AJ957" s="1918"/>
      <c r="AK957" s="1919"/>
      <c r="AL957" s="1919"/>
      <c r="AM957" s="1919"/>
      <c r="AN957" s="1919"/>
      <c r="AO957" s="1919"/>
      <c r="AP957" s="1919"/>
      <c r="AQ957" s="192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0" t="s">
        <v>2216</v>
      </c>
      <c r="E958" s="1911"/>
      <c r="F958" s="1911"/>
      <c r="G958" s="1911"/>
      <c r="H958" s="1911"/>
      <c r="I958" s="1911"/>
      <c r="J958" s="1911"/>
      <c r="K958" s="1911"/>
      <c r="L958" s="1911"/>
      <c r="M958" s="1911"/>
      <c r="N958" s="1911"/>
      <c r="O958" s="1911"/>
      <c r="P958" s="1911"/>
      <c r="Q958" s="1911"/>
      <c r="R958" s="1911"/>
      <c r="S958" s="1911"/>
      <c r="T958" s="1911"/>
      <c r="U958" s="1911"/>
      <c r="V958" s="1911"/>
      <c r="W958" s="1911"/>
      <c r="X958" s="1911"/>
      <c r="Y958" s="1911"/>
      <c r="Z958" s="1911"/>
      <c r="AA958" s="1911"/>
      <c r="AB958" s="1911"/>
      <c r="AC958" s="1911"/>
      <c r="AD958" s="1911"/>
      <c r="AE958" s="1912"/>
      <c r="AF958" s="128"/>
      <c r="AG958" s="1913" t="s">
        <v>527</v>
      </c>
      <c r="AH958" s="1914"/>
      <c r="AI958" s="131"/>
      <c r="AJ958" s="1915">
        <f>ROUND(IF(AG958="yes",AJ953*0.05,0),0)</f>
        <v>0</v>
      </c>
      <c r="AK958" s="1916"/>
      <c r="AL958" s="1916"/>
      <c r="AM958" s="1916"/>
      <c r="AN958" s="1916"/>
      <c r="AO958" s="1916"/>
      <c r="AP958" s="1916"/>
      <c r="AQ958" s="191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9" t="s">
        <v>2089</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1"/>
      <c r="AK959" s="1922"/>
      <c r="AL959" s="1922"/>
      <c r="AM959" s="1922"/>
      <c r="AN959" s="1922"/>
      <c r="AO959" s="1922"/>
      <c r="AP959" s="1922"/>
      <c r="AQ959" s="192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1"/>
      <c r="AK960" s="1922"/>
      <c r="AL960" s="1922"/>
      <c r="AM960" s="1922"/>
      <c r="AN960" s="1922"/>
      <c r="AO960" s="1922"/>
      <c r="AP960" s="1922"/>
      <c r="AQ960" s="192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1"/>
      <c r="AK961" s="1922"/>
      <c r="AL961" s="1922"/>
      <c r="AM961" s="1922"/>
      <c r="AN961" s="1922"/>
      <c r="AO961" s="1922"/>
      <c r="AP961" s="1922"/>
      <c r="AQ961" s="192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1"/>
      <c r="AK962" s="1922"/>
      <c r="AL962" s="1922"/>
      <c r="AM962" s="1922"/>
      <c r="AN962" s="1922"/>
      <c r="AO962" s="1922"/>
      <c r="AP962" s="1922"/>
      <c r="AQ962" s="192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18"/>
      <c r="AK963" s="1919"/>
      <c r="AL963" s="1919"/>
      <c r="AM963" s="1919"/>
      <c r="AN963" s="1919"/>
      <c r="AO963" s="1919"/>
      <c r="AP963" s="1919"/>
      <c r="AQ963" s="192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910" t="s">
        <v>2217</v>
      </c>
      <c r="E964" s="1911"/>
      <c r="F964" s="1911"/>
      <c r="G964" s="1911"/>
      <c r="H964" s="1911"/>
      <c r="I964" s="1911"/>
      <c r="J964" s="1911"/>
      <c r="K964" s="1911"/>
      <c r="L964" s="1911"/>
      <c r="M964" s="1911"/>
      <c r="N964" s="1911"/>
      <c r="O964" s="1911"/>
      <c r="P964" s="1911"/>
      <c r="Q964" s="1911"/>
      <c r="R964" s="1911"/>
      <c r="S964" s="1911"/>
      <c r="T964" s="1911"/>
      <c r="U964" s="1911"/>
      <c r="V964" s="1911"/>
      <c r="W964" s="1911"/>
      <c r="X964" s="1911"/>
      <c r="Y964" s="1911"/>
      <c r="Z964" s="1911"/>
      <c r="AA964" s="1911"/>
      <c r="AB964" s="1911"/>
      <c r="AC964" s="1911"/>
      <c r="AD964" s="1911"/>
      <c r="AE964" s="1912"/>
      <c r="AF964" s="130"/>
      <c r="AG964" s="1913" t="s">
        <v>527</v>
      </c>
      <c r="AH964" s="1914"/>
      <c r="AI964" s="131"/>
      <c r="AJ964" s="1915">
        <f>ROUND(IF(AG964="yes",AJ953*0.1,0),0)</f>
        <v>0</v>
      </c>
      <c r="AK964" s="1916"/>
      <c r="AL964" s="1916"/>
      <c r="AM964" s="1916"/>
      <c r="AN964" s="1916"/>
      <c r="AO964" s="1916"/>
      <c r="AP964" s="1916"/>
      <c r="AQ964" s="191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4" t="s">
        <v>2218</v>
      </c>
      <c r="E965" s="1925"/>
      <c r="F965" s="1925"/>
      <c r="G965" s="1925"/>
      <c r="H965" s="1925"/>
      <c r="I965" s="1925"/>
      <c r="J965" s="1925"/>
      <c r="K965" s="1925"/>
      <c r="L965" s="1925"/>
      <c r="M965" s="1925"/>
      <c r="N965" s="1925"/>
      <c r="O965" s="1925"/>
      <c r="P965" s="1925"/>
      <c r="Q965" s="1925"/>
      <c r="R965" s="1925"/>
      <c r="S965" s="1925"/>
      <c r="T965" s="1925"/>
      <c r="U965" s="1925"/>
      <c r="V965" s="1925"/>
      <c r="W965" s="1925"/>
      <c r="X965" s="1925"/>
      <c r="Y965" s="1925"/>
      <c r="Z965" s="1925"/>
      <c r="AA965" s="1925"/>
      <c r="AB965" s="1925"/>
      <c r="AC965" s="1925"/>
      <c r="AD965" s="1925"/>
      <c r="AE965" s="1926"/>
      <c r="AF965" s="124"/>
      <c r="AG965" s="35"/>
      <c r="AH965" s="35"/>
      <c r="AI965" s="129"/>
      <c r="AJ965" s="1921"/>
      <c r="AK965" s="1922"/>
      <c r="AL965" s="1922"/>
      <c r="AM965" s="1922"/>
      <c r="AN965" s="1922"/>
      <c r="AO965" s="1922"/>
      <c r="AP965" s="1922"/>
      <c r="AQ965" s="192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4"/>
      <c r="E966" s="1925"/>
      <c r="F966" s="1925"/>
      <c r="G966" s="1925"/>
      <c r="H966" s="1925"/>
      <c r="I966" s="1925"/>
      <c r="J966" s="1925"/>
      <c r="K966" s="1925"/>
      <c r="L966" s="1925"/>
      <c r="M966" s="1925"/>
      <c r="N966" s="1925"/>
      <c r="O966" s="1925"/>
      <c r="P966" s="1925"/>
      <c r="Q966" s="1925"/>
      <c r="R966" s="1925"/>
      <c r="S966" s="1925"/>
      <c r="T966" s="1925"/>
      <c r="U966" s="1925"/>
      <c r="V966" s="1925"/>
      <c r="W966" s="1925"/>
      <c r="X966" s="1925"/>
      <c r="Y966" s="1925"/>
      <c r="Z966" s="1925"/>
      <c r="AA966" s="1925"/>
      <c r="AB966" s="1925"/>
      <c r="AC966" s="1925"/>
      <c r="AD966" s="1925"/>
      <c r="AE966" s="1926"/>
      <c r="AF966" s="124"/>
      <c r="AG966" s="125"/>
      <c r="AH966" s="125"/>
      <c r="AI966" s="129"/>
      <c r="AJ966" s="1921"/>
      <c r="AK966" s="1922"/>
      <c r="AL966" s="1922"/>
      <c r="AM966" s="1922"/>
      <c r="AN966" s="1922"/>
      <c r="AO966" s="1922"/>
      <c r="AP966" s="1922"/>
      <c r="AQ966" s="192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7"/>
      <c r="E967" s="1928"/>
      <c r="F967" s="1928"/>
      <c r="G967" s="1928"/>
      <c r="H967" s="1928"/>
      <c r="I967" s="1928"/>
      <c r="J967" s="1928"/>
      <c r="K967" s="1928"/>
      <c r="L967" s="1928"/>
      <c r="M967" s="1928"/>
      <c r="N967" s="1928"/>
      <c r="O967" s="1928"/>
      <c r="P967" s="1928"/>
      <c r="Q967" s="1928"/>
      <c r="R967" s="1928"/>
      <c r="S967" s="1928"/>
      <c r="T967" s="1928"/>
      <c r="U967" s="1928"/>
      <c r="V967" s="1928"/>
      <c r="W967" s="1928"/>
      <c r="X967" s="1928"/>
      <c r="Y967" s="1928"/>
      <c r="Z967" s="1928"/>
      <c r="AA967" s="1928"/>
      <c r="AB967" s="1928"/>
      <c r="AC967" s="1928"/>
      <c r="AD967" s="1928"/>
      <c r="AE967" s="1929"/>
      <c r="AF967" s="126"/>
      <c r="AG967" s="15"/>
      <c r="AH967" s="15"/>
      <c r="AI967" s="127"/>
      <c r="AJ967" s="1918"/>
      <c r="AK967" s="1919"/>
      <c r="AL967" s="1919"/>
      <c r="AM967" s="1919"/>
      <c r="AN967" s="1919"/>
      <c r="AO967" s="1919"/>
      <c r="AP967" s="1919"/>
      <c r="AQ967" s="192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10" t="s">
        <v>2090</v>
      </c>
      <c r="E968" s="1911"/>
      <c r="F968" s="1911"/>
      <c r="G968" s="1911"/>
      <c r="H968" s="1911"/>
      <c r="I968" s="1911"/>
      <c r="J968" s="1911"/>
      <c r="K968" s="1911"/>
      <c r="L968" s="1911"/>
      <c r="M968" s="1911"/>
      <c r="N968" s="1911"/>
      <c r="O968" s="1911"/>
      <c r="P968" s="1911"/>
      <c r="Q968" s="1911"/>
      <c r="R968" s="1911"/>
      <c r="S968" s="1911"/>
      <c r="T968" s="1911"/>
      <c r="U968" s="1911"/>
      <c r="V968" s="1911"/>
      <c r="W968" s="1911"/>
      <c r="X968" s="1911"/>
      <c r="Y968" s="1911"/>
      <c r="Z968" s="1911"/>
      <c r="AA968" s="1911"/>
      <c r="AB968" s="1911"/>
      <c r="AC968" s="1911"/>
      <c r="AD968" s="1911"/>
      <c r="AE968" s="1912"/>
      <c r="AF968" s="128"/>
      <c r="AG968" s="1913" t="s">
        <v>527</v>
      </c>
      <c r="AH968" s="1914"/>
      <c r="AI968" s="131"/>
      <c r="AJ968" s="1915">
        <f>ROUND(IF(AG968="yes",AJ953*0.02,0),0)</f>
        <v>0</v>
      </c>
      <c r="AK968" s="1916"/>
      <c r="AL968" s="1916"/>
      <c r="AM968" s="1916"/>
      <c r="AN968" s="1916"/>
      <c r="AO968" s="1916"/>
      <c r="AP968" s="1916"/>
      <c r="AQ968" s="191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7" t="s">
        <v>2091</v>
      </c>
      <c r="E969" s="1928"/>
      <c r="F969" s="1928"/>
      <c r="G969" s="1928"/>
      <c r="H969" s="1928"/>
      <c r="I969" s="1928"/>
      <c r="J969" s="1928"/>
      <c r="K969" s="1928"/>
      <c r="L969" s="1928"/>
      <c r="M969" s="1928"/>
      <c r="N969" s="1928"/>
      <c r="O969" s="1928"/>
      <c r="P969" s="1928"/>
      <c r="Q969" s="1928"/>
      <c r="R969" s="1928"/>
      <c r="S969" s="1928"/>
      <c r="T969" s="1928"/>
      <c r="U969" s="1928"/>
      <c r="V969" s="1928"/>
      <c r="W969" s="1928"/>
      <c r="X969" s="1928"/>
      <c r="Y969" s="1928"/>
      <c r="Z969" s="1928"/>
      <c r="AA969" s="1928"/>
      <c r="AB969" s="1928"/>
      <c r="AC969" s="1928"/>
      <c r="AD969" s="1928"/>
      <c r="AE969" s="1929"/>
      <c r="AF969" s="126"/>
      <c r="AG969" s="15"/>
      <c r="AH969" s="15"/>
      <c r="AI969" s="127"/>
      <c r="AJ969" s="1918"/>
      <c r="AK969" s="1919"/>
      <c r="AL969" s="1919"/>
      <c r="AM969" s="1919"/>
      <c r="AN969" s="1919"/>
      <c r="AO969" s="1919"/>
      <c r="AP969" s="1919"/>
      <c r="AQ969" s="192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10" t="s">
        <v>2092</v>
      </c>
      <c r="E970" s="1911"/>
      <c r="F970" s="1911"/>
      <c r="G970" s="1911"/>
      <c r="H970" s="1911"/>
      <c r="I970" s="1911"/>
      <c r="J970" s="1911"/>
      <c r="K970" s="1911"/>
      <c r="L970" s="1911"/>
      <c r="M970" s="1911"/>
      <c r="N970" s="1911"/>
      <c r="O970" s="1911"/>
      <c r="P970" s="1911"/>
      <c r="Q970" s="1911"/>
      <c r="R970" s="1911"/>
      <c r="S970" s="1911"/>
      <c r="T970" s="1911"/>
      <c r="U970" s="1911"/>
      <c r="V970" s="1911"/>
      <c r="W970" s="1911"/>
      <c r="X970" s="1911"/>
      <c r="Y970" s="1911"/>
      <c r="Z970" s="1911"/>
      <c r="AA970" s="1911"/>
      <c r="AB970" s="1911"/>
      <c r="AC970" s="1911"/>
      <c r="AD970" s="1911"/>
      <c r="AE970" s="1912"/>
      <c r="AF970" s="128"/>
      <c r="AG970" s="1913" t="s">
        <v>527</v>
      </c>
      <c r="AH970" s="1914"/>
      <c r="AI970" s="128"/>
      <c r="AJ970" s="1915">
        <f>ROUND(IF(AG970="yes",AJ953*0.02,0),0)</f>
        <v>0</v>
      </c>
      <c r="AK970" s="1916"/>
      <c r="AL970" s="1916"/>
      <c r="AM970" s="1916"/>
      <c r="AN970" s="1916"/>
      <c r="AO970" s="1916"/>
      <c r="AP970" s="1916"/>
      <c r="AQ970" s="191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4" t="s">
        <v>2093</v>
      </c>
      <c r="E971" s="1925"/>
      <c r="F971" s="1925"/>
      <c r="G971" s="1925"/>
      <c r="H971" s="1925"/>
      <c r="I971" s="1925"/>
      <c r="J971" s="1925"/>
      <c r="K971" s="1925"/>
      <c r="L971" s="1925"/>
      <c r="M971" s="1925"/>
      <c r="N971" s="1925"/>
      <c r="O971" s="1925"/>
      <c r="P971" s="1925"/>
      <c r="Q971" s="1925"/>
      <c r="R971" s="1925"/>
      <c r="S971" s="1925"/>
      <c r="T971" s="1925"/>
      <c r="U971" s="1925"/>
      <c r="V971" s="1925"/>
      <c r="W971" s="1925"/>
      <c r="X971" s="1925"/>
      <c r="Y971" s="1925"/>
      <c r="Z971" s="1925"/>
      <c r="AA971" s="1925"/>
      <c r="AB971" s="1925"/>
      <c r="AC971" s="1925"/>
      <c r="AD971" s="1925"/>
      <c r="AE971" s="1926"/>
      <c r="AF971" s="124"/>
      <c r="AG971" s="35"/>
      <c r="AH971" s="35"/>
      <c r="AI971" s="125"/>
      <c r="AJ971" s="1921"/>
      <c r="AK971" s="1922"/>
      <c r="AL971" s="1922"/>
      <c r="AM971" s="1922"/>
      <c r="AN971" s="1922"/>
      <c r="AO971" s="1922"/>
      <c r="AP971" s="1922"/>
      <c r="AQ971" s="192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7"/>
      <c r="E972" s="1928"/>
      <c r="F972" s="1928"/>
      <c r="G972" s="1928"/>
      <c r="H972" s="1928"/>
      <c r="I972" s="1928"/>
      <c r="J972" s="1928"/>
      <c r="K972" s="1928"/>
      <c r="L972" s="1928"/>
      <c r="M972" s="1928"/>
      <c r="N972" s="1928"/>
      <c r="O972" s="1928"/>
      <c r="P972" s="1928"/>
      <c r="Q972" s="1928"/>
      <c r="R972" s="1928"/>
      <c r="S972" s="1928"/>
      <c r="T972" s="1928"/>
      <c r="U972" s="1928"/>
      <c r="V972" s="1928"/>
      <c r="W972" s="1928"/>
      <c r="X972" s="1928"/>
      <c r="Y972" s="1928"/>
      <c r="Z972" s="1928"/>
      <c r="AA972" s="1928"/>
      <c r="AB972" s="1928"/>
      <c r="AC972" s="1928"/>
      <c r="AD972" s="1928"/>
      <c r="AE972" s="1929"/>
      <c r="AF972" s="126"/>
      <c r="AG972" s="15"/>
      <c r="AH972" s="15"/>
      <c r="AI972" s="127"/>
      <c r="AJ972" s="1918"/>
      <c r="AK972" s="1919"/>
      <c r="AL972" s="1919"/>
      <c r="AM972" s="1919"/>
      <c r="AN972" s="1919"/>
      <c r="AO972" s="1919"/>
      <c r="AP972" s="1919"/>
      <c r="AQ972" s="192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38" t="s">
        <v>2094</v>
      </c>
      <c r="E973" s="1939"/>
      <c r="F973" s="1939"/>
      <c r="G973" s="1939"/>
      <c r="H973" s="1939"/>
      <c r="I973" s="1939"/>
      <c r="J973" s="1939"/>
      <c r="K973" s="1939"/>
      <c r="L973" s="1939"/>
      <c r="M973" s="1939"/>
      <c r="N973" s="1939"/>
      <c r="O973" s="1939"/>
      <c r="P973" s="1939"/>
      <c r="Q973" s="1939"/>
      <c r="R973" s="1939"/>
      <c r="S973" s="1939"/>
      <c r="T973" s="1939"/>
      <c r="U973" s="1939"/>
      <c r="V973" s="1939"/>
      <c r="W973" s="1939"/>
      <c r="X973" s="1939"/>
      <c r="Y973" s="1939"/>
      <c r="Z973" s="1939"/>
      <c r="AA973" s="1939"/>
      <c r="AB973" s="1939"/>
      <c r="AC973" s="1939"/>
      <c r="AD973" s="1939"/>
      <c r="AE973" s="1940"/>
      <c r="AF973" s="128"/>
      <c r="AG973" s="1913" t="s">
        <v>527</v>
      </c>
      <c r="AH973" s="1914"/>
      <c r="AI973" s="131"/>
      <c r="AJ973" s="1915">
        <f>IF(AG973="yes",AJ953*AY932,0)</f>
        <v>0</v>
      </c>
      <c r="AK973" s="1916"/>
      <c r="AL973" s="1916"/>
      <c r="AM973" s="1916"/>
      <c r="AN973" s="1916"/>
      <c r="AO973" s="1916"/>
      <c r="AP973" s="1916"/>
      <c r="AQ973" s="191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
      <c r="A974" s="65"/>
      <c r="B974" s="124"/>
      <c r="C974" s="859"/>
      <c r="D974" s="1924" t="s">
        <v>2219</v>
      </c>
      <c r="E974" s="1925"/>
      <c r="F974" s="1925"/>
      <c r="G974" s="1925"/>
      <c r="H974" s="1925"/>
      <c r="I974" s="1925"/>
      <c r="J974" s="1925"/>
      <c r="K974" s="1925"/>
      <c r="L974" s="1925"/>
      <c r="M974" s="1925"/>
      <c r="N974" s="1925"/>
      <c r="O974" s="1925"/>
      <c r="P974" s="1925"/>
      <c r="Q974" s="1925"/>
      <c r="R974" s="1925"/>
      <c r="S974" s="1925"/>
      <c r="T974" s="1925"/>
      <c r="U974" s="1925"/>
      <c r="V974" s="1925"/>
      <c r="W974" s="1925"/>
      <c r="X974" s="1925"/>
      <c r="Y974" s="1925"/>
      <c r="Z974" s="1925"/>
      <c r="AA974" s="1925"/>
      <c r="AB974" s="1925"/>
      <c r="AC974" s="1925"/>
      <c r="AD974" s="1925"/>
      <c r="AE974" s="1926"/>
      <c r="AF974" s="124"/>
      <c r="AG974" s="125"/>
      <c r="AH974" s="125"/>
      <c r="AI974" s="129"/>
      <c r="AJ974" s="1921"/>
      <c r="AK974" s="1922"/>
      <c r="AL974" s="1922"/>
      <c r="AM974" s="1922"/>
      <c r="AN974" s="1922"/>
      <c r="AO974" s="1922"/>
      <c r="AP974" s="1922"/>
      <c r="AQ974" s="192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4"/>
      <c r="E975" s="1925"/>
      <c r="F975" s="1925"/>
      <c r="G975" s="1925"/>
      <c r="H975" s="1925"/>
      <c r="I975" s="1925"/>
      <c r="J975" s="1925"/>
      <c r="K975" s="1925"/>
      <c r="L975" s="1925"/>
      <c r="M975" s="1925"/>
      <c r="N975" s="1925"/>
      <c r="O975" s="1925"/>
      <c r="P975" s="1925"/>
      <c r="Q975" s="1925"/>
      <c r="R975" s="1925"/>
      <c r="S975" s="1925"/>
      <c r="T975" s="1925"/>
      <c r="U975" s="1925"/>
      <c r="V975" s="1925"/>
      <c r="W975" s="1925"/>
      <c r="X975" s="1925"/>
      <c r="Y975" s="1925"/>
      <c r="Z975" s="1925"/>
      <c r="AA975" s="1925"/>
      <c r="AB975" s="1925"/>
      <c r="AC975" s="1925"/>
      <c r="AD975" s="1925"/>
      <c r="AE975" s="1926"/>
      <c r="AF975" s="124"/>
      <c r="AG975" s="125"/>
      <c r="AH975" s="125"/>
      <c r="AI975" s="129"/>
      <c r="AJ975" s="1921"/>
      <c r="AK975" s="1922"/>
      <c r="AL975" s="1922"/>
      <c r="AM975" s="1922"/>
      <c r="AN975" s="1922"/>
      <c r="AO975" s="1922"/>
      <c r="AP975" s="1922"/>
      <c r="AQ975" s="192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6">
      <c r="A976" s="65"/>
      <c r="B976" s="1427"/>
      <c r="C976" s="1423"/>
      <c r="D976" s="1927"/>
      <c r="E976" s="1928"/>
      <c r="F976" s="1928"/>
      <c r="G976" s="1928"/>
      <c r="H976" s="1928"/>
      <c r="I976" s="1928"/>
      <c r="J976" s="1928"/>
      <c r="K976" s="1928"/>
      <c r="L976" s="1928"/>
      <c r="M976" s="1928"/>
      <c r="N976" s="1928"/>
      <c r="O976" s="1928"/>
      <c r="P976" s="1928"/>
      <c r="Q976" s="1928"/>
      <c r="R976" s="1928"/>
      <c r="S976" s="1928"/>
      <c r="T976" s="1928"/>
      <c r="U976" s="1928"/>
      <c r="V976" s="1928"/>
      <c r="W976" s="1928"/>
      <c r="X976" s="1928"/>
      <c r="Y976" s="1928"/>
      <c r="Z976" s="1928"/>
      <c r="AA976" s="1928"/>
      <c r="AB976" s="1928"/>
      <c r="AC976" s="1928"/>
      <c r="AD976" s="1928"/>
      <c r="AE976" s="1929"/>
      <c r="AF976" s="126"/>
      <c r="AG976" s="15"/>
      <c r="AH976" s="15"/>
      <c r="AI976" s="127"/>
      <c r="AJ976" s="1918"/>
      <c r="AK976" s="1919"/>
      <c r="AL976" s="1919"/>
      <c r="AM976" s="1919"/>
      <c r="AN976" s="1919"/>
      <c r="AO976" s="1919"/>
      <c r="AP976" s="1919"/>
      <c r="AQ976" s="192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71" t="s">
        <v>2095</v>
      </c>
      <c r="E977" s="2172"/>
      <c r="F977" s="2172"/>
      <c r="G977" s="2172"/>
      <c r="H977" s="2172"/>
      <c r="I977" s="2172"/>
      <c r="J977" s="2172"/>
      <c r="K977" s="2172"/>
      <c r="L977" s="2172"/>
      <c r="M977" s="2172"/>
      <c r="N977" s="2172"/>
      <c r="O977" s="2172"/>
      <c r="P977" s="2172"/>
      <c r="Q977" s="2172"/>
      <c r="R977" s="2172"/>
      <c r="S977" s="2172"/>
      <c r="T977" s="2172"/>
      <c r="U977" s="2172"/>
      <c r="V977" s="2172"/>
      <c r="W977" s="2172"/>
      <c r="X977" s="2172"/>
      <c r="Y977" s="2172"/>
      <c r="Z977" s="2172"/>
      <c r="AA977" s="2172"/>
      <c r="AB977" s="2172"/>
      <c r="AC977" s="2172"/>
      <c r="AD977" s="2172"/>
      <c r="AE977" s="2173"/>
      <c r="AF977" s="128"/>
      <c r="AG977" s="1913" t="s">
        <v>527</v>
      </c>
      <c r="AH977" s="1914"/>
      <c r="AI977" s="131"/>
      <c r="AJ977" s="1915">
        <f>ROUND(IF(AG977="Yes",AF980,0),0)</f>
        <v>0</v>
      </c>
      <c r="AK977" s="1916"/>
      <c r="AL977" s="1916"/>
      <c r="AM977" s="1916"/>
      <c r="AN977" s="1916"/>
      <c r="AO977" s="1916"/>
      <c r="AP977" s="1916"/>
      <c r="AQ977" s="191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4"/>
      <c r="E978" s="2175"/>
      <c r="F978" s="2175"/>
      <c r="G978" s="2175"/>
      <c r="H978" s="2175"/>
      <c r="I978" s="2175"/>
      <c r="J978" s="2175"/>
      <c r="K978" s="2175"/>
      <c r="L978" s="2175"/>
      <c r="M978" s="2175"/>
      <c r="N978" s="2175"/>
      <c r="O978" s="2175"/>
      <c r="P978" s="2175"/>
      <c r="Q978" s="2175"/>
      <c r="R978" s="2175"/>
      <c r="S978" s="2175"/>
      <c r="T978" s="2175"/>
      <c r="U978" s="2175"/>
      <c r="V978" s="2175"/>
      <c r="W978" s="2175"/>
      <c r="X978" s="2175"/>
      <c r="Y978" s="2175"/>
      <c r="Z978" s="2175"/>
      <c r="AA978" s="2175"/>
      <c r="AB978" s="2175"/>
      <c r="AC978" s="2175"/>
      <c r="AD978" s="2175"/>
      <c r="AE978" s="2176"/>
      <c r="AF978" s="1702">
        <f>IF(AG977="yes","Please Select Type and Enter Amount:",0)</f>
        <v>0</v>
      </c>
      <c r="AG978" s="1703"/>
      <c r="AH978" s="1703"/>
      <c r="AI978" s="1704"/>
      <c r="AJ978" s="1921"/>
      <c r="AK978" s="1922"/>
      <c r="AL978" s="1922"/>
      <c r="AM978" s="1922"/>
      <c r="AN978" s="1922"/>
      <c r="AO978" s="1922"/>
      <c r="AP978" s="1922"/>
      <c r="AQ978" s="192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4" t="s">
        <v>2096</v>
      </c>
      <c r="E979" s="1925"/>
      <c r="F979" s="1925"/>
      <c r="G979" s="1925"/>
      <c r="H979" s="1925"/>
      <c r="I979" s="1925"/>
      <c r="J979" s="1925"/>
      <c r="K979" s="1925"/>
      <c r="L979" s="1925"/>
      <c r="M979" s="1925"/>
      <c r="N979" s="1925"/>
      <c r="O979" s="1925"/>
      <c r="P979" s="1925"/>
      <c r="Q979" s="1925"/>
      <c r="R979" s="1925"/>
      <c r="S979" s="1925"/>
      <c r="T979" s="1925"/>
      <c r="U979" s="1925"/>
      <c r="V979" s="1925"/>
      <c r="W979" s="1925"/>
      <c r="X979" s="1925"/>
      <c r="Y979" s="1925"/>
      <c r="Z979" s="1925"/>
      <c r="AA979" s="1925"/>
      <c r="AB979" s="1925"/>
      <c r="AC979" s="1925"/>
      <c r="AD979" s="1925"/>
      <c r="AE979" s="1926"/>
      <c r="AF979" s="1702"/>
      <c r="AG979" s="1703"/>
      <c r="AH979" s="1703"/>
      <c r="AI979" s="1704"/>
      <c r="AJ979" s="1921"/>
      <c r="AK979" s="1922"/>
      <c r="AL979" s="1922"/>
      <c r="AM979" s="1922"/>
      <c r="AN979" s="1922"/>
      <c r="AO979" s="1922"/>
      <c r="AP979" s="1922"/>
      <c r="AQ979" s="192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4"/>
      <c r="E980" s="1925"/>
      <c r="F980" s="1925"/>
      <c r="G980" s="1925"/>
      <c r="H980" s="1925"/>
      <c r="I980" s="1925"/>
      <c r="J980" s="1925"/>
      <c r="K980" s="1925"/>
      <c r="L980" s="1925"/>
      <c r="M980" s="1925"/>
      <c r="N980" s="1925"/>
      <c r="O980" s="1925"/>
      <c r="P980" s="1925"/>
      <c r="Q980" s="1925"/>
      <c r="R980" s="1925"/>
      <c r="S980" s="1925"/>
      <c r="T980" s="1925"/>
      <c r="U980" s="1925"/>
      <c r="V980" s="1925"/>
      <c r="W980" s="1925"/>
      <c r="X980" s="1925"/>
      <c r="Y980" s="1925"/>
      <c r="Z980" s="1925"/>
      <c r="AA980" s="1925"/>
      <c r="AB980" s="1925"/>
      <c r="AC980" s="1925"/>
      <c r="AD980" s="1925"/>
      <c r="AE980" s="1926"/>
      <c r="AF980" s="1705"/>
      <c r="AG980" s="1705"/>
      <c r="AH980" s="1705"/>
      <c r="AI980" s="1705"/>
      <c r="AJ980" s="1921"/>
      <c r="AK980" s="1922"/>
      <c r="AL980" s="1922"/>
      <c r="AM980" s="1922"/>
      <c r="AN980" s="1922"/>
      <c r="AO980" s="1922"/>
      <c r="AP980" s="1922"/>
      <c r="AQ980" s="192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7" t="s">
        <v>135</v>
      </c>
      <c r="K981" s="2178"/>
      <c r="L981" s="2178"/>
      <c r="M981" s="2178"/>
      <c r="N981" s="2178"/>
      <c r="O981" s="2178"/>
      <c r="P981" s="2178"/>
      <c r="Q981" s="2178"/>
      <c r="R981" s="2178"/>
      <c r="S981" s="2178"/>
      <c r="T981" s="2178"/>
      <c r="U981" s="2178"/>
      <c r="V981" s="2178"/>
      <c r="W981" s="2178"/>
      <c r="X981" s="2178"/>
      <c r="Y981" s="2178"/>
      <c r="Z981" s="2178"/>
      <c r="AA981" s="2178"/>
      <c r="AB981" s="2178"/>
      <c r="AC981" s="2178"/>
      <c r="AD981" s="2178"/>
      <c r="AE981" s="2179"/>
      <c r="AF981" s="1705"/>
      <c r="AG981" s="1705"/>
      <c r="AH981" s="1705"/>
      <c r="AI981" s="1705"/>
      <c r="AJ981" s="1918"/>
      <c r="AK981" s="1919"/>
      <c r="AL981" s="1919"/>
      <c r="AM981" s="1919"/>
      <c r="AN981" s="1919"/>
      <c r="AO981" s="1919"/>
      <c r="AP981" s="1919"/>
      <c r="AQ981" s="192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0" t="s">
        <v>2097</v>
      </c>
      <c r="E982" s="1911"/>
      <c r="F982" s="1911"/>
      <c r="G982" s="1911"/>
      <c r="H982" s="1911"/>
      <c r="I982" s="1911"/>
      <c r="J982" s="1911"/>
      <c r="K982" s="1911"/>
      <c r="L982" s="1911"/>
      <c r="M982" s="1911"/>
      <c r="N982" s="1911"/>
      <c r="O982" s="1911"/>
      <c r="P982" s="1911"/>
      <c r="Q982" s="1911"/>
      <c r="R982" s="1911"/>
      <c r="S982" s="1911"/>
      <c r="T982" s="1911"/>
      <c r="U982" s="1911"/>
      <c r="V982" s="1911"/>
      <c r="W982" s="1911"/>
      <c r="X982" s="1911"/>
      <c r="Y982" s="1911"/>
      <c r="Z982" s="1911"/>
      <c r="AA982" s="1911"/>
      <c r="AB982" s="1911"/>
      <c r="AC982" s="1911"/>
      <c r="AD982" s="1911"/>
      <c r="AE982" s="1912"/>
      <c r="AF982" s="128"/>
      <c r="AG982" s="1913" t="s">
        <v>119</v>
      </c>
      <c r="AH982" s="1914"/>
      <c r="AI982" s="131"/>
      <c r="AJ982" s="1915">
        <f>ROUND(IF(AG982="Yes",AF984,0),0)</f>
        <v>1531006</v>
      </c>
      <c r="AK982" s="1916"/>
      <c r="AL982" s="1916"/>
      <c r="AM982" s="1916"/>
      <c r="AN982" s="1916"/>
      <c r="AO982" s="1916"/>
      <c r="AP982" s="1916"/>
      <c r="AQ982" s="191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4" t="s">
        <v>2220</v>
      </c>
      <c r="E983" s="1925"/>
      <c r="F983" s="1925"/>
      <c r="G983" s="1925"/>
      <c r="H983" s="1925"/>
      <c r="I983" s="1925"/>
      <c r="J983" s="1925"/>
      <c r="K983" s="1925"/>
      <c r="L983" s="1925"/>
      <c r="M983" s="1925"/>
      <c r="N983" s="1925"/>
      <c r="O983" s="1925"/>
      <c r="P983" s="1925"/>
      <c r="Q983" s="1925"/>
      <c r="R983" s="1925"/>
      <c r="S983" s="1925"/>
      <c r="T983" s="1925"/>
      <c r="U983" s="1925"/>
      <c r="V983" s="1925"/>
      <c r="W983" s="1925"/>
      <c r="X983" s="1925"/>
      <c r="Y983" s="1925"/>
      <c r="Z983" s="1925"/>
      <c r="AA983" s="1925"/>
      <c r="AB983" s="1925"/>
      <c r="AC983" s="1925"/>
      <c r="AD983" s="1925"/>
      <c r="AE983" s="1926"/>
      <c r="AF983" s="1706" t="str">
        <f>IF(AG982="yes","Please Enter Amount:",0)</f>
        <v>Please Enter Amount:</v>
      </c>
      <c r="AG983" s="1707"/>
      <c r="AH983" s="1707"/>
      <c r="AI983" s="1708"/>
      <c r="AJ983" s="1921"/>
      <c r="AK983" s="1922"/>
      <c r="AL983" s="1922"/>
      <c r="AM983" s="1922"/>
      <c r="AN983" s="1922"/>
      <c r="AO983" s="1922"/>
      <c r="AP983" s="1922"/>
      <c r="AQ983" s="192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
      <c r="A984" s="65"/>
      <c r="B984" s="124"/>
      <c r="C984" s="859"/>
      <c r="D984" s="1924"/>
      <c r="E984" s="1925"/>
      <c r="F984" s="1925"/>
      <c r="G984" s="1925"/>
      <c r="H984" s="1925"/>
      <c r="I984" s="1925"/>
      <c r="J984" s="1925"/>
      <c r="K984" s="1925"/>
      <c r="L984" s="1925"/>
      <c r="M984" s="1925"/>
      <c r="N984" s="1925"/>
      <c r="O984" s="1925"/>
      <c r="P984" s="1925"/>
      <c r="Q984" s="1925"/>
      <c r="R984" s="1925"/>
      <c r="S984" s="1925"/>
      <c r="T984" s="1925"/>
      <c r="U984" s="1925"/>
      <c r="V984" s="1925"/>
      <c r="W984" s="1925"/>
      <c r="X984" s="1925"/>
      <c r="Y984" s="1925"/>
      <c r="Z984" s="1925"/>
      <c r="AA984" s="1925"/>
      <c r="AB984" s="1925"/>
      <c r="AC984" s="1925"/>
      <c r="AD984" s="1925"/>
      <c r="AE984" s="1926"/>
      <c r="AF984" s="1705">
        <v>1531006</v>
      </c>
      <c r="AG984" s="1705"/>
      <c r="AH984" s="1705"/>
      <c r="AI984" s="1705"/>
      <c r="AJ984" s="1921"/>
      <c r="AK984" s="1922"/>
      <c r="AL984" s="1922"/>
      <c r="AM984" s="1922"/>
      <c r="AN984" s="1922"/>
      <c r="AO984" s="1922"/>
      <c r="AP984" s="1922"/>
      <c r="AQ984" s="192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7"/>
      <c r="E985" s="1928"/>
      <c r="F985" s="1928"/>
      <c r="G985" s="1928"/>
      <c r="H985" s="1928"/>
      <c r="I985" s="1928"/>
      <c r="J985" s="1928"/>
      <c r="K985" s="1928"/>
      <c r="L985" s="1928"/>
      <c r="M985" s="1928"/>
      <c r="N985" s="1928"/>
      <c r="O985" s="1928"/>
      <c r="P985" s="1928"/>
      <c r="Q985" s="1928"/>
      <c r="R985" s="1928"/>
      <c r="S985" s="1928"/>
      <c r="T985" s="1928"/>
      <c r="U985" s="1928"/>
      <c r="V985" s="1928"/>
      <c r="W985" s="1928"/>
      <c r="X985" s="1928"/>
      <c r="Y985" s="1928"/>
      <c r="Z985" s="1928"/>
      <c r="AA985" s="1928"/>
      <c r="AB985" s="1928"/>
      <c r="AC985" s="1928"/>
      <c r="AD985" s="1928"/>
      <c r="AE985" s="1929"/>
      <c r="AF985" s="1705"/>
      <c r="AG985" s="1705"/>
      <c r="AH985" s="1705"/>
      <c r="AI985" s="1705"/>
      <c r="AJ985" s="1918"/>
      <c r="AK985" s="1919"/>
      <c r="AL985" s="1919"/>
      <c r="AM985" s="1919"/>
      <c r="AN985" s="1919"/>
      <c r="AO985" s="1919"/>
      <c r="AP985" s="1919"/>
      <c r="AQ985" s="1920"/>
    </row>
    <row r="986" spans="1:97" ht="12.75" customHeight="1">
      <c r="A986" s="65"/>
      <c r="B986" s="128"/>
      <c r="C986" s="858" t="s">
        <v>634</v>
      </c>
      <c r="D986" s="1938" t="s">
        <v>2098</v>
      </c>
      <c r="E986" s="1939"/>
      <c r="F986" s="1939"/>
      <c r="G986" s="1939"/>
      <c r="H986" s="1939"/>
      <c r="I986" s="1939"/>
      <c r="J986" s="1939"/>
      <c r="K986" s="1939"/>
      <c r="L986" s="1939"/>
      <c r="M986" s="1939"/>
      <c r="N986" s="1939"/>
      <c r="O986" s="1939"/>
      <c r="P986" s="1939"/>
      <c r="Q986" s="1939"/>
      <c r="R986" s="1939"/>
      <c r="S986" s="1939"/>
      <c r="T986" s="1939"/>
      <c r="U986" s="1939"/>
      <c r="V986" s="1939"/>
      <c r="W986" s="1939"/>
      <c r="X986" s="1939"/>
      <c r="Y986" s="1939"/>
      <c r="Z986" s="1939"/>
      <c r="AA986" s="1939"/>
      <c r="AB986" s="1939"/>
      <c r="AC986" s="1939"/>
      <c r="AD986" s="1939"/>
      <c r="AE986" s="1940"/>
      <c r="AF986" s="128"/>
      <c r="AG986" s="1913" t="s">
        <v>527</v>
      </c>
      <c r="AH986" s="1914"/>
      <c r="AI986" s="131"/>
      <c r="AJ986" s="1915">
        <f>ROUND(IF(AG986="yes",(AJ953*0.1),0),0)</f>
        <v>0</v>
      </c>
      <c r="AK986" s="1916"/>
      <c r="AL986" s="1916"/>
      <c r="AM986" s="1916"/>
      <c r="AN986" s="1916"/>
      <c r="AO986" s="1916"/>
      <c r="AP986" s="1916"/>
      <c r="AQ986" s="1917"/>
    </row>
    <row r="987" spans="1:97" ht="12.75" customHeight="1">
      <c r="A987" s="65"/>
      <c r="B987" s="124"/>
      <c r="C987" s="859"/>
      <c r="D987" s="1924" t="s">
        <v>2099</v>
      </c>
      <c r="E987" s="1925"/>
      <c r="F987" s="1925"/>
      <c r="G987" s="1925"/>
      <c r="H987" s="1925"/>
      <c r="I987" s="1925"/>
      <c r="J987" s="1925"/>
      <c r="K987" s="1925"/>
      <c r="L987" s="1925"/>
      <c r="M987" s="1925"/>
      <c r="N987" s="1925"/>
      <c r="O987" s="1925"/>
      <c r="P987" s="1925"/>
      <c r="Q987" s="1925"/>
      <c r="R987" s="1925"/>
      <c r="S987" s="1925"/>
      <c r="T987" s="1925"/>
      <c r="U987" s="1925"/>
      <c r="V987" s="1925"/>
      <c r="W987" s="1925"/>
      <c r="X987" s="1925"/>
      <c r="Y987" s="1925"/>
      <c r="Z987" s="1925"/>
      <c r="AA987" s="1925"/>
      <c r="AB987" s="1925"/>
      <c r="AC987" s="1925"/>
      <c r="AD987" s="1925"/>
      <c r="AE987" s="1926"/>
      <c r="AF987" s="124"/>
      <c r="AG987" s="125"/>
      <c r="AH987" s="125"/>
      <c r="AI987" s="129"/>
      <c r="AJ987" s="1921"/>
      <c r="AK987" s="1922"/>
      <c r="AL987" s="1922"/>
      <c r="AM987" s="1922"/>
      <c r="AN987" s="1922"/>
      <c r="AO987" s="1922"/>
      <c r="AP987" s="1922"/>
      <c r="AQ987" s="1923"/>
    </row>
    <row r="988" spans="1:97" ht="12.75" customHeight="1">
      <c r="A988" s="857"/>
      <c r="B988" s="126"/>
      <c r="C988" s="859"/>
      <c r="D988" s="1927"/>
      <c r="E988" s="1928"/>
      <c r="F988" s="1928"/>
      <c r="G988" s="1928"/>
      <c r="H988" s="1928"/>
      <c r="I988" s="1928"/>
      <c r="J988" s="1928"/>
      <c r="K988" s="1928"/>
      <c r="L988" s="1928"/>
      <c r="M988" s="1928"/>
      <c r="N988" s="1928"/>
      <c r="O988" s="1928"/>
      <c r="P988" s="1928"/>
      <c r="Q988" s="1928"/>
      <c r="R988" s="1928"/>
      <c r="S988" s="1928"/>
      <c r="T988" s="1928"/>
      <c r="U988" s="1928"/>
      <c r="V988" s="1928"/>
      <c r="W988" s="1928"/>
      <c r="X988" s="1928"/>
      <c r="Y988" s="1928"/>
      <c r="Z988" s="1928"/>
      <c r="AA988" s="1928"/>
      <c r="AB988" s="1928"/>
      <c r="AC988" s="1928"/>
      <c r="AD988" s="1928"/>
      <c r="AE988" s="1929"/>
      <c r="AF988" s="124"/>
      <c r="AG988" s="125"/>
      <c r="AH988" s="125"/>
      <c r="AI988" s="129"/>
      <c r="AJ988" s="1918"/>
      <c r="AK988" s="1919"/>
      <c r="AL988" s="1919"/>
      <c r="AM988" s="1919"/>
      <c r="AN988" s="1919"/>
      <c r="AO988" s="1919"/>
      <c r="AP988" s="1919"/>
      <c r="AQ988" s="1920"/>
    </row>
    <row r="989" spans="1:97" ht="17.649999999999999" customHeight="1">
      <c r="A989" s="857"/>
      <c r="B989" s="124"/>
      <c r="C989" s="858" t="s">
        <v>637</v>
      </c>
      <c r="D989" s="1910" t="s">
        <v>2221</v>
      </c>
      <c r="E989" s="1911"/>
      <c r="F989" s="1911"/>
      <c r="G989" s="1911"/>
      <c r="H989" s="1911"/>
      <c r="I989" s="1911"/>
      <c r="J989" s="1911"/>
      <c r="K989" s="1911"/>
      <c r="L989" s="1911"/>
      <c r="M989" s="1911"/>
      <c r="N989" s="1911"/>
      <c r="O989" s="1911"/>
      <c r="P989" s="1911"/>
      <c r="Q989" s="1911"/>
      <c r="R989" s="1911"/>
      <c r="S989" s="1911"/>
      <c r="T989" s="1911"/>
      <c r="U989" s="1911"/>
      <c r="V989" s="1911"/>
      <c r="W989" s="1911"/>
      <c r="X989" s="1911"/>
      <c r="Y989" s="1911"/>
      <c r="Z989" s="1911"/>
      <c r="AA989" s="1911"/>
      <c r="AB989" s="1911"/>
      <c r="AC989" s="1911"/>
      <c r="AD989" s="1911"/>
      <c r="AE989" s="1912"/>
      <c r="AF989" s="128"/>
      <c r="AG989" s="1913" t="s">
        <v>527</v>
      </c>
      <c r="AH989" s="1914"/>
      <c r="AI989" s="131"/>
      <c r="AJ989" s="1915">
        <f>ROUND(IF(AG989="yes",(AJ953*0.15),0),0)</f>
        <v>0</v>
      </c>
      <c r="AK989" s="1916"/>
      <c r="AL989" s="1916"/>
      <c r="AM989" s="1916"/>
      <c r="AN989" s="1916"/>
      <c r="AO989" s="1916"/>
      <c r="AP989" s="1916"/>
      <c r="AQ989" s="1917"/>
    </row>
    <row r="990" spans="1:97" ht="12.75" customHeight="1">
      <c r="A990" s="857"/>
      <c r="B990" s="124"/>
      <c r="C990" s="859"/>
      <c r="D990" s="2166" t="s">
        <v>2222</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67"/>
      <c r="AF990" s="1430"/>
      <c r="AG990" s="1431"/>
      <c r="AH990" s="1431"/>
      <c r="AI990" s="1432"/>
      <c r="AJ990" s="1921"/>
      <c r="AK990" s="1922"/>
      <c r="AL990" s="1922"/>
      <c r="AM990" s="1922"/>
      <c r="AN990" s="1922"/>
      <c r="AO990" s="1922"/>
      <c r="AP990" s="1922"/>
      <c r="AQ990" s="192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6"/>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67"/>
      <c r="AF991" s="1430"/>
      <c r="AG991" s="1431"/>
      <c r="AH991" s="1431"/>
      <c r="AI991" s="1432"/>
      <c r="AJ991" s="1921"/>
      <c r="AK991" s="1922"/>
      <c r="AL991" s="1922"/>
      <c r="AM991" s="1922"/>
      <c r="AN991" s="1922"/>
      <c r="AO991" s="1922"/>
      <c r="AP991" s="1922"/>
      <c r="AQ991" s="192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8"/>
      <c r="E992" s="2169"/>
      <c r="F992" s="2169"/>
      <c r="G992" s="2169"/>
      <c r="H992" s="2169"/>
      <c r="I992" s="2169"/>
      <c r="J992" s="2169"/>
      <c r="K992" s="2169"/>
      <c r="L992" s="2169"/>
      <c r="M992" s="2169"/>
      <c r="N992" s="2169"/>
      <c r="O992" s="2169"/>
      <c r="P992" s="2169"/>
      <c r="Q992" s="2169"/>
      <c r="R992" s="2169"/>
      <c r="S992" s="2169"/>
      <c r="T992" s="2169"/>
      <c r="U992" s="2169"/>
      <c r="V992" s="2169"/>
      <c r="W992" s="2169"/>
      <c r="X992" s="2169"/>
      <c r="Y992" s="2169"/>
      <c r="Z992" s="2169"/>
      <c r="AA992" s="2169"/>
      <c r="AB992" s="2169"/>
      <c r="AC992" s="2169"/>
      <c r="AD992" s="2169"/>
      <c r="AE992" s="2170"/>
      <c r="AF992" s="1433"/>
      <c r="AG992" s="1434"/>
      <c r="AH992" s="1434"/>
      <c r="AI992" s="1435"/>
      <c r="AJ992" s="1918"/>
      <c r="AK992" s="1919"/>
      <c r="AL992" s="1919"/>
      <c r="AM992" s="1919"/>
      <c r="AN992" s="1919"/>
      <c r="AO992" s="1919"/>
      <c r="AP992" s="1919"/>
      <c r="AQ992" s="192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38" t="s">
        <v>2223</v>
      </c>
      <c r="E993" s="1939"/>
      <c r="F993" s="1939"/>
      <c r="G993" s="1939"/>
      <c r="H993" s="1939"/>
      <c r="I993" s="1939"/>
      <c r="J993" s="1939"/>
      <c r="K993" s="1939"/>
      <c r="L993" s="1939"/>
      <c r="M993" s="1939"/>
      <c r="N993" s="1939"/>
      <c r="O993" s="1939"/>
      <c r="P993" s="1939"/>
      <c r="Q993" s="1939"/>
      <c r="R993" s="1939"/>
      <c r="S993" s="1939"/>
      <c r="T993" s="1939"/>
      <c r="U993" s="1939"/>
      <c r="V993" s="1939"/>
      <c r="W993" s="1939"/>
      <c r="X993" s="1939"/>
      <c r="Y993" s="1939"/>
      <c r="Z993" s="1939"/>
      <c r="AA993" s="1939"/>
      <c r="AB993" s="1939"/>
      <c r="AC993" s="1939"/>
      <c r="AD993" s="1939"/>
      <c r="AE993" s="1940"/>
      <c r="AF993" s="124"/>
      <c r="AG993" s="2164" t="s">
        <v>527</v>
      </c>
      <c r="AH993" s="2165"/>
      <c r="AI993" s="129"/>
      <c r="AJ993" s="1915">
        <f>ROUND(IF(AG993="yes",(AJ953*0.1),0),0)</f>
        <v>0</v>
      </c>
      <c r="AK993" s="1916"/>
      <c r="AL993" s="1916"/>
      <c r="AM993" s="1916"/>
      <c r="AN993" s="1916"/>
      <c r="AO993" s="1916"/>
      <c r="AP993" s="1916"/>
      <c r="AQ993" s="191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6" t="s">
        <v>2224</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67"/>
      <c r="AF994" s="124"/>
      <c r="AG994" s="125"/>
      <c r="AH994" s="125"/>
      <c r="AI994" s="129"/>
      <c r="AJ994" s="1921"/>
      <c r="AK994" s="1922"/>
      <c r="AL994" s="1922"/>
      <c r="AM994" s="1922"/>
      <c r="AN994" s="1922"/>
      <c r="AO994" s="1922"/>
      <c r="AP994" s="1922"/>
      <c r="AQ994" s="192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6"/>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67"/>
      <c r="AF995" s="124"/>
      <c r="AG995" s="125"/>
      <c r="AH995" s="125"/>
      <c r="AI995" s="129"/>
      <c r="AJ995" s="1921"/>
      <c r="AK995" s="1922"/>
      <c r="AL995" s="1922"/>
      <c r="AM995" s="1922"/>
      <c r="AN995" s="1922"/>
      <c r="AO995" s="1922"/>
      <c r="AP995" s="1922"/>
      <c r="AQ995" s="192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6"/>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67"/>
      <c r="AF996" s="124"/>
      <c r="AG996" s="125"/>
      <c r="AH996" s="125"/>
      <c r="AI996" s="129"/>
      <c r="AJ996" s="1921"/>
      <c r="AK996" s="1922"/>
      <c r="AL996" s="1922"/>
      <c r="AM996" s="1922"/>
      <c r="AN996" s="1922"/>
      <c r="AO996" s="1922"/>
      <c r="AP996" s="1922"/>
      <c r="AQ996" s="192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8"/>
      <c r="E997" s="2169"/>
      <c r="F997" s="2169"/>
      <c r="G997" s="2169"/>
      <c r="H997" s="2169"/>
      <c r="I997" s="2169"/>
      <c r="J997" s="2169"/>
      <c r="K997" s="2169"/>
      <c r="L997" s="2169"/>
      <c r="M997" s="2169"/>
      <c r="N997" s="2169"/>
      <c r="O997" s="2169"/>
      <c r="P997" s="2169"/>
      <c r="Q997" s="2169"/>
      <c r="R997" s="2169"/>
      <c r="S997" s="2169"/>
      <c r="T997" s="2169"/>
      <c r="U997" s="2169"/>
      <c r="V997" s="2169"/>
      <c r="W997" s="2169"/>
      <c r="X997" s="2169"/>
      <c r="Y997" s="2169"/>
      <c r="Z997" s="2169"/>
      <c r="AA997" s="2169"/>
      <c r="AB997" s="2169"/>
      <c r="AC997" s="2169"/>
      <c r="AD997" s="2169"/>
      <c r="AE997" s="2170"/>
      <c r="AF997" s="124"/>
      <c r="AG997" s="125"/>
      <c r="AH997" s="125"/>
      <c r="AI997" s="129"/>
      <c r="AJ997" s="1921"/>
      <c r="AK997" s="1922"/>
      <c r="AL997" s="1922"/>
      <c r="AM997" s="1922"/>
      <c r="AN997" s="1922"/>
      <c r="AO997" s="1922"/>
      <c r="AP997" s="1922"/>
      <c r="AQ997" s="192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0" t="s">
        <v>2100</v>
      </c>
      <c r="E998" s="1911"/>
      <c r="F998" s="1911"/>
      <c r="G998" s="1911"/>
      <c r="H998" s="1911"/>
      <c r="I998" s="1911"/>
      <c r="J998" s="1911"/>
      <c r="K998" s="1911"/>
      <c r="L998" s="1911"/>
      <c r="M998" s="1911"/>
      <c r="N998" s="1911"/>
      <c r="O998" s="1911"/>
      <c r="P998" s="1911"/>
      <c r="Q998" s="1911"/>
      <c r="R998" s="1911"/>
      <c r="S998" s="1911"/>
      <c r="T998" s="1911"/>
      <c r="U998" s="1911"/>
      <c r="V998" s="1911"/>
      <c r="W998" s="1911"/>
      <c r="X998" s="1911"/>
      <c r="Y998" s="1911"/>
      <c r="Z998" s="1911"/>
      <c r="AA998" s="1911"/>
      <c r="AB998" s="1911"/>
      <c r="AC998" s="1911"/>
      <c r="AD998" s="1911"/>
      <c r="AE998" s="1912"/>
      <c r="AF998" s="128"/>
      <c r="AG998" s="1913" t="s">
        <v>119</v>
      </c>
      <c r="AH998" s="1914"/>
      <c r="AI998" s="131"/>
      <c r="AJ998" s="1915">
        <f>ROUND(IF(AG998="yes",(AJ953*0.1),0),0)</f>
        <v>1990302</v>
      </c>
      <c r="AK998" s="1916"/>
      <c r="AL998" s="1916"/>
      <c r="AM998" s="1916"/>
      <c r="AN998" s="1916"/>
      <c r="AO998" s="1916"/>
      <c r="AP998" s="1916"/>
      <c r="AQ998" s="191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4" t="s">
        <v>2226</v>
      </c>
      <c r="E999" s="1925"/>
      <c r="F999" s="1925"/>
      <c r="G999" s="1925"/>
      <c r="H999" s="1925"/>
      <c r="I999" s="1925"/>
      <c r="J999" s="1925"/>
      <c r="K999" s="1925"/>
      <c r="L999" s="1925"/>
      <c r="M999" s="1925"/>
      <c r="N999" s="1925"/>
      <c r="O999" s="1925"/>
      <c r="P999" s="1925"/>
      <c r="Q999" s="1925"/>
      <c r="R999" s="1925"/>
      <c r="S999" s="1925"/>
      <c r="T999" s="1925"/>
      <c r="U999" s="1925"/>
      <c r="V999" s="1925"/>
      <c r="W999" s="1925"/>
      <c r="X999" s="1925"/>
      <c r="Y999" s="1925"/>
      <c r="Z999" s="1925"/>
      <c r="AA999" s="1925"/>
      <c r="AB999" s="1925"/>
      <c r="AC999" s="1925"/>
      <c r="AD999" s="1925"/>
      <c r="AE999" s="1926"/>
      <c r="AF999" s="124"/>
      <c r="AG999" s="125"/>
      <c r="AH999" s="125"/>
      <c r="AI999" s="129"/>
      <c r="AJ999" s="1921"/>
      <c r="AK999" s="1922"/>
      <c r="AL999" s="1922"/>
      <c r="AM999" s="1922"/>
      <c r="AN999" s="1922"/>
      <c r="AO999" s="1922"/>
      <c r="AP999" s="1922"/>
      <c r="AQ999" s="192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4"/>
      <c r="E1000" s="1925"/>
      <c r="F1000" s="1925"/>
      <c r="G1000" s="1925"/>
      <c r="H1000" s="1925"/>
      <c r="I1000" s="1925"/>
      <c r="J1000" s="1925"/>
      <c r="K1000" s="1925"/>
      <c r="L1000" s="1925"/>
      <c r="M1000" s="1925"/>
      <c r="N1000" s="1925"/>
      <c r="O1000" s="1925"/>
      <c r="P1000" s="1925"/>
      <c r="Q1000" s="1925"/>
      <c r="R1000" s="1925"/>
      <c r="S1000" s="1925"/>
      <c r="T1000" s="1925"/>
      <c r="U1000" s="1925"/>
      <c r="V1000" s="1925"/>
      <c r="W1000" s="1925"/>
      <c r="X1000" s="1925"/>
      <c r="Y1000" s="1925"/>
      <c r="Z1000" s="1925"/>
      <c r="AA1000" s="1925"/>
      <c r="AB1000" s="1925"/>
      <c r="AC1000" s="1925"/>
      <c r="AD1000" s="1925"/>
      <c r="AE1000" s="1926"/>
      <c r="AF1000" s="124"/>
      <c r="AG1000" s="125"/>
      <c r="AH1000" s="125"/>
      <c r="AI1000" s="129"/>
      <c r="AJ1000" s="1921"/>
      <c r="AK1000" s="1922"/>
      <c r="AL1000" s="1922"/>
      <c r="AM1000" s="1922"/>
      <c r="AN1000" s="1922"/>
      <c r="AO1000" s="1922"/>
      <c r="AP1000" s="1922"/>
      <c r="AQ1000" s="192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7"/>
      <c r="E1001" s="1928"/>
      <c r="F1001" s="1928"/>
      <c r="G1001" s="1928"/>
      <c r="H1001" s="1928"/>
      <c r="I1001" s="1928"/>
      <c r="J1001" s="1928"/>
      <c r="K1001" s="1928"/>
      <c r="L1001" s="1928"/>
      <c r="M1001" s="1928"/>
      <c r="N1001" s="1928"/>
      <c r="O1001" s="1928"/>
      <c r="P1001" s="1928"/>
      <c r="Q1001" s="1928"/>
      <c r="R1001" s="1928"/>
      <c r="S1001" s="1928"/>
      <c r="T1001" s="1928"/>
      <c r="U1001" s="1928"/>
      <c r="V1001" s="1928"/>
      <c r="W1001" s="1928"/>
      <c r="X1001" s="1928"/>
      <c r="Y1001" s="1928"/>
      <c r="Z1001" s="1928"/>
      <c r="AA1001" s="1928"/>
      <c r="AB1001" s="1928"/>
      <c r="AC1001" s="1928"/>
      <c r="AD1001" s="1928"/>
      <c r="AE1001" s="1929"/>
      <c r="AF1001" s="124"/>
      <c r="AG1001" s="125"/>
      <c r="AH1001" s="125"/>
      <c r="AI1001" s="129"/>
      <c r="AJ1001" s="1918"/>
      <c r="AK1001" s="1919"/>
      <c r="AL1001" s="1919"/>
      <c r="AM1001" s="1919"/>
      <c r="AN1001" s="1919"/>
      <c r="AO1001" s="1919"/>
      <c r="AP1001" s="1919"/>
      <c r="AQ1001" s="192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3" t="s">
        <v>812</v>
      </c>
      <c r="E1002" s="1933"/>
      <c r="F1002" s="1933"/>
      <c r="G1002" s="1933"/>
      <c r="H1002" s="1933"/>
      <c r="I1002" s="1933"/>
      <c r="J1002" s="1933"/>
      <c r="K1002" s="1933"/>
      <c r="L1002" s="1933"/>
      <c r="M1002" s="1933"/>
      <c r="N1002" s="1933"/>
      <c r="O1002" s="1933"/>
      <c r="P1002" s="1933"/>
      <c r="Q1002" s="1933"/>
      <c r="R1002" s="1933"/>
      <c r="S1002" s="1933"/>
      <c r="T1002" s="1933"/>
      <c r="U1002" s="1933"/>
      <c r="V1002" s="1933"/>
      <c r="W1002" s="1933"/>
      <c r="X1002" s="1933"/>
      <c r="Y1002" s="1933"/>
      <c r="Z1002" s="1933"/>
      <c r="AA1002" s="1933"/>
      <c r="AB1002" s="1933"/>
      <c r="AC1002" s="1933"/>
      <c r="AD1002" s="1933"/>
      <c r="AE1002" s="1933"/>
      <c r="AF1002" s="1933"/>
      <c r="AG1002" s="1933"/>
      <c r="AH1002" s="1933"/>
      <c r="AI1002" s="1934"/>
      <c r="AJ1002" s="1935">
        <f>SUM(AJ953:AQ1001)</f>
        <v>27404937</v>
      </c>
      <c r="AK1002" s="1936"/>
      <c r="AL1002" s="1936"/>
      <c r="AM1002" s="1936"/>
      <c r="AN1002" s="1936"/>
      <c r="AO1002" s="1936"/>
      <c r="AP1002" s="1936"/>
      <c r="AQ1002" s="193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4">
        <f>'Sources and Uses Budget'!S106+'Sources and Uses Budget'!T106</f>
        <v>23783934</v>
      </c>
      <c r="Y1006" s="1904"/>
      <c r="Z1006" s="1904"/>
      <c r="AA1006" s="1904"/>
      <c r="AB1006" s="1904"/>
      <c r="AC1006" s="190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0">
        <f>X1006/AJ1002</f>
        <v>0.8678704132762648</v>
      </c>
      <c r="Y1007" s="1901"/>
      <c r="Z1007" s="1901"/>
      <c r="AA1007" s="1901"/>
      <c r="AB1007" s="1901"/>
      <c r="AC1007" s="190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3"/>
      <c r="D1011" s="1903"/>
      <c r="E1011" s="1903"/>
      <c r="F1011" s="1903"/>
      <c r="G1011" s="1903"/>
      <c r="H1011" s="1903"/>
      <c r="I1011" s="1903"/>
      <c r="J1011" s="1903"/>
      <c r="K1011" s="1903"/>
      <c r="L1011" s="1903"/>
      <c r="M1011" s="1903"/>
      <c r="N1011" s="1903"/>
      <c r="O1011" s="1903"/>
      <c r="P1011" s="1903"/>
      <c r="Q1011" s="1903"/>
      <c r="R1011" s="1903"/>
      <c r="S1011" s="1903"/>
      <c r="T1011" s="1903"/>
      <c r="U1011" s="1903"/>
      <c r="V1011" s="1903"/>
      <c r="W1011" s="1903"/>
      <c r="X1011" s="1903"/>
      <c r="Y1011" s="1903"/>
      <c r="Z1011" s="1903"/>
      <c r="AA1011" s="1903"/>
      <c r="AB1011" s="1903"/>
      <c r="AC1011" s="1903"/>
      <c r="AD1011" s="1903"/>
      <c r="AE1011" s="1903"/>
      <c r="AF1011" s="1903"/>
      <c r="AG1011" s="1903"/>
      <c r="AH1011" s="1903"/>
      <c r="AI1011" s="1903"/>
      <c r="AJ1011" s="1903"/>
      <c r="AK1011" s="190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3"/>
      <c r="C1012" s="1903"/>
      <c r="D1012" s="1903"/>
      <c r="E1012" s="1903"/>
      <c r="F1012" s="1903"/>
      <c r="G1012" s="1903"/>
      <c r="H1012" s="1903"/>
      <c r="I1012" s="1903"/>
      <c r="J1012" s="1903"/>
      <c r="K1012" s="1903"/>
      <c r="L1012" s="1903"/>
      <c r="M1012" s="1903"/>
      <c r="N1012" s="1903"/>
      <c r="O1012" s="1903"/>
      <c r="P1012" s="1903"/>
      <c r="Q1012" s="1903"/>
      <c r="R1012" s="1903"/>
      <c r="S1012" s="1903"/>
      <c r="T1012" s="1903"/>
      <c r="U1012" s="1903"/>
      <c r="V1012" s="1903"/>
      <c r="W1012" s="1903"/>
      <c r="X1012" s="1903"/>
      <c r="Y1012" s="1903"/>
      <c r="Z1012" s="1903"/>
      <c r="AA1012" s="1903"/>
      <c r="AB1012" s="1903"/>
      <c r="AC1012" s="1903"/>
      <c r="AD1012" s="1903"/>
      <c r="AE1012" s="1903"/>
      <c r="AF1012" s="1903"/>
      <c r="AG1012" s="1903"/>
      <c r="AH1012" s="1903"/>
      <c r="AI1012" s="1903"/>
      <c r="AJ1012" s="1903"/>
      <c r="AK1012" s="190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3">
        <f>IF(ISNA(IF((AD975&gt;(AD953*0.15)),"(f) cannot be greater than 15% of unadjusted eligible basis.",0)),"",(IF((AD975&gt;(AD953*0.15)),"(f) cannot be greater than 15% of unadjusted eligible basis.",0)))</f>
        <v>0</v>
      </c>
      <c r="C1013" s="1903"/>
      <c r="D1013" s="1903"/>
      <c r="E1013" s="1903"/>
      <c r="F1013" s="1903"/>
      <c r="G1013" s="1903"/>
      <c r="H1013" s="1903"/>
      <c r="I1013" s="1903"/>
      <c r="J1013" s="1903"/>
      <c r="K1013" s="1903"/>
      <c r="L1013" s="1903"/>
      <c r="M1013" s="1903"/>
      <c r="N1013" s="1903"/>
      <c r="O1013" s="1903"/>
      <c r="P1013" s="1903"/>
      <c r="Q1013" s="1903"/>
      <c r="R1013" s="1903"/>
      <c r="S1013" s="1903"/>
      <c r="T1013" s="1903"/>
      <c r="U1013" s="1903"/>
      <c r="V1013" s="1903"/>
      <c r="W1013" s="1903"/>
      <c r="X1013" s="1903"/>
      <c r="Y1013" s="1903"/>
      <c r="Z1013" s="1903"/>
      <c r="AA1013" s="1903"/>
      <c r="AB1013" s="1903"/>
      <c r="AC1013" s="1903"/>
      <c r="AD1013" s="1903"/>
      <c r="AE1013" s="1903"/>
      <c r="AF1013" s="1903"/>
      <c r="AG1013" s="1903"/>
      <c r="AH1013" s="1903"/>
      <c r="AI1013" s="1903"/>
      <c r="AJ1013" s="1903"/>
      <c r="AK1013" s="190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1072</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135</v>
      </c>
      <c r="B1018" s="1658"/>
      <c r="C1018" s="17">
        <v>1</v>
      </c>
      <c r="D1018" s="1585" t="s">
        <v>1657</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6">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6">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6">
      <c r="A1024" s="1658" t="s">
        <v>135</v>
      </c>
      <c r="B1024" s="1658"/>
      <c r="C1024" s="17">
        <v>2</v>
      </c>
      <c r="D1024" s="1584" t="s">
        <v>1658</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6">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6">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6">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135</v>
      </c>
      <c r="B1030" s="1658"/>
      <c r="C1030" s="17">
        <v>3</v>
      </c>
      <c r="D1030" s="1584" t="s">
        <v>2277</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135</v>
      </c>
      <c r="B1036" s="1658"/>
      <c r="C1036" s="17">
        <v>4</v>
      </c>
      <c r="D1036" s="1584" t="s">
        <v>2272</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58" t="s">
        <v>135</v>
      </c>
      <c r="B1039" s="1658"/>
      <c r="C1039" s="17">
        <v>5</v>
      </c>
      <c r="D1039" s="1584" t="s">
        <v>1885</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135</v>
      </c>
      <c r="B1044" s="1658"/>
      <c r="C1044" s="17">
        <v>6</v>
      </c>
      <c r="D1044" s="1585" t="s">
        <v>1659</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135</v>
      </c>
      <c r="B1047" s="1658"/>
      <c r="C1047" s="541">
        <v>7</v>
      </c>
      <c r="D1047" s="1585" t="s">
        <v>1661</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135</v>
      </c>
      <c r="B1051" s="1658"/>
      <c r="C1051" s="541">
        <v>8</v>
      </c>
      <c r="D1051" s="1584" t="s">
        <v>2241</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3"/>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 customHeight="1">
      <c r="A1055" s="1679" t="s">
        <v>135</v>
      </c>
      <c r="B1055" s="1679"/>
      <c r="C1055" s="541">
        <v>9</v>
      </c>
      <c r="D1055" s="1585" t="s">
        <v>1660</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15" zoomScaleNormal="115" zoomScaleSheetLayoutView="10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6">
      <c r="A1" s="399" t="s">
        <v>145</v>
      </c>
      <c r="B1" s="352"/>
      <c r="C1" s="352"/>
      <c r="D1" s="352"/>
      <c r="E1" s="353"/>
      <c r="F1" s="2194" t="s">
        <v>200</v>
      </c>
      <c r="G1" s="2195"/>
      <c r="H1" s="2195"/>
      <c r="I1" s="2195"/>
      <c r="J1" s="2195"/>
      <c r="K1" s="2195"/>
      <c r="L1" s="2195"/>
      <c r="M1" s="2195"/>
      <c r="N1" s="2195"/>
      <c r="O1" s="2195"/>
      <c r="P1" s="2195"/>
      <c r="Q1" s="2195"/>
      <c r="R1" s="2196"/>
      <c r="S1" s="314"/>
      <c r="T1" s="313"/>
      <c r="U1" s="315"/>
    </row>
    <row r="2" spans="1:21" s="362" customFormat="1" ht="60.05" customHeight="1">
      <c r="A2" s="361"/>
      <c r="B2" s="362" t="s">
        <v>868</v>
      </c>
      <c r="C2" s="362" t="s">
        <v>561</v>
      </c>
      <c r="D2" s="432" t="s">
        <v>560</v>
      </c>
      <c r="E2" s="362" t="s">
        <v>869</v>
      </c>
      <c r="F2" s="363" t="str">
        <f>Application!B632&amp;Application!C632</f>
        <v>1)California Bank &amp; Trust - Perm Loan</v>
      </c>
      <c r="G2" s="363" t="str">
        <f>Application!B633&amp;Application!C633</f>
        <v>2)County of Butte - CDBG-DR Loan</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870</v>
      </c>
      <c r="U2" s="364"/>
    </row>
    <row r="3" spans="1:21" s="368" customFormat="1" ht="12.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6">
      <c r="A4" s="464" t="s">
        <v>74</v>
      </c>
      <c r="B4" s="370">
        <f>SUM(C4+D4)</f>
        <v>492000</v>
      </c>
      <c r="C4" s="371">
        <v>492000</v>
      </c>
      <c r="D4" s="371"/>
      <c r="E4" s="371">
        <v>492000</v>
      </c>
      <c r="F4" s="371"/>
      <c r="G4" s="371"/>
      <c r="H4" s="371"/>
      <c r="I4" s="371"/>
      <c r="J4" s="371"/>
      <c r="K4" s="371"/>
      <c r="L4" s="371"/>
      <c r="M4" s="371"/>
      <c r="N4" s="371"/>
      <c r="O4" s="371"/>
      <c r="P4" s="371"/>
      <c r="Q4" s="371"/>
      <c r="R4" s="371">
        <f>C4</f>
        <v>492000</v>
      </c>
      <c r="S4" s="372"/>
      <c r="T4" s="372"/>
      <c r="U4" s="367"/>
    </row>
    <row r="5" spans="1:21" s="368" customFormat="1" ht="13.6">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6">
      <c r="A8" s="465" t="s">
        <v>765</v>
      </c>
      <c r="B8" s="370">
        <f>SUM(C8:D8)</f>
        <v>497000</v>
      </c>
      <c r="C8" s="370">
        <f t="shared" ref="C8:R8" si="0">SUM(C4:C7)</f>
        <v>497000</v>
      </c>
      <c r="D8" s="370">
        <f t="shared" si="0"/>
        <v>0</v>
      </c>
      <c r="E8" s="370">
        <f t="shared" si="0"/>
        <v>497000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497000</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6">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497000</v>
      </c>
      <c r="C12" s="370">
        <f t="shared" si="2"/>
        <v>497000</v>
      </c>
      <c r="D12" s="370">
        <f t="shared" si="2"/>
        <v>0</v>
      </c>
      <c r="E12" s="370">
        <f t="shared" si="2"/>
        <v>497000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497000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1680000</v>
      </c>
      <c r="C29" s="371">
        <v>1680000</v>
      </c>
      <c r="D29" s="371"/>
      <c r="E29" s="371">
        <v>1680000</v>
      </c>
      <c r="F29" s="371"/>
      <c r="G29" s="371"/>
      <c r="H29" s="371"/>
      <c r="I29" s="371"/>
      <c r="J29" s="371"/>
      <c r="K29" s="371"/>
      <c r="L29" s="371"/>
      <c r="M29" s="371"/>
      <c r="N29" s="371"/>
      <c r="O29" s="371"/>
      <c r="P29" s="371"/>
      <c r="Q29" s="371"/>
      <c r="R29" s="371">
        <f t="shared" ref="R29:R37" si="7">SUM(E29:Q29)</f>
        <v>1680000</v>
      </c>
      <c r="S29" s="371">
        <f>R29</f>
        <v>1680000</v>
      </c>
      <c r="T29" s="371"/>
      <c r="U29" s="367"/>
    </row>
    <row r="30" spans="1:21" s="368" customFormat="1">
      <c r="A30" s="369" t="s">
        <v>994</v>
      </c>
      <c r="B30" s="370">
        <f t="shared" si="6"/>
        <v>13360200</v>
      </c>
      <c r="C30" s="371">
        <v>13360200</v>
      </c>
      <c r="D30" s="371"/>
      <c r="E30" s="371">
        <v>2960200</v>
      </c>
      <c r="F30" s="371">
        <v>1750000</v>
      </c>
      <c r="G30" s="371">
        <v>8650000</v>
      </c>
      <c r="H30" s="371"/>
      <c r="I30" s="371"/>
      <c r="J30" s="371"/>
      <c r="K30" s="371"/>
      <c r="L30" s="371"/>
      <c r="M30" s="371"/>
      <c r="N30" s="371"/>
      <c r="O30" s="371"/>
      <c r="P30" s="371"/>
      <c r="Q30" s="371"/>
      <c r="R30" s="371">
        <f t="shared" si="7"/>
        <v>13360200</v>
      </c>
      <c r="S30" s="371">
        <f>R30</f>
        <v>13360200</v>
      </c>
      <c r="T30" s="371"/>
      <c r="U30" s="367"/>
    </row>
    <row r="31" spans="1:21" s="368" customFormat="1">
      <c r="A31" s="369" t="s">
        <v>995</v>
      </c>
      <c r="B31" s="370">
        <f t="shared" si="6"/>
        <v>902412</v>
      </c>
      <c r="C31" s="371">
        <v>902412</v>
      </c>
      <c r="D31" s="371"/>
      <c r="E31" s="371">
        <v>902412</v>
      </c>
      <c r="F31" s="371"/>
      <c r="G31" s="371"/>
      <c r="H31" s="371"/>
      <c r="I31" s="371"/>
      <c r="J31" s="371"/>
      <c r="K31" s="371"/>
      <c r="L31" s="371"/>
      <c r="M31" s="371"/>
      <c r="N31" s="371"/>
      <c r="O31" s="371"/>
      <c r="P31" s="371"/>
      <c r="Q31" s="371"/>
      <c r="R31" s="371">
        <f t="shared" si="7"/>
        <v>902412</v>
      </c>
      <c r="S31" s="371">
        <f>R31</f>
        <v>902412</v>
      </c>
      <c r="T31" s="371"/>
      <c r="U31" s="367"/>
    </row>
    <row r="32" spans="1:21" s="368" customFormat="1">
      <c r="A32" s="369" t="s">
        <v>996</v>
      </c>
      <c r="B32" s="370">
        <f t="shared" si="6"/>
        <v>300804</v>
      </c>
      <c r="C32" s="371">
        <v>300804</v>
      </c>
      <c r="D32" s="371"/>
      <c r="E32" s="371">
        <v>300804</v>
      </c>
      <c r="F32" s="371"/>
      <c r="G32" s="371"/>
      <c r="H32" s="371"/>
      <c r="I32" s="371"/>
      <c r="J32" s="371"/>
      <c r="K32" s="371"/>
      <c r="L32" s="371"/>
      <c r="M32" s="371"/>
      <c r="N32" s="371"/>
      <c r="O32" s="371"/>
      <c r="P32" s="371"/>
      <c r="Q32" s="371"/>
      <c r="R32" s="371">
        <f t="shared" si="7"/>
        <v>300804</v>
      </c>
      <c r="S32" s="371">
        <f>R32</f>
        <v>300804</v>
      </c>
      <c r="T32" s="371"/>
      <c r="U32" s="367"/>
    </row>
    <row r="33" spans="1:21" s="368" customFormat="1">
      <c r="A33" s="369" t="s">
        <v>997</v>
      </c>
      <c r="B33" s="370">
        <f t="shared" si="6"/>
        <v>902412</v>
      </c>
      <c r="C33" s="371">
        <v>902412</v>
      </c>
      <c r="D33" s="371"/>
      <c r="E33" s="371">
        <v>902412</v>
      </c>
      <c r="F33" s="371"/>
      <c r="G33" s="371"/>
      <c r="H33" s="371"/>
      <c r="I33" s="371"/>
      <c r="J33" s="371"/>
      <c r="K33" s="371"/>
      <c r="L33" s="371"/>
      <c r="M33" s="371"/>
      <c r="N33" s="371"/>
      <c r="O33" s="371"/>
      <c r="P33" s="371"/>
      <c r="Q33" s="371"/>
      <c r="R33" s="371">
        <f t="shared" si="7"/>
        <v>902412</v>
      </c>
      <c r="S33" s="371">
        <f>R33</f>
        <v>902412</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140000</v>
      </c>
      <c r="C35" s="371">
        <v>140000</v>
      </c>
      <c r="D35" s="371"/>
      <c r="E35" s="371">
        <v>140000</v>
      </c>
      <c r="F35" s="371"/>
      <c r="G35" s="371"/>
      <c r="H35" s="371"/>
      <c r="I35" s="371"/>
      <c r="J35" s="371"/>
      <c r="K35" s="371"/>
      <c r="L35" s="371"/>
      <c r="M35" s="371"/>
      <c r="N35" s="371"/>
      <c r="O35" s="371"/>
      <c r="P35" s="371"/>
      <c r="Q35" s="371"/>
      <c r="R35" s="371">
        <f t="shared" si="7"/>
        <v>140000</v>
      </c>
      <c r="S35" s="371">
        <f>R35</f>
        <v>140000</v>
      </c>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588</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17285828</v>
      </c>
      <c r="C38" s="370">
        <f>SUM(C29:C37)</f>
        <v>17285828</v>
      </c>
      <c r="D38" s="370">
        <f>SUM(D29:D37)</f>
        <v>0</v>
      </c>
      <c r="E38" s="370">
        <f>SUM(E29:E37)</f>
        <v>6885828</v>
      </c>
      <c r="F38" s="370">
        <f t="shared" ref="F38:T38" si="8">SUM(F29:F37)</f>
        <v>1750000</v>
      </c>
      <c r="G38" s="370">
        <f t="shared" si="8"/>
        <v>8650000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17285828</v>
      </c>
      <c r="S38" s="374">
        <f t="shared" si="8"/>
        <v>17285828</v>
      </c>
      <c r="T38" s="374">
        <f t="shared" si="8"/>
        <v>0</v>
      </c>
      <c r="U38" s="367"/>
    </row>
    <row r="39" spans="1:21" s="368" customFormat="1" ht="12.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1005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1006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1007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ht="12.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245000</v>
      </c>
      <c r="C45" s="371">
        <v>245000</v>
      </c>
      <c r="D45" s="371"/>
      <c r="E45" s="371">
        <v>245000</v>
      </c>
      <c r="F45" s="371"/>
      <c r="G45" s="371"/>
      <c r="H45" s="371"/>
      <c r="I45" s="371"/>
      <c r="J45" s="371"/>
      <c r="K45" s="371"/>
      <c r="L45" s="371"/>
      <c r="M45" s="371"/>
      <c r="N45" s="371"/>
      <c r="O45" s="371"/>
      <c r="P45" s="371"/>
      <c r="Q45" s="371"/>
      <c r="R45" s="371">
        <f t="shared" ref="R45:R52" si="11">SUM(E45:Q45)</f>
        <v>245000</v>
      </c>
      <c r="S45" s="371">
        <f>R45</f>
        <v>245000</v>
      </c>
      <c r="T45" s="371"/>
      <c r="U45" s="367"/>
    </row>
    <row r="46" spans="1:21" s="368" customFormat="1">
      <c r="A46" s="369" t="s">
        <v>1010</v>
      </c>
      <c r="B46" s="370">
        <f t="shared" si="10"/>
        <v>122000</v>
      </c>
      <c r="C46" s="371">
        <v>122000</v>
      </c>
      <c r="D46" s="371"/>
      <c r="E46" s="371">
        <v>122000</v>
      </c>
      <c r="F46" s="371"/>
      <c r="G46" s="371"/>
      <c r="H46" s="371"/>
      <c r="I46" s="371"/>
      <c r="J46" s="371"/>
      <c r="K46" s="371"/>
      <c r="L46" s="371"/>
      <c r="M46" s="371"/>
      <c r="N46" s="371"/>
      <c r="O46" s="371"/>
      <c r="P46" s="371"/>
      <c r="Q46" s="371"/>
      <c r="R46" s="371">
        <f t="shared" si="11"/>
        <v>122000</v>
      </c>
      <c r="S46" s="371">
        <f>R46</f>
        <v>122000</v>
      </c>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1013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1014</v>
      </c>
      <c r="B51" s="370">
        <f t="shared" si="10"/>
        <v>130100</v>
      </c>
      <c r="C51" s="371">
        <v>130100</v>
      </c>
      <c r="D51" s="371"/>
      <c r="E51" s="371">
        <v>130100</v>
      </c>
      <c r="F51" s="371"/>
      <c r="G51" s="371"/>
      <c r="H51" s="371"/>
      <c r="I51" s="371"/>
      <c r="J51" s="371"/>
      <c r="K51" s="371"/>
      <c r="L51" s="371"/>
      <c r="M51" s="371"/>
      <c r="N51" s="371"/>
      <c r="O51" s="371"/>
      <c r="P51" s="371"/>
      <c r="Q51" s="371"/>
      <c r="R51" s="371">
        <f t="shared" si="11"/>
        <v>130100</v>
      </c>
      <c r="S51" s="371">
        <f>R51</f>
        <v>130100</v>
      </c>
      <c r="T51" s="371"/>
      <c r="U51" s="367"/>
    </row>
    <row r="52" spans="1:21" s="368" customFormat="1">
      <c r="A52" s="376" t="s">
        <v>2510</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1016</v>
      </c>
      <c r="B53" s="374">
        <f>SUM(C53:D53)</f>
        <v>637100</v>
      </c>
      <c r="C53" s="374">
        <f t="shared" ref="C53:T53" si="12">SUM(C45:C52)</f>
        <v>637100</v>
      </c>
      <c r="D53" s="374">
        <f t="shared" si="12"/>
        <v>0</v>
      </c>
      <c r="E53" s="374">
        <f t="shared" si="12"/>
        <v>637100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637100</v>
      </c>
      <c r="S53" s="374">
        <f t="shared" si="12"/>
        <v>637100</v>
      </c>
      <c r="T53" s="374">
        <f t="shared" si="12"/>
        <v>0</v>
      </c>
      <c r="U53" s="377"/>
    </row>
    <row r="54" spans="1:21" s="368" customFormat="1" ht="12.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17500</v>
      </c>
      <c r="C55" s="371">
        <v>17500</v>
      </c>
      <c r="D55" s="371"/>
      <c r="E55" s="371">
        <v>17500</v>
      </c>
      <c r="F55" s="371"/>
      <c r="G55" s="371"/>
      <c r="H55" s="371"/>
      <c r="I55" s="371"/>
      <c r="J55" s="371"/>
      <c r="K55" s="371"/>
      <c r="L55" s="371"/>
      <c r="M55" s="371"/>
      <c r="N55" s="371"/>
      <c r="O55" s="371"/>
      <c r="P55" s="371"/>
      <c r="Q55" s="371"/>
      <c r="R55" s="371">
        <f t="shared" ref="R55:R60" si="14">SUM(E55:Q55)</f>
        <v>17500</v>
      </c>
      <c r="S55" s="372"/>
      <c r="T55" s="372"/>
      <c r="U55" s="367"/>
    </row>
    <row r="56" spans="1:21" s="368" customFormat="1" ht="12" customHeight="1">
      <c r="A56" s="369" t="s">
        <v>1011</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1015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588</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545</v>
      </c>
      <c r="B61" s="370">
        <f>SUM(C61:D61)</f>
        <v>42500</v>
      </c>
      <c r="C61" s="370">
        <f t="shared" ref="C61:R61" si="15">SUM(C55:C60)</f>
        <v>42500</v>
      </c>
      <c r="D61" s="370">
        <f t="shared" si="15"/>
        <v>0</v>
      </c>
      <c r="E61" s="370">
        <f t="shared" si="15"/>
        <v>42500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42500</v>
      </c>
      <c r="S61" s="372"/>
      <c r="T61" s="372"/>
      <c r="U61" s="367"/>
    </row>
    <row r="62" spans="1:21" s="368" customFormat="1">
      <c r="A62" s="379" t="s">
        <v>546</v>
      </c>
      <c r="B62" s="370">
        <f>SUM(C62:D62)</f>
        <v>19057428</v>
      </c>
      <c r="C62" s="370">
        <f t="shared" ref="C62:R62" si="16">SUM(C8+C11+C13+C14+C15+C26+C27+C38+C42+C43+C53+C61)</f>
        <v>19057428</v>
      </c>
      <c r="D62" s="370">
        <f t="shared" si="16"/>
        <v>0</v>
      </c>
      <c r="E62" s="370">
        <f t="shared" si="16"/>
        <v>8657428</v>
      </c>
      <c r="F62" s="370">
        <f t="shared" si="16"/>
        <v>1750000</v>
      </c>
      <c r="G62" s="370">
        <f t="shared" si="16"/>
        <v>8650000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19057428</v>
      </c>
      <c r="S62" s="370">
        <f>SUM(S10+S13+S14+S15+S26+S27+S38+S42+S43+S53)</f>
        <v>18517928</v>
      </c>
      <c r="T62" s="370">
        <f>SUM(T11+T13+T14+T15+T26+T27+T38+T42+T43+T53)</f>
        <v>0</v>
      </c>
      <c r="U62" s="367"/>
    </row>
    <row r="63" spans="1:21" s="368" customFormat="1" ht="24.2">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2">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588</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2169</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ht="12.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120000</v>
      </c>
      <c r="C71" s="371">
        <v>120000</v>
      </c>
      <c r="D71" s="371"/>
      <c r="E71" s="371">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93081</v>
      </c>
      <c r="C74" s="371">
        <v>93081</v>
      </c>
      <c r="D74" s="371"/>
      <c r="E74" s="371">
        <v>93081</v>
      </c>
      <c r="F74" s="371"/>
      <c r="G74" s="371"/>
      <c r="H74" s="371"/>
      <c r="I74" s="371"/>
      <c r="J74" s="371"/>
      <c r="K74" s="371"/>
      <c r="L74" s="371"/>
      <c r="M74" s="371"/>
      <c r="N74" s="371"/>
      <c r="O74" s="371"/>
      <c r="P74" s="371"/>
      <c r="Q74" s="371"/>
      <c r="R74" s="371">
        <f>SUM(E74:Q74)</f>
        <v>93081</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213081</v>
      </c>
      <c r="C76" s="370">
        <f t="shared" ref="C76:Q76" si="18">SUM(C71:C75)</f>
        <v>213081</v>
      </c>
      <c r="D76" s="370">
        <f t="shared" si="18"/>
        <v>0</v>
      </c>
      <c r="E76" s="370">
        <f>SUM(E71:E75)</f>
        <v>213081</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213081</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860000</v>
      </c>
      <c r="C78" s="371">
        <v>860000</v>
      </c>
      <c r="D78" s="371"/>
      <c r="E78" s="371">
        <v>860000</v>
      </c>
      <c r="F78" s="371"/>
      <c r="G78" s="371"/>
      <c r="H78" s="371"/>
      <c r="I78" s="371"/>
      <c r="J78" s="371"/>
      <c r="K78" s="371"/>
      <c r="L78" s="371"/>
      <c r="M78" s="371"/>
      <c r="N78" s="371"/>
      <c r="O78" s="371"/>
      <c r="P78" s="371"/>
      <c r="Q78" s="371"/>
      <c r="R78" s="371">
        <f>SUM(E78:Q78)</f>
        <v>860000</v>
      </c>
      <c r="S78" s="371">
        <f>R78</f>
        <v>860000</v>
      </c>
      <c r="T78" s="371"/>
      <c r="U78" s="367"/>
    </row>
    <row r="79" spans="1:21" s="368" customFormat="1">
      <c r="A79" s="369" t="s">
        <v>593</v>
      </c>
      <c r="B79" s="370">
        <f>SUM(C79+D79)</f>
        <v>300000</v>
      </c>
      <c r="C79" s="371">
        <v>300000</v>
      </c>
      <c r="D79" s="371"/>
      <c r="E79" s="371">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1907</v>
      </c>
      <c r="B80" s="370">
        <f>SUM(C80:D80)</f>
        <v>1160000</v>
      </c>
      <c r="C80" s="1074">
        <f>SUM(C78:C79)</f>
        <v>1160000</v>
      </c>
      <c r="D80" s="1074">
        <f t="shared" ref="D80:R80" si="19">SUM(D78:D79)</f>
        <v>0</v>
      </c>
      <c r="E80" s="1074">
        <f t="shared" si="19"/>
        <v>1160000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1160000</v>
      </c>
      <c r="S80" s="1074">
        <f>SUM(S78:S79)</f>
        <v>1160000</v>
      </c>
      <c r="T80" s="1074">
        <f>SUM(T78:T79)</f>
        <v>0</v>
      </c>
      <c r="U80" s="367"/>
    </row>
    <row r="81" spans="1:21" s="368" customFormat="1" ht="12.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570</v>
      </c>
      <c r="B82" s="370">
        <f>SUM(C82+D82)</f>
        <v>90980</v>
      </c>
      <c r="C82" s="371">
        <v>90980</v>
      </c>
      <c r="D82" s="371"/>
      <c r="E82" s="371">
        <v>90980</v>
      </c>
      <c r="F82" s="371"/>
      <c r="G82" s="371"/>
      <c r="H82" s="371"/>
      <c r="I82" s="371"/>
      <c r="J82" s="371"/>
      <c r="K82" s="371"/>
      <c r="L82" s="371"/>
      <c r="M82" s="371"/>
      <c r="N82" s="371"/>
      <c r="O82" s="371"/>
      <c r="P82" s="371"/>
      <c r="Q82" s="371"/>
      <c r="R82" s="371">
        <f>SUM(E82:Q82)</f>
        <v>90980</v>
      </c>
      <c r="S82" s="372"/>
      <c r="T82" s="372"/>
      <c r="U82" s="367"/>
    </row>
    <row r="83" spans="1:21" s="368" customFormat="1">
      <c r="A83" s="369" t="s">
        <v>571</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572</v>
      </c>
      <c r="B84" s="370">
        <f t="shared" si="20"/>
        <v>1531006</v>
      </c>
      <c r="C84" s="371">
        <v>1531006</v>
      </c>
      <c r="D84" s="371"/>
      <c r="E84" s="371">
        <v>1531006</v>
      </c>
      <c r="F84" s="371"/>
      <c r="G84" s="371"/>
      <c r="H84" s="371"/>
      <c r="I84" s="371"/>
      <c r="J84" s="371"/>
      <c r="K84" s="371"/>
      <c r="L84" s="371"/>
      <c r="M84" s="371"/>
      <c r="N84" s="371"/>
      <c r="O84" s="371"/>
      <c r="P84" s="371"/>
      <c r="Q84" s="371"/>
      <c r="R84" s="371">
        <f t="shared" si="21"/>
        <v>1531006</v>
      </c>
      <c r="S84" s="371">
        <f>R84</f>
        <v>1531006</v>
      </c>
      <c r="T84" s="371"/>
      <c r="U84" s="367"/>
    </row>
    <row r="85" spans="1:21" s="368" customFormat="1">
      <c r="A85" s="369" t="s">
        <v>573</v>
      </c>
      <c r="B85" s="370">
        <f t="shared" si="20"/>
        <v>250000</v>
      </c>
      <c r="C85" s="371">
        <v>250000</v>
      </c>
      <c r="D85" s="371"/>
      <c r="E85" s="371">
        <v>250000</v>
      </c>
      <c r="F85" s="371"/>
      <c r="G85" s="371"/>
      <c r="H85" s="371"/>
      <c r="I85" s="371"/>
      <c r="J85" s="371"/>
      <c r="K85" s="371"/>
      <c r="L85" s="371"/>
      <c r="M85" s="371"/>
      <c r="N85" s="371"/>
      <c r="O85" s="371"/>
      <c r="P85" s="371"/>
      <c r="Q85" s="371"/>
      <c r="R85" s="371">
        <f t="shared" si="21"/>
        <v>250000</v>
      </c>
      <c r="S85" s="371">
        <f>R85</f>
        <v>250000</v>
      </c>
      <c r="T85" s="371"/>
      <c r="U85" s="367"/>
    </row>
    <row r="86" spans="1:21" s="368" customFormat="1">
      <c r="A86" s="369" t="s">
        <v>574</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61659</v>
      </c>
      <c r="C87" s="371">
        <v>61659</v>
      </c>
      <c r="D87" s="371"/>
      <c r="E87" s="371">
        <v>61659</v>
      </c>
      <c r="F87" s="371"/>
      <c r="G87" s="371"/>
      <c r="H87" s="371"/>
      <c r="I87" s="371"/>
      <c r="J87" s="371"/>
      <c r="K87" s="371"/>
      <c r="L87" s="371"/>
      <c r="M87" s="371"/>
      <c r="N87" s="371"/>
      <c r="O87" s="371"/>
      <c r="P87" s="371"/>
      <c r="Q87" s="371"/>
      <c r="R87" s="371">
        <f t="shared" si="21"/>
        <v>61659</v>
      </c>
      <c r="S87" s="372"/>
      <c r="T87" s="372"/>
      <c r="U87" s="367"/>
    </row>
    <row r="88" spans="1:21" s="368" customFormat="1">
      <c r="A88" s="369" t="s">
        <v>576</v>
      </c>
      <c r="B88" s="370">
        <f t="shared" si="20"/>
        <v>40000</v>
      </c>
      <c r="C88" s="371">
        <v>40000</v>
      </c>
      <c r="D88" s="371"/>
      <c r="E88" s="371">
        <v>40000</v>
      </c>
      <c r="F88" s="371"/>
      <c r="G88" s="371"/>
      <c r="H88" s="371"/>
      <c r="I88" s="371"/>
      <c r="J88" s="371"/>
      <c r="K88" s="371"/>
      <c r="L88" s="371"/>
      <c r="M88" s="371"/>
      <c r="N88" s="371"/>
      <c r="O88" s="371"/>
      <c r="P88" s="371"/>
      <c r="Q88" s="371"/>
      <c r="R88" s="371">
        <f t="shared" si="21"/>
        <v>40000</v>
      </c>
      <c r="S88" s="371">
        <f>R88</f>
        <v>40000</v>
      </c>
      <c r="T88" s="371"/>
      <c r="U88" s="367"/>
    </row>
    <row r="89" spans="1:21" s="368" customFormat="1">
      <c r="A89" s="369" t="s">
        <v>577</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1422</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1905</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588</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588</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2008645</v>
      </c>
      <c r="C95" s="370">
        <f t="shared" ref="C95:R95" si="22">SUM(C82:C94)</f>
        <v>2008645</v>
      </c>
      <c r="D95" s="370">
        <f t="shared" si="22"/>
        <v>0</v>
      </c>
      <c r="E95" s="370">
        <f t="shared" si="22"/>
        <v>2008645</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2008645</v>
      </c>
      <c r="S95" s="374">
        <f>SUM(S83:S86,S88:S94)</f>
        <v>1856006</v>
      </c>
      <c r="T95" s="370">
        <f>SUM(T83:T86,T88:T94)</f>
        <v>0</v>
      </c>
      <c r="U95" s="367"/>
    </row>
    <row r="96" spans="1:21" s="368" customFormat="1">
      <c r="A96" s="373" t="s">
        <v>579</v>
      </c>
      <c r="B96" s="370">
        <f>SUM(C96:D96)</f>
        <v>22489154</v>
      </c>
      <c r="C96" s="370">
        <f t="shared" ref="C96:R96" si="23">SUM(C62+C69+C76+C80+C95)</f>
        <v>22489154</v>
      </c>
      <c r="D96" s="370">
        <f t="shared" si="23"/>
        <v>0</v>
      </c>
      <c r="E96" s="370">
        <f t="shared" si="23"/>
        <v>12089154</v>
      </c>
      <c r="F96" s="370">
        <f t="shared" si="23"/>
        <v>1750000</v>
      </c>
      <c r="G96" s="370">
        <f t="shared" si="23"/>
        <v>8650000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22489154</v>
      </c>
      <c r="S96" s="374">
        <f>SUM(+S62+S69+S80+S95)</f>
        <v>21583934</v>
      </c>
      <c r="T96" s="374">
        <f>SUM(T62+T69+T80+T95)</f>
        <v>0</v>
      </c>
      <c r="U96" s="367"/>
    </row>
    <row r="97" spans="1:21" s="368" customFormat="1" ht="12.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1251</v>
      </c>
      <c r="B104" s="374">
        <f>SUM(C104:D104)</f>
        <v>24689154</v>
      </c>
      <c r="C104" s="374">
        <f t="shared" ref="C104:R104" si="25">SUM(C96+C103)</f>
        <v>24689154</v>
      </c>
      <c r="D104" s="374">
        <f t="shared" si="25"/>
        <v>0</v>
      </c>
      <c r="E104" s="374">
        <f t="shared" si="25"/>
        <v>14289154</v>
      </c>
      <c r="F104" s="374">
        <f t="shared" si="25"/>
        <v>1750000</v>
      </c>
      <c r="G104" s="374">
        <f t="shared" si="25"/>
        <v>8650000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24689154</v>
      </c>
      <c r="S104" s="374">
        <f>S96+S103</f>
        <v>23783934</v>
      </c>
      <c r="T104" s="374">
        <f>T96+T103</f>
        <v>0</v>
      </c>
      <c r="U104" s="367"/>
    </row>
    <row r="105" spans="1:21" s="383" customFormat="1">
      <c r="A105" s="1261" t="s">
        <v>1418</v>
      </c>
      <c r="B105" s="382"/>
      <c r="C105" s="382"/>
      <c r="D105" s="382"/>
      <c r="H105" s="384" t="s">
        <v>489</v>
      </c>
      <c r="I105" s="384"/>
      <c r="J105" s="384"/>
      <c r="R105" s="385" t="s">
        <v>490</v>
      </c>
      <c r="S105" s="371"/>
      <c r="T105" s="371"/>
      <c r="U105" s="386"/>
    </row>
    <row r="106" spans="1:21" s="383" customFormat="1">
      <c r="A106" s="384" t="s">
        <v>341</v>
      </c>
      <c r="C106" s="382"/>
      <c r="D106" s="382"/>
      <c r="I106" s="387" t="s">
        <v>591</v>
      </c>
      <c r="J106" s="387"/>
      <c r="R106" s="385" t="s">
        <v>491</v>
      </c>
      <c r="S106" s="388">
        <f>S104+S105</f>
        <v>23783934</v>
      </c>
      <c r="T106" s="388">
        <f>T104+T105</f>
        <v>0</v>
      </c>
      <c r="U106" s="386"/>
    </row>
    <row r="107" spans="1:21" s="389" customFormat="1">
      <c r="A107" s="387" t="s">
        <v>1195</v>
      </c>
      <c r="B107" s="382"/>
      <c r="C107" s="382"/>
      <c r="D107" s="382"/>
      <c r="E107" s="632">
        <f>Application!AO645</f>
        <v>14289154</v>
      </c>
      <c r="F107" s="632">
        <f>Application!AO632</f>
        <v>1750000</v>
      </c>
      <c r="G107" s="632">
        <f>Application!AO633</f>
        <v>8650000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1">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1">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1">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1">
      <c r="A120" s="457"/>
      <c r="U120" s="386"/>
    </row>
    <row r="121" spans="1:21" s="855" customFormat="1" ht="15.65">
      <c r="A121" s="854" t="s">
        <v>1410</v>
      </c>
      <c r="U121" s="856"/>
    </row>
    <row r="122" spans="1:21" s="383" customFormat="1">
      <c r="A122" s="384" t="s">
        <v>1394</v>
      </c>
      <c r="D122" s="2200" t="s">
        <v>1395</v>
      </c>
      <c r="E122" s="2200"/>
      <c r="F122" s="2200"/>
      <c r="U122" s="386"/>
    </row>
    <row r="123" spans="1:21" s="383" customFormat="1">
      <c r="A123" s="383" t="s">
        <v>1396</v>
      </c>
      <c r="B123" s="844"/>
      <c r="D123" s="2203" t="s">
        <v>1423</v>
      </c>
      <c r="E123" s="2204"/>
      <c r="F123" s="2204"/>
      <c r="G123" s="2204"/>
      <c r="H123" s="2204"/>
      <c r="I123" s="2204"/>
      <c r="J123" s="2204"/>
      <c r="K123" s="2204"/>
      <c r="L123" s="2204"/>
      <c r="M123" s="2204"/>
      <c r="N123" s="2204"/>
      <c r="O123" s="2204"/>
      <c r="P123" s="2204"/>
      <c r="Q123" s="2204"/>
      <c r="R123" s="2204"/>
      <c r="S123" s="2204"/>
      <c r="U123" s="386"/>
    </row>
    <row r="124" spans="1:21" s="383" customFormat="1" ht="12.6">
      <c r="A124" s="847" t="s">
        <v>1397</v>
      </c>
      <c r="B124" s="844"/>
      <c r="C124" s="847"/>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2.6">
      <c r="A125" s="847" t="s">
        <v>1398</v>
      </c>
      <c r="B125" s="844"/>
      <c r="C125" s="847"/>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2.6">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6">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6">
      <c r="A128" s="847" t="s">
        <v>1401</v>
      </c>
      <c r="B128" s="844"/>
      <c r="C128" s="847"/>
      <c r="D128" s="2197"/>
      <c r="E128" s="2197"/>
      <c r="F128" s="2197"/>
      <c r="G128" s="2197"/>
      <c r="H128" s="2197"/>
      <c r="I128" s="847"/>
      <c r="J128" s="2198"/>
      <c r="K128" s="2198"/>
      <c r="L128" s="847"/>
      <c r="M128" s="847"/>
      <c r="N128" s="847"/>
      <c r="O128" s="847"/>
      <c r="P128" s="847"/>
      <c r="Q128" s="847"/>
      <c r="R128" s="847"/>
      <c r="S128" s="847"/>
      <c r="U128" s="386"/>
    </row>
    <row r="129" spans="1:21" s="383" customFormat="1" ht="12.6">
      <c r="A129" s="847" t="s">
        <v>544</v>
      </c>
      <c r="B129" s="844"/>
      <c r="C129" s="847"/>
      <c r="D129" s="2199" t="s">
        <v>1402</v>
      </c>
      <c r="E129" s="2199"/>
      <c r="F129" s="2199"/>
      <c r="G129" s="2199"/>
      <c r="H129" s="2199"/>
      <c r="I129" s="847"/>
      <c r="J129" s="847" t="s">
        <v>1403</v>
      </c>
      <c r="K129" s="847"/>
      <c r="L129" s="847"/>
      <c r="M129" s="847"/>
      <c r="N129" s="847"/>
      <c r="O129" s="847"/>
      <c r="P129" s="847"/>
      <c r="Q129" s="847"/>
      <c r="R129" s="847"/>
      <c r="S129" s="847"/>
      <c r="U129" s="386"/>
    </row>
    <row r="130" spans="1:21" s="383" customFormat="1" ht="12.6">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
      <c r="A131" s="848" t="s">
        <v>1404</v>
      </c>
      <c r="B131" s="845">
        <f>SUM(B123:B129)</f>
        <v>0</v>
      </c>
      <c r="C131" s="847"/>
      <c r="D131" s="1847"/>
      <c r="E131" s="1847"/>
      <c r="F131" s="1847"/>
      <c r="G131" s="1847"/>
      <c r="H131" s="1847"/>
      <c r="I131" s="847"/>
      <c r="J131" s="1847"/>
      <c r="K131" s="1847"/>
      <c r="L131" s="1847"/>
      <c r="M131" s="1847"/>
      <c r="N131" s="847"/>
      <c r="O131" s="847"/>
      <c r="P131" s="847"/>
      <c r="Q131" s="847"/>
      <c r="R131" s="847"/>
      <c r="S131" s="847"/>
      <c r="U131" s="386"/>
    </row>
    <row r="132" spans="1:21" s="383" customFormat="1" ht="12.6">
      <c r="A132" s="849"/>
      <c r="B132" s="847"/>
      <c r="C132" s="847"/>
      <c r="D132" s="2205" t="s">
        <v>1405</v>
      </c>
      <c r="E132" s="2205"/>
      <c r="F132" s="2205"/>
      <c r="G132" s="2205"/>
      <c r="H132" s="2205"/>
      <c r="I132" s="847"/>
      <c r="J132" s="2205" t="s">
        <v>1406</v>
      </c>
      <c r="K132" s="2205"/>
      <c r="L132" s="2205"/>
      <c r="M132" s="2205"/>
      <c r="N132" s="847"/>
      <c r="O132" s="847"/>
      <c r="P132" s="847"/>
      <c r="Q132" s="847"/>
      <c r="R132" s="847"/>
      <c r="S132" s="847"/>
      <c r="U132" s="386"/>
    </row>
    <row r="133" spans="1:21" s="383" customFormat="1" ht="12.6">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6">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6">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6"/>
      <c r="B138" s="2207"/>
      <c r="C138" s="2207"/>
      <c r="D138" s="547"/>
      <c r="E138" s="2198"/>
      <c r="F138" s="2198"/>
      <c r="G138" s="847"/>
      <c r="H138" s="847"/>
      <c r="I138" s="847"/>
      <c r="J138" s="847"/>
      <c r="K138" s="847"/>
      <c r="L138" s="847"/>
      <c r="M138" s="847"/>
      <c r="N138" s="847"/>
      <c r="O138" s="847"/>
      <c r="P138" s="847"/>
      <c r="Q138" s="847"/>
      <c r="R138" s="847"/>
      <c r="S138" s="847"/>
    </row>
    <row r="139" spans="1:21" ht="12" customHeight="1">
      <c r="A139" s="2201" t="s">
        <v>1409</v>
      </c>
      <c r="B139" s="2202"/>
      <c r="C139" s="2202"/>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15" zoomScaleNormal="115" zoomScaleSheetLayoutView="100" workbookViewId="0">
      <selection activeCell="AK54" sqref="AK54"/>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47" t="s">
        <v>1911</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1"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t="s">
        <v>2003</v>
      </c>
      <c r="AA6" s="2"/>
    </row>
    <row r="7" spans="1:40" ht="13.75" customHeight="1">
      <c r="B7" s="9"/>
      <c r="C7" s="10"/>
      <c r="D7" s="10"/>
      <c r="E7" s="10"/>
      <c r="F7" s="10"/>
      <c r="G7" s="10"/>
      <c r="H7" s="10"/>
      <c r="I7" s="10"/>
      <c r="J7" s="10"/>
      <c r="K7" s="10"/>
      <c r="L7" s="10"/>
      <c r="M7" s="10"/>
      <c r="N7" s="10"/>
      <c r="O7" s="10"/>
      <c r="P7" s="10"/>
      <c r="Q7" s="10"/>
      <c r="R7" s="10"/>
      <c r="S7" s="10"/>
      <c r="T7" s="2227" t="str">
        <f>IF(T25=100%,'Sources and Basis Breakdown'!G2,'Sources and Basis Breakdown'!F2)</f>
        <v>70% PVC for New Const/
Rehabilitation
NON-DDA/
NON-QCT Building(s)</v>
      </c>
      <c r="U7" s="2227"/>
      <c r="V7" s="2227"/>
      <c r="W7" s="2227"/>
      <c r="X7" s="2227"/>
      <c r="Y7" s="2227" t="str">
        <f>IF(T25=100%," ",'Sources and Basis Breakdown'!G2)</f>
        <v xml:space="preserve"> </v>
      </c>
      <c r="Z7" s="2227"/>
      <c r="AA7" s="2227"/>
      <c r="AB7" s="2227"/>
      <c r="AC7" s="2227"/>
      <c r="AD7" s="2227" t="str">
        <f>IF(T25=100%,'Sources and Basis Breakdown'!J2,'Sources and Basis Breakdown'!I2)</f>
        <v>30% PVC for Acquisition
NON-DDA/
NON-QCT Building(s)</v>
      </c>
      <c r="AE7" s="2227"/>
      <c r="AF7" s="2227"/>
      <c r="AG7" s="2227"/>
      <c r="AH7" s="2227"/>
      <c r="AI7" s="2227" t="str">
        <f>IF(T25=100%," ",'Sources and Basis Breakdown'!J2)</f>
        <v xml:space="preserve"> </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6">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1">
      <c r="B11" s="2224" t="s">
        <v>562</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23783934</v>
      </c>
      <c r="U11" s="2252"/>
      <c r="V11" s="2252"/>
      <c r="W11" s="2252"/>
      <c r="X11" s="2252"/>
      <c r="Y11" s="2251">
        <f>IF(Y7=" ",0,IF('Sources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IF(AI7=" ",0,IF('Sources and Basis Breakdown'!I105+'Sources and Basis Breakdown'!J105='Sources and Basis Breakdown'!H105,'Sources and Basis Breakdown'!J105,0))</f>
        <v>0</v>
      </c>
      <c r="AJ11" s="2252"/>
      <c r="AK11" s="2252"/>
      <c r="AL11" s="2252"/>
      <c r="AM11" s="2252"/>
    </row>
    <row r="12" spans="1:40" ht="13.1">
      <c r="B12" s="2257" t="s">
        <v>492</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6">
      <c r="B13" s="11"/>
      <c r="C13" s="2260" t="s">
        <v>1875</v>
      </c>
      <c r="D13" s="2261"/>
      <c r="E13" s="2261"/>
      <c r="F13" s="2261"/>
      <c r="G13" s="2261"/>
      <c r="H13" s="2261"/>
      <c r="I13" s="2261"/>
      <c r="J13" s="2261"/>
      <c r="K13" s="2261"/>
      <c r="L13" s="2261"/>
      <c r="M13" s="2261"/>
      <c r="N13" s="2261"/>
      <c r="O13" s="2261"/>
      <c r="P13" s="2261"/>
      <c r="Q13" s="2261"/>
      <c r="R13" s="2261"/>
      <c r="S13" s="2262"/>
      <c r="T13" s="2253"/>
      <c r="U13" s="2250"/>
      <c r="V13" s="2250"/>
      <c r="W13" s="2250"/>
      <c r="X13" s="2250"/>
      <c r="Y13" s="2253"/>
      <c r="Z13" s="2250"/>
      <c r="AA13" s="2250"/>
      <c r="AB13" s="2250"/>
      <c r="AC13" s="2250"/>
      <c r="AD13" s="2250"/>
      <c r="AE13" s="2250"/>
      <c r="AF13" s="2250"/>
      <c r="AG13" s="2250"/>
      <c r="AH13" s="2250"/>
      <c r="AI13" s="2250"/>
      <c r="AJ13" s="2250"/>
      <c r="AK13" s="2250"/>
      <c r="AL13" s="2250"/>
      <c r="AM13" s="2250"/>
    </row>
    <row r="14" spans="1:40" ht="12.6">
      <c r="B14" s="11"/>
      <c r="C14" s="2261" t="s">
        <v>833</v>
      </c>
      <c r="D14" s="2261"/>
      <c r="E14" s="2261"/>
      <c r="F14" s="2261"/>
      <c r="G14" s="2261"/>
      <c r="H14" s="2261"/>
      <c r="I14" s="2261"/>
      <c r="J14" s="2261"/>
      <c r="K14" s="2261"/>
      <c r="L14" s="2261"/>
      <c r="M14" s="2261"/>
      <c r="N14" s="2261"/>
      <c r="O14" s="2261"/>
      <c r="P14" s="2261"/>
      <c r="Q14" s="2261"/>
      <c r="R14" s="2261"/>
      <c r="S14" s="2262"/>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6">
      <c r="B15" s="11"/>
      <c r="C15" s="2261" t="s">
        <v>834</v>
      </c>
      <c r="D15" s="2261"/>
      <c r="E15" s="2261"/>
      <c r="F15" s="2261"/>
      <c r="G15" s="2261"/>
      <c r="H15" s="2261"/>
      <c r="I15" s="2261"/>
      <c r="J15" s="2261"/>
      <c r="K15" s="2261"/>
      <c r="L15" s="2261"/>
      <c r="M15" s="2261"/>
      <c r="N15" s="2261"/>
      <c r="O15" s="2261"/>
      <c r="P15" s="2261"/>
      <c r="Q15" s="2261"/>
      <c r="R15" s="2261"/>
      <c r="S15" s="2262"/>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6">
      <c r="B16" s="11"/>
      <c r="C16" s="2260" t="s">
        <v>1096</v>
      </c>
      <c r="D16" s="2260"/>
      <c r="E16" s="2260"/>
      <c r="F16" s="2260"/>
      <c r="G16" s="2260"/>
      <c r="H16" s="2260"/>
      <c r="I16" s="2260"/>
      <c r="J16" s="2260"/>
      <c r="K16" s="2260"/>
      <c r="L16" s="2260"/>
      <c r="M16" s="2260"/>
      <c r="N16" s="2260"/>
      <c r="O16" s="2260"/>
      <c r="P16" s="2260"/>
      <c r="Q16" s="2260"/>
      <c r="R16" s="2260"/>
      <c r="S16" s="2263"/>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6">
      <c r="B17" s="11"/>
      <c r="C17" s="2261" t="s">
        <v>835</v>
      </c>
      <c r="D17" s="2261"/>
      <c r="E17" s="2261"/>
      <c r="F17" s="2261"/>
      <c r="G17" s="2261"/>
      <c r="H17" s="2261"/>
      <c r="I17" s="2261"/>
      <c r="J17" s="2261"/>
      <c r="K17" s="2261"/>
      <c r="L17" s="2261"/>
      <c r="M17" s="2261"/>
      <c r="N17" s="2261"/>
      <c r="O17" s="2261"/>
      <c r="P17" s="2261"/>
      <c r="Q17" s="2261"/>
      <c r="R17" s="2261"/>
      <c r="S17" s="2262"/>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6">
      <c r="B18" s="903"/>
      <c r="C18" s="1952" t="s">
        <v>1317</v>
      </c>
      <c r="D18" s="1952"/>
      <c r="E18" s="1952"/>
      <c r="F18" s="1952"/>
      <c r="G18" s="1952"/>
      <c r="H18" s="1952"/>
      <c r="I18" s="1952"/>
      <c r="J18" s="1952"/>
      <c r="K18" s="1952"/>
      <c r="L18" s="1952"/>
      <c r="M18" s="1952"/>
      <c r="N18" s="1952"/>
      <c r="O18" s="1952"/>
      <c r="P18" s="1952"/>
      <c r="Q18" s="1952"/>
      <c r="R18" s="1952"/>
      <c r="S18" s="1953"/>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6">
      <c r="B19" s="745"/>
      <c r="C19" s="1952" t="s">
        <v>1317</v>
      </c>
      <c r="D19" s="1952"/>
      <c r="E19" s="1952"/>
      <c r="F19" s="1952"/>
      <c r="G19" s="1952"/>
      <c r="H19" s="1952"/>
      <c r="I19" s="1952"/>
      <c r="J19" s="1952"/>
      <c r="K19" s="1952"/>
      <c r="L19" s="1952"/>
      <c r="M19" s="1952"/>
      <c r="N19" s="1952"/>
      <c r="O19" s="1952"/>
      <c r="P19" s="1952"/>
      <c r="Q19" s="1952"/>
      <c r="R19" s="1952"/>
      <c r="S19" s="1953"/>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3.1">
      <c r="B20" s="2224" t="s">
        <v>836</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1">
      <c r="B21" s="2224" t="s">
        <v>1874</v>
      </c>
      <c r="C21" s="2225"/>
      <c r="D21" s="2225"/>
      <c r="E21" s="2225"/>
      <c r="F21" s="2225"/>
      <c r="G21" s="2225"/>
      <c r="H21" s="2225"/>
      <c r="I21" s="2225"/>
      <c r="J21" s="2225"/>
      <c r="K21" s="2225"/>
      <c r="L21" s="2225"/>
      <c r="M21" s="2225"/>
      <c r="N21" s="2225"/>
      <c r="O21" s="2225"/>
      <c r="P21" s="2225"/>
      <c r="Q21" s="2225"/>
      <c r="R21" s="2225"/>
      <c r="S21" s="2226"/>
      <c r="T21" s="1719">
        <v>4420000</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3.1">
      <c r="B22" s="2224" t="s">
        <v>837</v>
      </c>
      <c r="C22" s="2225"/>
      <c r="D22" s="2225"/>
      <c r="E22" s="2225"/>
      <c r="F22" s="2225"/>
      <c r="G22" s="2225"/>
      <c r="H22" s="2225"/>
      <c r="I22" s="2225"/>
      <c r="J22" s="2225"/>
      <c r="K22" s="2225"/>
      <c r="L22" s="2225"/>
      <c r="M22" s="2225"/>
      <c r="N22" s="2225"/>
      <c r="O22" s="2225"/>
      <c r="P22" s="2225"/>
      <c r="Q22" s="2225"/>
      <c r="R22" s="2225"/>
      <c r="S22" s="2226"/>
      <c r="T22" s="2265">
        <f>(T20+T21)*-1</f>
        <v>-4420000</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3.1">
      <c r="A23" s="2"/>
      <c r="B23" s="2284" t="s">
        <v>2104</v>
      </c>
      <c r="C23" s="2285"/>
      <c r="D23" s="2285"/>
      <c r="E23" s="2285"/>
      <c r="F23" s="2285"/>
      <c r="G23" s="2285"/>
      <c r="H23" s="2285"/>
      <c r="I23" s="2285"/>
      <c r="J23" s="2285"/>
      <c r="K23" s="2285"/>
      <c r="L23" s="2285"/>
      <c r="M23" s="2285"/>
      <c r="N23" s="2285"/>
      <c r="O23" s="2285"/>
      <c r="P23" s="2285"/>
      <c r="Q23" s="2285"/>
      <c r="R23" s="2285"/>
      <c r="S23" s="2286"/>
      <c r="T23" s="2219">
        <f>T11+T22</f>
        <v>19363934</v>
      </c>
      <c r="U23" s="2220"/>
      <c r="V23" s="2220"/>
      <c r="W23" s="2220"/>
      <c r="X23" s="2220"/>
      <c r="Y23" s="2219">
        <f>Y11+Y22</f>
        <v>0</v>
      </c>
      <c r="Z23" s="2220"/>
      <c r="AA23" s="2220"/>
      <c r="AB23" s="2220"/>
      <c r="AC23" s="2220"/>
      <c r="AD23" s="2219">
        <f>IF(AD11=AD21,0,AD11)</f>
        <v>0</v>
      </c>
      <c r="AE23" s="2220"/>
      <c r="AF23" s="2220"/>
      <c r="AG23" s="2220"/>
      <c r="AH23" s="2220"/>
      <c r="AI23" s="2219">
        <f>IF(AI11=AI21,0,AI11)</f>
        <v>0</v>
      </c>
      <c r="AJ23" s="2220"/>
      <c r="AK23" s="2220"/>
      <c r="AL23" s="2220"/>
      <c r="AM23" s="2220"/>
    </row>
    <row r="24" spans="1:39" ht="13.1">
      <c r="B24" s="2224" t="s">
        <v>1318</v>
      </c>
      <c r="C24" s="2225"/>
      <c r="D24" s="2225"/>
      <c r="E24" s="2225"/>
      <c r="F24" s="2225"/>
      <c r="G24" s="2225"/>
      <c r="H24" s="2225"/>
      <c r="I24" s="2225"/>
      <c r="J24" s="2225"/>
      <c r="K24" s="2225"/>
      <c r="L24" s="2225"/>
      <c r="M24" s="2225"/>
      <c r="N24" s="2225"/>
      <c r="O24" s="2225"/>
      <c r="P24" s="2225"/>
      <c r="Q24" s="2225"/>
      <c r="R24" s="2225"/>
      <c r="S24" s="2226"/>
      <c r="T24" s="2287">
        <f>Application!AJ1002</f>
        <v>27404937</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6">
      <c r="B25" s="2278" t="s">
        <v>2106</v>
      </c>
      <c r="C25" s="2279"/>
      <c r="D25" s="2279"/>
      <c r="E25" s="2279"/>
      <c r="F25" s="2279"/>
      <c r="G25" s="2279"/>
      <c r="H25" s="2279"/>
      <c r="I25" s="2279"/>
      <c r="J25" s="2279"/>
      <c r="K25" s="2279"/>
      <c r="L25" s="2279"/>
      <c r="M25" s="2279"/>
      <c r="N25" s="2279"/>
      <c r="O25" s="2279"/>
      <c r="P25" s="2279"/>
      <c r="Q25" s="2279"/>
      <c r="R25" s="2279"/>
      <c r="S25" s="2280"/>
      <c r="T25" s="2267">
        <f>IF(OR(AND(Application!T193="no",Application!T194="no",Application!T196="no",Application!Y211="no"),Application!T195="yes"),1,1.3)</f>
        <v>1</v>
      </c>
      <c r="U25" s="2268"/>
      <c r="V25" s="2268"/>
      <c r="W25" s="2268"/>
      <c r="X25" s="2268"/>
      <c r="Y25" s="2271">
        <v>1</v>
      </c>
      <c r="Z25" s="2272"/>
      <c r="AA25" s="2272"/>
      <c r="AB25" s="2272"/>
      <c r="AC25" s="2273"/>
      <c r="AD25" s="2271">
        <v>1</v>
      </c>
      <c r="AE25" s="2272"/>
      <c r="AF25" s="2272"/>
      <c r="AG25" s="2272"/>
      <c r="AH25" s="2273"/>
      <c r="AI25" s="2271">
        <v>1</v>
      </c>
      <c r="AJ25" s="2272"/>
      <c r="AK25" s="2272"/>
      <c r="AL25" s="2272"/>
      <c r="AM25" s="2273"/>
    </row>
    <row r="26" spans="1:39" ht="13.1">
      <c r="B26" s="2224" t="s">
        <v>839</v>
      </c>
      <c r="C26" s="2225"/>
      <c r="D26" s="2225"/>
      <c r="E26" s="2225"/>
      <c r="F26" s="2225"/>
      <c r="G26" s="2225"/>
      <c r="H26" s="2225"/>
      <c r="I26" s="2225"/>
      <c r="J26" s="2225"/>
      <c r="K26" s="2225"/>
      <c r="L26" s="2225"/>
      <c r="M26" s="2225"/>
      <c r="N26" s="2225"/>
      <c r="O26" s="2225"/>
      <c r="P26" s="2225"/>
      <c r="Q26" s="2225"/>
      <c r="R26" s="2225"/>
      <c r="S26" s="2226"/>
      <c r="T26" s="2274">
        <f>T23*T25</f>
        <v>19363934</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6">
      <c r="A27" s="7"/>
      <c r="B27" s="2281" t="s">
        <v>957</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917</v>
      </c>
      <c r="C28" s="2225"/>
      <c r="D28" s="2225"/>
      <c r="E28" s="2225"/>
      <c r="F28" s="2225"/>
      <c r="G28" s="2225"/>
      <c r="H28" s="2225"/>
      <c r="I28" s="2225"/>
      <c r="J28" s="2225"/>
      <c r="K28" s="2225"/>
      <c r="L28" s="2225"/>
      <c r="M28" s="2225"/>
      <c r="N28" s="2225"/>
      <c r="O28" s="2225"/>
      <c r="P28" s="2225"/>
      <c r="Q28" s="2225"/>
      <c r="R28" s="2225"/>
      <c r="S28" s="2226"/>
      <c r="T28" s="1797">
        <f>IF(ISERROR((T26*T27)),0,(T26*T27))</f>
        <v>19363934</v>
      </c>
      <c r="U28" s="2241"/>
      <c r="V28" s="2241"/>
      <c r="W28" s="2241"/>
      <c r="X28" s="2241"/>
      <c r="Y28" s="1797">
        <f>IF(ISERROR((Y26*Y27)),0,(Y26*Y27))</f>
        <v>0</v>
      </c>
      <c r="Z28" s="2241"/>
      <c r="AA28" s="2241"/>
      <c r="AB28" s="2241"/>
      <c r="AC28" s="2241"/>
      <c r="AD28" s="1797">
        <f>IF(ISERROR((AD26*AD27)),0,(AD26*AD27))</f>
        <v>0</v>
      </c>
      <c r="AE28" s="2241"/>
      <c r="AF28" s="2241"/>
      <c r="AG28" s="2241"/>
      <c r="AH28" s="2241"/>
      <c r="AI28" s="1797">
        <f>IF(ISERROR((AI26*AI27)),0,(AI26*AI27))</f>
        <v>0</v>
      </c>
      <c r="AJ28" s="2241"/>
      <c r="AK28" s="2241"/>
      <c r="AL28" s="2241"/>
      <c r="AM28" s="2241"/>
    </row>
    <row r="29" spans="1:39" ht="13.1">
      <c r="B29" s="2224" t="s">
        <v>684</v>
      </c>
      <c r="C29" s="2225"/>
      <c r="D29" s="2225"/>
      <c r="E29" s="2225"/>
      <c r="F29" s="2225"/>
      <c r="G29" s="2225"/>
      <c r="H29" s="2225"/>
      <c r="I29" s="2225"/>
      <c r="J29" s="2225"/>
      <c r="K29" s="2225"/>
      <c r="L29" s="2225"/>
      <c r="M29" s="2225"/>
      <c r="N29" s="2225"/>
      <c r="O29" s="2225"/>
      <c r="P29" s="2225"/>
      <c r="Q29" s="2225"/>
      <c r="R29" s="2225"/>
      <c r="S29" s="2226"/>
      <c r="T29" s="2287">
        <f>T28+Y28+AD28+AI28</f>
        <v>19363934</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246" t="s">
        <v>2105</v>
      </c>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row>
    <row r="31" spans="1:39" ht="12.6">
      <c r="B31" s="2208" t="s">
        <v>2109</v>
      </c>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c r="AD31" s="2208"/>
      <c r="AE31" s="2208"/>
      <c r="AF31" s="2208"/>
      <c r="AG31" s="2208"/>
      <c r="AH31" s="2208"/>
      <c r="AI31" s="2208"/>
      <c r="AJ31" s="2208"/>
      <c r="AK31" s="2208"/>
      <c r="AL31" s="2208"/>
      <c r="AM31" s="2208"/>
    </row>
    <row r="32" spans="1:39" ht="12.6"/>
    <row r="33" spans="1:44" ht="13.1">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
      <c r="A34" s="6" t="s">
        <v>8</v>
      </c>
      <c r="C34" s="6" t="s">
        <v>229</v>
      </c>
    </row>
    <row r="35" spans="1:44" ht="12.6">
      <c r="B35" s="9"/>
      <c r="C35" s="10"/>
      <c r="D35" s="10"/>
      <c r="E35" s="10"/>
      <c r="F35" s="10"/>
      <c r="G35" s="10"/>
      <c r="H35" s="10"/>
      <c r="I35" s="10"/>
      <c r="J35" s="10"/>
      <c r="K35" s="10"/>
      <c r="L35" s="10"/>
      <c r="M35" s="10"/>
      <c r="N35" s="10"/>
      <c r="O35" s="10"/>
      <c r="P35" s="10"/>
      <c r="Q35" s="10"/>
      <c r="R35" s="10"/>
      <c r="S35" s="10"/>
      <c r="T35" s="10"/>
      <c r="U35" s="10"/>
      <c r="V35" s="10"/>
      <c r="W35" s="10"/>
      <c r="X35" s="336"/>
      <c r="Y35" s="2227" t="s">
        <v>1757</v>
      </c>
      <c r="Z35" s="2227"/>
      <c r="AA35" s="2227"/>
      <c r="AB35" s="2227"/>
      <c r="AC35" s="2227"/>
      <c r="AD35" s="2209" t="s">
        <v>46</v>
      </c>
      <c r="AE35" s="2209"/>
      <c r="AF35" s="2209"/>
      <c r="AG35" s="2209"/>
      <c r="AH35" s="220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4"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4" ht="12.75" customHeight="1">
      <c r="A38" s="6"/>
      <c r="B38" s="2224" t="s">
        <v>917</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19363934</v>
      </c>
      <c r="Z38" s="2220"/>
      <c r="AA38" s="2220"/>
      <c r="AB38" s="2220"/>
      <c r="AC38" s="2220"/>
      <c r="AD38" s="2220">
        <f>IF(T24&gt;=(T23+Y23+AD23+AI23),AD28+AI28,0)</f>
        <v>0</v>
      </c>
      <c r="AE38" s="2220"/>
      <c r="AF38" s="2220"/>
      <c r="AG38" s="2220"/>
      <c r="AH38" s="2220"/>
    </row>
    <row r="39" spans="1:44" ht="13.1">
      <c r="B39" s="2224" t="s">
        <v>1988</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v>0.04</v>
      </c>
      <c r="AE39" s="2218"/>
      <c r="AF39" s="2218"/>
      <c r="AG39" s="2218"/>
      <c r="AH39" s="2218"/>
    </row>
    <row r="40" spans="1:44"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1742754</v>
      </c>
      <c r="Z40" s="2220"/>
      <c r="AA40" s="2220"/>
      <c r="AB40" s="2220"/>
      <c r="AC40" s="2220"/>
      <c r="AD40" s="2219">
        <f>ROUND(AD38*AD39,0)</f>
        <v>0</v>
      </c>
      <c r="AE40" s="2220"/>
      <c r="AF40" s="2220"/>
      <c r="AG40" s="2220"/>
      <c r="AH40" s="2220"/>
    </row>
    <row r="41" spans="1:44" ht="13.1">
      <c r="B41" s="2224" t="s">
        <v>678</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IF(Application!Y211="No",'Basis &amp; Credits'!AR42,AR43)</f>
        <v>1742754</v>
      </c>
      <c r="Z41" s="2222"/>
      <c r="AA41" s="2222"/>
      <c r="AB41" s="2222"/>
      <c r="AC41" s="2222"/>
      <c r="AD41" s="2222"/>
      <c r="AE41" s="2222"/>
      <c r="AF41" s="2222"/>
      <c r="AG41" s="2222"/>
      <c r="AH41" s="2223"/>
    </row>
    <row r="42" spans="1:44" ht="12.75" customHeight="1">
      <c r="A42" s="6"/>
      <c r="B42" s="2240" t="s">
        <v>1989</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c r="AR42" s="2">
        <f>IF((Y40+AD40)&gt;2500000,2500000,Y40+AD40)</f>
        <v>1742754</v>
      </c>
    </row>
    <row r="43" spans="1:44"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1742754</v>
      </c>
    </row>
    <row r="44" spans="1:44"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
      <c r="A45" s="6" t="s">
        <v>130</v>
      </c>
      <c r="C45" s="6" t="s">
        <v>280</v>
      </c>
    </row>
    <row r="46" spans="1:44" ht="13.1">
      <c r="D46" s="6" t="s">
        <v>281</v>
      </c>
      <c r="AB46" s="2215">
        <f>'Sources and Uses Budget'!B104-'Sources and Uses Budget'!$B$15</f>
        <v>24689154</v>
      </c>
      <c r="AC46" s="2216"/>
      <c r="AD46" s="2216"/>
      <c r="AE46" s="2216"/>
      <c r="AF46" s="2217"/>
    </row>
    <row r="47" spans="1:44" ht="12.75" customHeight="1">
      <c r="D47" s="6" t="s">
        <v>911</v>
      </c>
      <c r="AB47" s="2215">
        <f>Application!AO644-MIN('Sources and Uses Budget'!B15,Application!AG388)</f>
        <v>10400000</v>
      </c>
      <c r="AC47" s="2216"/>
      <c r="AD47" s="2216"/>
      <c r="AE47" s="2216"/>
      <c r="AF47" s="2217"/>
    </row>
    <row r="48" spans="1:44" ht="13.1">
      <c r="D48" s="6" t="s">
        <v>419</v>
      </c>
      <c r="AB48" s="2215">
        <f>AB46-AB47</f>
        <v>14289154</v>
      </c>
      <c r="AC48" s="2216"/>
      <c r="AD48" s="2216"/>
      <c r="AE48" s="2216"/>
      <c r="AF48" s="2217"/>
    </row>
    <row r="49" spans="1:40" ht="13.1">
      <c r="D49" s="6" t="s">
        <v>950</v>
      </c>
      <c r="X49" s="2"/>
      <c r="Y49" s="2"/>
      <c r="Z49" s="2"/>
      <c r="AA49" s="409"/>
      <c r="AB49" s="2234">
        <f>0.9999*0.82</f>
        <v>0.81991799999999992</v>
      </c>
      <c r="AC49" s="2235"/>
      <c r="AD49" s="2235"/>
      <c r="AE49" s="2235"/>
      <c r="AF49" s="2236"/>
    </row>
    <row r="50" spans="1:40" s="497" customFormat="1" ht="15" customHeight="1">
      <c r="A50" s="2"/>
      <c r="B50" s="2"/>
      <c r="C50" s="2"/>
      <c r="D50" s="272"/>
      <c r="E50" s="2245" t="s">
        <v>2163</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17427540</v>
      </c>
      <c r="AC53" s="2216"/>
      <c r="AD53" s="2216"/>
      <c r="AE53" s="2216"/>
      <c r="AF53" s="2217"/>
    </row>
    <row r="54" spans="1:40" ht="12.75" customHeight="1">
      <c r="D54" s="6" t="s">
        <v>617</v>
      </c>
      <c r="AB54" s="2215">
        <f>(AB53/10)</f>
        <v>1742754</v>
      </c>
      <c r="AC54" s="2216"/>
      <c r="AD54" s="2216"/>
      <c r="AE54" s="2216"/>
      <c r="AF54" s="2217"/>
    </row>
    <row r="55" spans="1:40" ht="13.1">
      <c r="D55" s="6" t="s">
        <v>378</v>
      </c>
      <c r="AB55" s="2242">
        <f>(IF((Y41&lt;AB54),Y41,AB54))</f>
        <v>1742754</v>
      </c>
      <c r="AC55" s="2243"/>
      <c r="AD55" s="2243"/>
      <c r="AE55" s="2243"/>
      <c r="AF55" s="2244"/>
    </row>
    <row r="56" spans="1:40" ht="13.1">
      <c r="D56" s="6" t="s">
        <v>118</v>
      </c>
      <c r="AB56" s="2215">
        <f>ROUND((10*AB55*AB49),0)</f>
        <v>14289154</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0</v>
      </c>
      <c r="AC58" s="2213"/>
      <c r="AD58" s="2213"/>
      <c r="AE58" s="2213"/>
      <c r="AF58" s="2213"/>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0" t="s">
        <v>1915</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5"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1">
      <c r="C63" s="330"/>
      <c r="D63" s="775" t="s">
        <v>1342</v>
      </c>
      <c r="E63" s="776"/>
      <c r="F63" s="776"/>
      <c r="G63" s="776"/>
      <c r="H63" s="776"/>
      <c r="I63" s="776"/>
      <c r="J63" s="776"/>
      <c r="K63" s="776"/>
      <c r="L63" s="22"/>
      <c r="M63" s="22"/>
      <c r="N63" s="22"/>
      <c r="O63" s="22"/>
      <c r="P63" s="22"/>
      <c r="Q63" s="22"/>
      <c r="R63" s="22"/>
      <c r="S63" s="22"/>
      <c r="T63" s="22"/>
      <c r="U63" s="22"/>
      <c r="V63" s="22"/>
      <c r="W63" s="22"/>
      <c r="X63" s="22"/>
      <c r="Y63" s="2241">
        <f>IF(AND(Application!T193="No",Application!T194="No"),T28,IF(OR(AND(T25=1.3,Application!T196="Yes",Application!D214="Special Needs"),T25=1),(T23*T27)+Y28,Y28))</f>
        <v>19363934</v>
      </c>
      <c r="Z63" s="2237"/>
      <c r="AA63" s="2237"/>
      <c r="AB63" s="2237"/>
      <c r="AC63" s="2237"/>
      <c r="AD63" s="1867">
        <f>IF(AND(T25=1.3,Application!D214="At-Risk"),AI28,IF(Application!D214&lt;&gt;"At-Risk",0,AD28))</f>
        <v>0</v>
      </c>
      <c r="AE63" s="2237"/>
      <c r="AF63" s="2237"/>
      <c r="AG63" s="2237"/>
      <c r="AH63" s="2237"/>
    </row>
    <row r="64" spans="1:40" ht="15" customHeight="1">
      <c r="C64" s="6"/>
      <c r="E64" s="2211" t="s">
        <v>1393</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5"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1">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3">
        <f>IF(Application!W198="Yes",95%, 30%)</f>
        <v>0.3</v>
      </c>
      <c r="Z66" s="2233"/>
      <c r="AA66" s="2233"/>
      <c r="AB66" s="2233"/>
      <c r="AC66" s="2233"/>
      <c r="AD66" s="2233">
        <f>IF(Application!W198="Yes",95%, 13%)</f>
        <v>0.13</v>
      </c>
      <c r="AE66" s="2233"/>
      <c r="AF66" s="2233"/>
      <c r="AG66" s="2233"/>
      <c r="AH66" s="2233"/>
    </row>
    <row r="67" spans="1:40" ht="13.1">
      <c r="C67" s="6"/>
      <c r="D67" s="6" t="s">
        <v>1024</v>
      </c>
      <c r="Y67" s="1867">
        <f>ROUND(Y63*Y66,0)</f>
        <v>5809180</v>
      </c>
      <c r="Z67" s="2237"/>
      <c r="AA67" s="2237"/>
      <c r="AB67" s="2237"/>
      <c r="AC67" s="2237"/>
      <c r="AD67" s="1867" t="str">
        <f>IF(OR(Application!D211="At-Risk",Application!D211="At-Risk/Located in Rural Census Tract",Application!D214="At-Risk"),ROUND(AD63*AD66,0),"$0")</f>
        <v>$0</v>
      </c>
      <c r="AE67" s="2238"/>
      <c r="AF67" s="2238"/>
      <c r="AG67" s="2238"/>
      <c r="AH67" s="2238"/>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1910</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D72" s="1062"/>
      <c r="AE72" s="1062"/>
      <c r="AF72" s="1062"/>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1025</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0</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G17" sqref="G16:G17"/>
    </sheetView>
  </sheetViews>
  <sheetFormatPr defaultColWidth="8.81640625" defaultRowHeight="11.6"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1">
      <c r="A1" s="2289" t="s">
        <v>1996</v>
      </c>
      <c r="B1" s="2290"/>
      <c r="C1" s="2290"/>
      <c r="D1" s="2290"/>
      <c r="E1" s="2290"/>
      <c r="F1" s="2290"/>
      <c r="G1" s="2290"/>
      <c r="H1" s="2290"/>
      <c r="I1" s="2290"/>
      <c r="J1" s="2291"/>
      <c r="K1" s="887"/>
    </row>
    <row r="2" spans="1:11" s="906" customFormat="1" ht="69.5">
      <c r="A2" s="904"/>
      <c r="B2" s="362" t="s">
        <v>1475</v>
      </c>
      <c r="C2" s="362" t="s">
        <v>1997</v>
      </c>
      <c r="D2" s="432" t="s">
        <v>1998</v>
      </c>
      <c r="E2" s="362" t="s">
        <v>1479</v>
      </c>
      <c r="F2" s="362" t="s">
        <v>1999</v>
      </c>
      <c r="G2" s="362" t="s">
        <v>2000</v>
      </c>
      <c r="H2" s="362" t="s">
        <v>1478</v>
      </c>
      <c r="I2" s="362" t="s">
        <v>2001</v>
      </c>
      <c r="J2" s="1061" t="s">
        <v>2002</v>
      </c>
      <c r="K2" s="905"/>
    </row>
    <row r="3" spans="1:11" s="383" customFormat="1" ht="12.1">
      <c r="A3" s="365" t="s">
        <v>380</v>
      </c>
      <c r="B3" s="892"/>
      <c r="C3" s="892"/>
      <c r="D3" s="892"/>
      <c r="E3" s="892"/>
      <c r="F3" s="892"/>
      <c r="G3" s="892"/>
      <c r="H3" s="892"/>
      <c r="I3" s="892"/>
      <c r="J3" s="892"/>
      <c r="K3" s="888"/>
    </row>
    <row r="4" spans="1:11" s="383" customFormat="1" ht="13.6">
      <c r="A4" s="464" t="s">
        <v>74</v>
      </c>
      <c r="B4" s="893">
        <f>'Sources and Uses Budget'!C4</f>
        <v>492000</v>
      </c>
      <c r="C4" s="894"/>
      <c r="D4" s="894"/>
      <c r="E4" s="895"/>
      <c r="F4" s="895"/>
      <c r="G4" s="895"/>
      <c r="H4" s="895"/>
      <c r="I4" s="895"/>
      <c r="J4" s="895"/>
      <c r="K4" s="888"/>
    </row>
    <row r="5" spans="1:11" s="383" customFormat="1" ht="13.6">
      <c r="A5" s="464" t="s">
        <v>75</v>
      </c>
      <c r="B5" s="893">
        <f>'Sources and Uses Budget'!C5</f>
        <v>0</v>
      </c>
      <c r="C5" s="894"/>
      <c r="D5" s="894"/>
      <c r="E5" s="895"/>
      <c r="F5" s="895"/>
      <c r="G5" s="895"/>
      <c r="H5" s="895"/>
      <c r="I5" s="895"/>
      <c r="J5" s="895"/>
      <c r="K5" s="888"/>
    </row>
    <row r="6" spans="1:11" s="383" customFormat="1">
      <c r="A6" s="369" t="s">
        <v>381</v>
      </c>
      <c r="B6" s="893">
        <f>'Sources and Uses Budget'!C6</f>
        <v>5000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6">
      <c r="A8" s="465" t="s">
        <v>765</v>
      </c>
      <c r="B8" s="893">
        <f>'Sources and Uses Budget'!C8</f>
        <v>497000</v>
      </c>
      <c r="C8" s="893">
        <f>SUM(C4:C7)</f>
        <v>0</v>
      </c>
      <c r="D8" s="893">
        <f>SUM(D4:D7)</f>
        <v>0</v>
      </c>
      <c r="E8" s="895"/>
      <c r="F8" s="895"/>
      <c r="G8" s="895"/>
      <c r="H8" s="895"/>
      <c r="I8" s="895"/>
      <c r="J8" s="895"/>
      <c r="K8" s="888"/>
    </row>
    <row r="9" spans="1:11" s="383" customFormat="1">
      <c r="A9" s="369" t="s">
        <v>1884</v>
      </c>
      <c r="B9" s="893">
        <f>'Sources and Uses Budget'!C9</f>
        <v>0</v>
      </c>
      <c r="C9" s="894"/>
      <c r="D9" s="894"/>
      <c r="E9" s="895"/>
      <c r="F9" s="895"/>
      <c r="G9" s="895"/>
      <c r="H9" s="893">
        <f>'Sources and Uses Budget'!T9</f>
        <v>0</v>
      </c>
      <c r="I9" s="894"/>
      <c r="J9" s="894"/>
      <c r="K9" s="888"/>
    </row>
    <row r="10" spans="1:11" s="383" customFormat="1" ht="13.6">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497000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3.2">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2.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2.1">
      <c r="A27" s="365" t="s">
        <v>1001</v>
      </c>
      <c r="B27" s="892"/>
      <c r="C27" s="892"/>
      <c r="D27" s="892"/>
      <c r="E27" s="892"/>
      <c r="F27" s="892"/>
      <c r="G27" s="892"/>
      <c r="H27" s="892"/>
      <c r="I27" s="892"/>
      <c r="J27" s="892"/>
      <c r="K27" s="888"/>
    </row>
    <row r="28" spans="1:11" s="383" customFormat="1">
      <c r="A28" s="369" t="s">
        <v>993</v>
      </c>
      <c r="B28" s="893">
        <f>'Sources and Uses Budget'!C29</f>
        <v>1680000</v>
      </c>
      <c r="C28" s="894"/>
      <c r="D28" s="894"/>
      <c r="E28" s="893">
        <f>'Sources and Uses Budget'!S29</f>
        <v>1680000</v>
      </c>
      <c r="F28" s="894"/>
      <c r="G28" s="894"/>
      <c r="H28" s="893">
        <f>'Sources and Uses Budget'!T29</f>
        <v>0</v>
      </c>
      <c r="I28" s="894"/>
      <c r="J28" s="894"/>
      <c r="K28" s="888"/>
    </row>
    <row r="29" spans="1:11" s="383" customFormat="1">
      <c r="A29" s="369" t="s">
        <v>994</v>
      </c>
      <c r="B29" s="893">
        <f>'Sources and Uses Budget'!C30</f>
        <v>13360200</v>
      </c>
      <c r="C29" s="894"/>
      <c r="D29" s="894"/>
      <c r="E29" s="893">
        <f>'Sources and Uses Budget'!S30</f>
        <v>13360200</v>
      </c>
      <c r="F29" s="894"/>
      <c r="G29" s="894"/>
      <c r="H29" s="893">
        <f>'Sources and Uses Budget'!T30</f>
        <v>0</v>
      </c>
      <c r="I29" s="894"/>
      <c r="J29" s="894"/>
      <c r="K29" s="888"/>
    </row>
    <row r="30" spans="1:11" s="383" customFormat="1">
      <c r="A30" s="369" t="s">
        <v>995</v>
      </c>
      <c r="B30" s="893">
        <f>'Sources and Uses Budget'!C31</f>
        <v>902412</v>
      </c>
      <c r="C30" s="894"/>
      <c r="D30" s="894"/>
      <c r="E30" s="893">
        <f>'Sources and Uses Budget'!S31</f>
        <v>902412</v>
      </c>
      <c r="F30" s="894"/>
      <c r="G30" s="894"/>
      <c r="H30" s="893">
        <f>'Sources and Uses Budget'!T31</f>
        <v>0</v>
      </c>
      <c r="I30" s="894"/>
      <c r="J30" s="894"/>
      <c r="K30" s="888"/>
    </row>
    <row r="31" spans="1:11" s="383" customFormat="1">
      <c r="A31" s="369" t="s">
        <v>996</v>
      </c>
      <c r="B31" s="893">
        <f>'Sources and Uses Budget'!C32</f>
        <v>300804</v>
      </c>
      <c r="C31" s="894"/>
      <c r="D31" s="894"/>
      <c r="E31" s="893">
        <f>'Sources and Uses Budget'!S32</f>
        <v>300804</v>
      </c>
      <c r="F31" s="894"/>
      <c r="G31" s="894"/>
      <c r="H31" s="893">
        <f>'Sources and Uses Budget'!T32</f>
        <v>0</v>
      </c>
      <c r="I31" s="894"/>
      <c r="J31" s="894"/>
      <c r="K31" s="888"/>
    </row>
    <row r="32" spans="1:11" s="383" customFormat="1">
      <c r="A32" s="369" t="s">
        <v>997</v>
      </c>
      <c r="B32" s="893">
        <f>'Sources and Uses Budget'!C33</f>
        <v>902412</v>
      </c>
      <c r="C32" s="894"/>
      <c r="D32" s="894"/>
      <c r="E32" s="893">
        <f>'Sources and Uses Budget'!S33</f>
        <v>902412</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140000</v>
      </c>
      <c r="C34" s="894"/>
      <c r="D34" s="894"/>
      <c r="E34" s="893">
        <f>'Sources and Uses Budget'!S35</f>
        <v>140000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17285828</v>
      </c>
      <c r="C37" s="893">
        <f>SUM(C28:C36)</f>
        <v>0</v>
      </c>
      <c r="D37" s="893">
        <f>SUM(D28:D36)</f>
        <v>0</v>
      </c>
      <c r="E37" s="893">
        <f>'Sources and Uses Budget'!S38</f>
        <v>17285828</v>
      </c>
      <c r="F37" s="896">
        <f>SUM(F28:F36)</f>
        <v>0</v>
      </c>
      <c r="G37" s="896">
        <f>SUM(G28:G36)</f>
        <v>0</v>
      </c>
      <c r="H37" s="893">
        <f>'Sources and Uses Budget'!T38</f>
        <v>0</v>
      </c>
      <c r="I37" s="896">
        <f>SUM(I28:I36)</f>
        <v>0</v>
      </c>
      <c r="J37" s="896">
        <f>SUM(J28:J36)</f>
        <v>0</v>
      </c>
      <c r="K37" s="888"/>
    </row>
    <row r="38" spans="1:11" s="383" customFormat="1" ht="12.1">
      <c r="A38" s="365" t="s">
        <v>1003</v>
      </c>
      <c r="B38" s="892"/>
      <c r="C38" s="892"/>
      <c r="D38" s="892"/>
      <c r="E38" s="892"/>
      <c r="F38" s="892"/>
      <c r="G38" s="892"/>
      <c r="H38" s="892"/>
      <c r="I38" s="892"/>
      <c r="J38" s="892"/>
      <c r="K38" s="888"/>
    </row>
    <row r="39" spans="1:11" s="383" customFormat="1">
      <c r="A39" s="369" t="s">
        <v>1004</v>
      </c>
      <c r="B39" s="893">
        <f>'Sources and Uses Budget'!C40</f>
        <v>350000</v>
      </c>
      <c r="C39" s="894"/>
      <c r="D39" s="894"/>
      <c r="E39" s="893">
        <f>'Sources and Uses Budget'!S40</f>
        <v>350000</v>
      </c>
      <c r="F39" s="894"/>
      <c r="G39" s="894"/>
      <c r="H39" s="893">
        <f>'Sources and Uses Budget'!T40</f>
        <v>0</v>
      </c>
      <c r="I39" s="894"/>
      <c r="J39" s="894"/>
      <c r="K39" s="888"/>
    </row>
    <row r="40" spans="1:11" s="383" customFormat="1">
      <c r="A40" s="369" t="s">
        <v>1005</v>
      </c>
      <c r="B40" s="893">
        <f>'Sources and Uses Budget'!C41</f>
        <v>50000</v>
      </c>
      <c r="C40" s="894"/>
      <c r="D40" s="894"/>
      <c r="E40" s="893">
        <f>'Sources and Uses Budget'!S41</f>
        <v>50000</v>
      </c>
      <c r="F40" s="894"/>
      <c r="G40" s="894"/>
      <c r="H40" s="893">
        <f>'Sources and Uses Budget'!T41</f>
        <v>0</v>
      </c>
      <c r="I40" s="894"/>
      <c r="J40" s="894"/>
      <c r="K40" s="888"/>
    </row>
    <row r="41" spans="1:11" s="383" customFormat="1">
      <c r="A41" s="373" t="s">
        <v>1006</v>
      </c>
      <c r="B41" s="893">
        <f>'Sources and Uses Budget'!C42</f>
        <v>400000</v>
      </c>
      <c r="C41" s="893">
        <f>SUM(C38:C40)</f>
        <v>0</v>
      </c>
      <c r="D41" s="893">
        <f>SUM(D38:D40)</f>
        <v>0</v>
      </c>
      <c r="E41" s="893">
        <f>'Sources and Uses Budget'!S42</f>
        <v>400000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195000</v>
      </c>
      <c r="C42" s="894"/>
      <c r="D42" s="894"/>
      <c r="E42" s="893">
        <f>'Sources and Uses Budget'!S43</f>
        <v>195000</v>
      </c>
      <c r="F42" s="894"/>
      <c r="G42" s="894"/>
      <c r="H42" s="893">
        <f>'Sources and Uses Budget'!T43</f>
        <v>0</v>
      </c>
      <c r="I42" s="894"/>
      <c r="J42" s="894"/>
      <c r="K42" s="888"/>
    </row>
    <row r="43" spans="1:11" s="383" customFormat="1" ht="12.1">
      <c r="A43" s="365" t="s">
        <v>1008</v>
      </c>
      <c r="B43" s="892"/>
      <c r="C43" s="892"/>
      <c r="D43" s="892"/>
      <c r="E43" s="892"/>
      <c r="F43" s="892"/>
      <c r="G43" s="892"/>
      <c r="H43" s="892"/>
      <c r="I43" s="892"/>
      <c r="J43" s="892"/>
      <c r="K43" s="888"/>
    </row>
    <row r="44" spans="1:11" s="383" customFormat="1">
      <c r="A44" s="369" t="s">
        <v>1009</v>
      </c>
      <c r="B44" s="893">
        <f>'Sources and Uses Budget'!C45</f>
        <v>245000</v>
      </c>
      <c r="C44" s="894"/>
      <c r="D44" s="894"/>
      <c r="E44" s="893">
        <f>'Sources and Uses Budget'!S45</f>
        <v>245000</v>
      </c>
      <c r="F44" s="894"/>
      <c r="G44" s="894"/>
      <c r="H44" s="893">
        <f>'Sources and Uses Budget'!T45</f>
        <v>0</v>
      </c>
      <c r="I44" s="894"/>
      <c r="J44" s="894"/>
      <c r="K44" s="888"/>
    </row>
    <row r="45" spans="1:11" s="383" customFormat="1">
      <c r="A45" s="369" t="s">
        <v>1010</v>
      </c>
      <c r="B45" s="893">
        <f>'Sources and Uses Budget'!C46</f>
        <v>122000</v>
      </c>
      <c r="C45" s="894"/>
      <c r="D45" s="894"/>
      <c r="E45" s="893">
        <f>'Sources and Uses Budget'!S46</f>
        <v>122000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50000</v>
      </c>
      <c r="C48" s="894"/>
      <c r="D48" s="894"/>
      <c r="E48" s="893">
        <f>'Sources and Uses Budget'!S49</f>
        <v>50000</v>
      </c>
      <c r="F48" s="894"/>
      <c r="G48" s="894"/>
      <c r="H48" s="893">
        <f>'Sources and Uses Budget'!T49</f>
        <v>0</v>
      </c>
      <c r="I48" s="894"/>
      <c r="J48" s="894"/>
      <c r="K48" s="888"/>
    </row>
    <row r="49" spans="1:11" s="383" customFormat="1">
      <c r="A49" s="369" t="s">
        <v>1013</v>
      </c>
      <c r="B49" s="893">
        <f>'Sources and Uses Budget'!C50</f>
        <v>10000</v>
      </c>
      <c r="C49" s="894"/>
      <c r="D49" s="894"/>
      <c r="E49" s="893">
        <f>'Sources and Uses Budget'!S50</f>
        <v>10000</v>
      </c>
      <c r="F49" s="894"/>
      <c r="G49" s="894"/>
      <c r="H49" s="893">
        <f>'Sources and Uses Budget'!T50</f>
        <v>0</v>
      </c>
      <c r="I49" s="894"/>
      <c r="J49" s="894"/>
      <c r="K49" s="888"/>
    </row>
    <row r="50" spans="1:11" s="383" customFormat="1">
      <c r="A50" s="369" t="s">
        <v>1014</v>
      </c>
      <c r="B50" s="893">
        <f>'Sources and Uses Budget'!C51</f>
        <v>130100</v>
      </c>
      <c r="C50" s="894"/>
      <c r="D50" s="894"/>
      <c r="E50" s="893">
        <f>'Sources and Uses Budget'!S51</f>
        <v>130100</v>
      </c>
      <c r="F50" s="894"/>
      <c r="G50" s="894"/>
      <c r="H50" s="893">
        <f>'Sources and Uses Budget'!T51</f>
        <v>0</v>
      </c>
      <c r="I50" s="894"/>
      <c r="J50" s="894"/>
      <c r="K50" s="888"/>
    </row>
    <row r="51" spans="1:11" s="383" customFormat="1">
      <c r="A51" s="700" t="str">
        <f>'Sources and Uses Budget'!$A52</f>
        <v>Construction Lender Costs (Legal, Etc.)</v>
      </c>
      <c r="B51" s="893">
        <f>'Sources and Uses Budget'!C52</f>
        <v>80000</v>
      </c>
      <c r="C51" s="894"/>
      <c r="D51" s="894"/>
      <c r="E51" s="893">
        <f>'Sources and Uses Budget'!S52</f>
        <v>80000</v>
      </c>
      <c r="F51" s="894"/>
      <c r="G51" s="894"/>
      <c r="H51" s="893">
        <f>'Sources and Uses Budget'!T52</f>
        <v>0</v>
      </c>
      <c r="I51" s="894"/>
      <c r="J51" s="894"/>
      <c r="K51" s="888"/>
    </row>
    <row r="52" spans="1:11" s="885" customFormat="1">
      <c r="A52" s="373" t="s">
        <v>1016</v>
      </c>
      <c r="B52" s="893">
        <f>'Sources and Uses Budget'!C53</f>
        <v>637100</v>
      </c>
      <c r="C52" s="896">
        <f>SUM(C44:C51)</f>
        <v>0</v>
      </c>
      <c r="D52" s="896">
        <f>SUM(D44:D51)</f>
        <v>0</v>
      </c>
      <c r="E52" s="893">
        <f>'Sources and Uses Budget'!S53</f>
        <v>637100</v>
      </c>
      <c r="F52" s="896">
        <f>SUM(F44:F51)</f>
        <v>0</v>
      </c>
      <c r="G52" s="896">
        <f>SUM(G44:G51)</f>
        <v>0</v>
      </c>
      <c r="H52" s="893">
        <f>'Sources and Uses Budget'!T53</f>
        <v>0</v>
      </c>
      <c r="I52" s="896">
        <f>SUM(I44:I51)</f>
        <v>0</v>
      </c>
      <c r="J52" s="896">
        <f>SUM(J44:J51)</f>
        <v>0</v>
      </c>
      <c r="K52" s="889"/>
    </row>
    <row r="53" spans="1:11" s="383" customFormat="1" ht="12.1">
      <c r="A53" s="365" t="s">
        <v>744</v>
      </c>
      <c r="B53" s="892"/>
      <c r="C53" s="892"/>
      <c r="D53" s="892"/>
      <c r="E53" s="892"/>
      <c r="F53" s="892"/>
      <c r="G53" s="892"/>
      <c r="H53" s="892"/>
      <c r="I53" s="892"/>
      <c r="J53" s="892"/>
      <c r="K53" s="888"/>
    </row>
    <row r="54" spans="1:11" s="383" customFormat="1">
      <c r="A54" s="369" t="s">
        <v>1017</v>
      </c>
      <c r="B54" s="893">
        <f>'Sources and Uses Budget'!C55</f>
        <v>17500</v>
      </c>
      <c r="C54" s="894"/>
      <c r="D54" s="894"/>
      <c r="E54" s="895"/>
      <c r="F54" s="895"/>
      <c r="G54" s="895"/>
      <c r="H54" s="895"/>
      <c r="I54" s="895"/>
      <c r="J54" s="895"/>
      <c r="K54" s="888"/>
    </row>
    <row r="55" spans="1:11" s="383" customFormat="1" ht="12" customHeight="1">
      <c r="A55" s="369" t="s">
        <v>1011</v>
      </c>
      <c r="B55" s="893">
        <f>'Sources and Uses Budget'!C56</f>
        <v>15000</v>
      </c>
      <c r="C55" s="894"/>
      <c r="D55" s="894"/>
      <c r="E55" s="895"/>
      <c r="F55" s="895"/>
      <c r="G55" s="895"/>
      <c r="H55" s="895"/>
      <c r="I55" s="895"/>
      <c r="J55" s="895"/>
      <c r="K55" s="888"/>
    </row>
    <row r="56" spans="1:11" s="383" customFormat="1">
      <c r="A56" s="369" t="s">
        <v>1015</v>
      </c>
      <c r="B56" s="893">
        <f>'Sources and Uses Budget'!C57</f>
        <v>10000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85" customHeight="1">
      <c r="A60" s="373" t="s">
        <v>545</v>
      </c>
      <c r="B60" s="893">
        <f>'Sources and Uses Budget'!C61</f>
        <v>42500</v>
      </c>
      <c r="C60" s="893">
        <f>SUM(C54:C59)</f>
        <v>0</v>
      </c>
      <c r="D60" s="893">
        <f>SUM(D54:D59)</f>
        <v>0</v>
      </c>
      <c r="E60" s="895"/>
      <c r="F60" s="895"/>
      <c r="G60" s="895"/>
      <c r="H60" s="895"/>
      <c r="I60" s="895"/>
      <c r="J60" s="895"/>
      <c r="K60" s="888"/>
    </row>
    <row r="61" spans="1:11" s="383" customFormat="1">
      <c r="A61" s="379" t="s">
        <v>546</v>
      </c>
      <c r="B61" s="893">
        <f>'Sources and Uses Budget'!C62</f>
        <v>19057428</v>
      </c>
      <c r="C61" s="893">
        <f>SUM(C8+C11+C13+C14+C15+C25+C26+C37+C41+C42+C52+C60)</f>
        <v>0</v>
      </c>
      <c r="D61" s="893">
        <f>SUM(D8+D11+D13+D14+D15+D25+D26+D37+D41+D42+D52+D60)</f>
        <v>0</v>
      </c>
      <c r="E61" s="893">
        <f>'Sources and Uses Budget'!S62</f>
        <v>18517928</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2">
      <c r="A62" s="365" t="s">
        <v>2165</v>
      </c>
      <c r="B62" s="892"/>
      <c r="C62" s="892"/>
      <c r="D62" s="892"/>
      <c r="E62" s="892"/>
      <c r="F62" s="892"/>
      <c r="G62" s="892"/>
      <c r="H62" s="892"/>
      <c r="I62" s="892"/>
      <c r="J62" s="892"/>
      <c r="K62" s="888"/>
    </row>
    <row r="63" spans="1:11" s="383" customFormat="1">
      <c r="A63" s="369" t="s">
        <v>311</v>
      </c>
      <c r="B63" s="893">
        <f>'Sources and Uses Budget'!C64</f>
        <v>50000</v>
      </c>
      <c r="C63" s="894"/>
      <c r="D63" s="894"/>
      <c r="E63" s="893">
        <f>'Sources and Uses Budget'!S64</f>
        <v>50000</v>
      </c>
      <c r="F63" s="894"/>
      <c r="G63" s="894"/>
      <c r="H63" s="893">
        <f>'Sources and Uses Budget'!T64</f>
        <v>0</v>
      </c>
      <c r="I63" s="894"/>
      <c r="J63" s="894"/>
      <c r="K63" s="888"/>
    </row>
    <row r="64" spans="1:11" s="1335" customFormat="1" ht="23.2">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3.2">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2169</v>
      </c>
      <c r="B68" s="893">
        <f>'Sources and Uses Budget'!C69</f>
        <v>50000</v>
      </c>
      <c r="C68" s="893">
        <f>SUM(C62:C67)</f>
        <v>0</v>
      </c>
      <c r="D68" s="893">
        <f>SUM(D62:D67)</f>
        <v>0</v>
      </c>
      <c r="E68" s="893">
        <f>'Sources and Uses Budget'!S69</f>
        <v>50000</v>
      </c>
      <c r="F68" s="896">
        <f>SUM(F63:F67)</f>
        <v>0</v>
      </c>
      <c r="G68" s="896">
        <f>SUM(G63:G67)</f>
        <v>0</v>
      </c>
      <c r="H68" s="893">
        <f>'Sources and Uses Budget'!T69</f>
        <v>0</v>
      </c>
      <c r="I68" s="896">
        <f>SUM(I63:I67)</f>
        <v>0</v>
      </c>
      <c r="J68" s="896">
        <f>SUM(J63:J67)</f>
        <v>0</v>
      </c>
      <c r="K68" s="888"/>
    </row>
    <row r="69" spans="1:11" s="383" customFormat="1" ht="12.1">
      <c r="A69" s="365" t="s">
        <v>312</v>
      </c>
      <c r="B69" s="892"/>
      <c r="C69" s="892"/>
      <c r="D69" s="892"/>
      <c r="E69" s="892"/>
      <c r="F69" s="892"/>
      <c r="G69" s="892"/>
      <c r="H69" s="892"/>
      <c r="I69" s="892"/>
      <c r="J69" s="892"/>
      <c r="K69" s="888"/>
    </row>
    <row r="70" spans="1:11" s="383" customFormat="1">
      <c r="A70" s="369" t="s">
        <v>313</v>
      </c>
      <c r="B70" s="893">
        <f>'Sources and Uses Budget'!C71</f>
        <v>120000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1340</v>
      </c>
      <c r="B72" s="893">
        <f>'Sources and Uses Budget'!C73</f>
        <v>0</v>
      </c>
      <c r="C72" s="894"/>
      <c r="D72" s="894"/>
      <c r="E72" s="895"/>
      <c r="F72" s="895"/>
      <c r="G72" s="895"/>
      <c r="H72" s="895"/>
      <c r="I72" s="895"/>
      <c r="J72" s="895"/>
      <c r="K72" s="888"/>
    </row>
    <row r="73" spans="1:11" s="383" customFormat="1">
      <c r="A73" s="369" t="s">
        <v>315</v>
      </c>
      <c r="B73" s="893">
        <f>'Sources and Uses Budget'!C74</f>
        <v>93081</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213081</v>
      </c>
      <c r="C75" s="893">
        <f>SUM(C70:C74)</f>
        <v>0</v>
      </c>
      <c r="D75" s="893">
        <f>SUM(D70:D74)</f>
        <v>0</v>
      </c>
      <c r="E75" s="895"/>
      <c r="F75" s="895"/>
      <c r="G75" s="895"/>
      <c r="H75" s="895"/>
      <c r="I75" s="895"/>
      <c r="J75" s="895"/>
      <c r="K75" s="888"/>
    </row>
    <row r="76" spans="1:11" s="383" customFormat="1" ht="12.1">
      <c r="A76" s="365" t="s">
        <v>1908</v>
      </c>
      <c r="B76" s="892"/>
      <c r="C76" s="892"/>
      <c r="D76" s="892"/>
      <c r="E76" s="892"/>
      <c r="F76" s="892"/>
      <c r="G76" s="892"/>
      <c r="H76" s="892"/>
      <c r="I76" s="892"/>
      <c r="J76" s="892"/>
      <c r="K76" s="888"/>
    </row>
    <row r="77" spans="1:11" s="383" customFormat="1">
      <c r="A77" s="369" t="s">
        <v>1909</v>
      </c>
      <c r="B77" s="893">
        <f>'Sources and Uses Budget'!C78</f>
        <v>860000</v>
      </c>
      <c r="C77" s="894"/>
      <c r="D77" s="894"/>
      <c r="E77" s="893">
        <f>'Sources and Uses Budget'!S78</f>
        <v>860000</v>
      </c>
      <c r="F77" s="894"/>
      <c r="G77" s="894"/>
      <c r="H77" s="893">
        <f>'Sources and Uses Budget'!T78</f>
        <v>0</v>
      </c>
      <c r="I77" s="894"/>
      <c r="J77" s="894"/>
      <c r="K77" s="888"/>
    </row>
    <row r="78" spans="1:11" s="1066" customFormat="1">
      <c r="A78" s="369" t="s">
        <v>593</v>
      </c>
      <c r="B78" s="893">
        <f>'Sources and Uses Budget'!C79</f>
        <v>300000</v>
      </c>
      <c r="C78" s="894"/>
      <c r="D78" s="894"/>
      <c r="E78" s="893">
        <f>'Sources and Uses Budget'!S79</f>
        <v>300000</v>
      </c>
      <c r="F78" s="894"/>
      <c r="G78" s="894"/>
      <c r="H78" s="893">
        <f>'Sources and Uses Budget'!T79</f>
        <v>0</v>
      </c>
      <c r="I78" s="894"/>
      <c r="J78" s="894"/>
      <c r="K78" s="888"/>
    </row>
    <row r="79" spans="1:11" s="383" customFormat="1">
      <c r="A79" s="373" t="s">
        <v>1907</v>
      </c>
      <c r="B79" s="893">
        <f>'Sources and Uses Budget'!C80</f>
        <v>1160000</v>
      </c>
      <c r="C79" s="1075">
        <f>SUM(C77:C78)</f>
        <v>0</v>
      </c>
      <c r="D79" s="1075">
        <f>SUM(D77:D78)</f>
        <v>0</v>
      </c>
      <c r="E79" s="893">
        <f>'Sources and Uses Budget'!S80</f>
        <v>1160000</v>
      </c>
      <c r="F79" s="1075">
        <f>SUM(F77:F78)</f>
        <v>0</v>
      </c>
      <c r="G79" s="1075">
        <f>SUM(G77:G78)</f>
        <v>0</v>
      </c>
      <c r="H79" s="893">
        <f>'Sources and Uses Budget'!T80</f>
        <v>0</v>
      </c>
      <c r="I79" s="1075">
        <f>SUM(I77:I78)</f>
        <v>0</v>
      </c>
      <c r="J79" s="1075">
        <f>SUM(J77:J78)</f>
        <v>0</v>
      </c>
      <c r="K79" s="888"/>
    </row>
    <row r="80" spans="1:11" s="383" customFormat="1" ht="12.1">
      <c r="A80" s="365" t="s">
        <v>569</v>
      </c>
      <c r="B80" s="892"/>
      <c r="C80" s="892"/>
      <c r="D80" s="892"/>
      <c r="E80" s="892"/>
      <c r="F80" s="892"/>
      <c r="G80" s="892"/>
      <c r="H80" s="892"/>
      <c r="I80" s="892"/>
      <c r="J80" s="892"/>
      <c r="K80" s="888"/>
    </row>
    <row r="81" spans="1:11" s="383" customFormat="1" ht="13.85" customHeight="1">
      <c r="A81" s="369" t="s">
        <v>570</v>
      </c>
      <c r="B81" s="893">
        <f>'Sources and Uses Budget'!C82</f>
        <v>90980</v>
      </c>
      <c r="C81" s="894"/>
      <c r="D81" s="894"/>
      <c r="E81" s="895"/>
      <c r="F81" s="895"/>
      <c r="G81" s="895"/>
      <c r="H81" s="895"/>
      <c r="I81" s="895"/>
      <c r="J81" s="895"/>
      <c r="K81" s="888"/>
    </row>
    <row r="82" spans="1:11" s="383" customFormat="1">
      <c r="A82" s="369" t="s">
        <v>571</v>
      </c>
      <c r="B82" s="893">
        <f>'Sources and Uses Budget'!C83</f>
        <v>5000</v>
      </c>
      <c r="C82" s="894"/>
      <c r="D82" s="894"/>
      <c r="E82" s="893">
        <f>'Sources and Uses Budget'!S83</f>
        <v>5000</v>
      </c>
      <c r="F82" s="894"/>
      <c r="G82" s="894"/>
      <c r="H82" s="893">
        <f>'Sources and Uses Budget'!T83</f>
        <v>0</v>
      </c>
      <c r="I82" s="894"/>
      <c r="J82" s="894"/>
      <c r="K82" s="888"/>
    </row>
    <row r="83" spans="1:11" s="383" customFormat="1">
      <c r="A83" s="369" t="s">
        <v>572</v>
      </c>
      <c r="B83" s="893">
        <f>'Sources and Uses Budget'!C84</f>
        <v>1531006</v>
      </c>
      <c r="C83" s="894"/>
      <c r="D83" s="894"/>
      <c r="E83" s="893">
        <f>'Sources and Uses Budget'!S84</f>
        <v>1531006</v>
      </c>
      <c r="F83" s="894"/>
      <c r="G83" s="894"/>
      <c r="H83" s="893">
        <f>'Sources and Uses Budget'!T84</f>
        <v>0</v>
      </c>
      <c r="I83" s="894"/>
      <c r="J83" s="894"/>
      <c r="K83" s="888"/>
    </row>
    <row r="84" spans="1:11" s="383" customFormat="1">
      <c r="A84" s="369" t="s">
        <v>573</v>
      </c>
      <c r="B84" s="893">
        <f>'Sources and Uses Budget'!C85</f>
        <v>250000</v>
      </c>
      <c r="C84" s="894"/>
      <c r="D84" s="894"/>
      <c r="E84" s="893">
        <f>'Sources and Uses Budget'!S85</f>
        <v>250000</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61659</v>
      </c>
      <c r="C86" s="894"/>
      <c r="D86" s="894"/>
      <c r="E86" s="895"/>
      <c r="F86" s="895"/>
      <c r="G86" s="895"/>
      <c r="H86" s="895"/>
      <c r="I86" s="895"/>
      <c r="J86" s="895"/>
      <c r="K86" s="888"/>
    </row>
    <row r="87" spans="1:11" s="383" customFormat="1">
      <c r="A87" s="369" t="s">
        <v>576</v>
      </c>
      <c r="B87" s="893">
        <f>'Sources and Uses Budget'!C88</f>
        <v>40000</v>
      </c>
      <c r="C87" s="894"/>
      <c r="D87" s="894"/>
      <c r="E87" s="893">
        <f>'Sources and Uses Budget'!S88</f>
        <v>40000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1422</v>
      </c>
      <c r="B89" s="893">
        <f>'Sources and Uses Budget'!C90</f>
        <v>10000</v>
      </c>
      <c r="C89" s="894"/>
      <c r="D89" s="894"/>
      <c r="E89" s="893">
        <f>'Sources and Uses Budget'!S90</f>
        <v>10000</v>
      </c>
      <c r="F89" s="894"/>
      <c r="G89" s="894"/>
      <c r="H89" s="893">
        <f>'Sources and Uses Budget'!T90</f>
        <v>0</v>
      </c>
      <c r="I89" s="894"/>
      <c r="J89" s="894"/>
      <c r="K89" s="888"/>
    </row>
    <row r="90" spans="1:11" s="383" customFormat="1">
      <c r="A90" s="700" t="s">
        <v>1905</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2008645</v>
      </c>
      <c r="C94" s="893">
        <f>SUM(C81:C93)</f>
        <v>0</v>
      </c>
      <c r="D94" s="893">
        <f>SUM(D81:D93)</f>
        <v>0</v>
      </c>
      <c r="E94" s="893">
        <f>'Sources and Uses Budget'!S95</f>
        <v>1856006</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22489154</v>
      </c>
      <c r="C95" s="893">
        <f>SUM(C61+C68+C75+C79+C94)</f>
        <v>0</v>
      </c>
      <c r="D95" s="893">
        <f>SUM(D61+D68+D75+D79+D94)</f>
        <v>0</v>
      </c>
      <c r="E95" s="893">
        <f>'Sources and Uses Budget'!S96</f>
        <v>21583934</v>
      </c>
      <c r="F95" s="896">
        <f>SUM(+F61+F68+F79+F94)</f>
        <v>0</v>
      </c>
      <c r="G95" s="896">
        <f>SUM(+G61+G68+G79+G94)</f>
        <v>0</v>
      </c>
      <c r="H95" s="893">
        <f>'Sources and Uses Budget'!T96</f>
        <v>0</v>
      </c>
      <c r="I95" s="896">
        <f>SUM(I61+I68+I79+I94)</f>
        <v>0</v>
      </c>
      <c r="J95" s="896">
        <f>SUM(J61+J68+J79+J94)</f>
        <v>0</v>
      </c>
      <c r="K95" s="888"/>
    </row>
    <row r="96" spans="1:11" s="383" customFormat="1" ht="12.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24689154</v>
      </c>
      <c r="C103" s="896">
        <f>SUM(C95+C102)</f>
        <v>0</v>
      </c>
      <c r="D103" s="896">
        <f>SUM(D95+D102)</f>
        <v>0</v>
      </c>
      <c r="E103" s="893">
        <f>'Sources and Uses Budget'!S104</f>
        <v>23783934</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23783934</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zoomScale="115" zoomScaleNormal="115" zoomScaleSheetLayoutView="100" workbookViewId="0">
      <selection activeCell="B8" sqref="B8:AC8"/>
    </sheetView>
  </sheetViews>
  <sheetFormatPr defaultColWidth="0" defaultRowHeight="12.6"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64" t="s">
        <v>920</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71" t="s">
        <v>405</v>
      </c>
      <c r="AF4" s="2471"/>
      <c r="AG4" s="2471"/>
      <c r="AH4" s="2471"/>
      <c r="AI4" s="2471"/>
      <c r="AJ4" s="2471"/>
      <c r="AK4" s="2471"/>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0" t="s">
        <v>929</v>
      </c>
      <c r="AG6" s="2320"/>
      <c r="AH6" s="2320"/>
      <c r="AI6" s="2320"/>
      <c r="AJ6" s="2320"/>
      <c r="AK6" s="2320"/>
      <c r="AL6" s="2320"/>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8" t="s">
        <v>2366</v>
      </c>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298" t="s">
        <v>1344</v>
      </c>
      <c r="C11" s="2298"/>
      <c r="D11" s="2298"/>
      <c r="E11" s="2298"/>
      <c r="F11" s="2298"/>
      <c r="G11" s="2298"/>
      <c r="H11" s="2298"/>
      <c r="I11" s="2298"/>
      <c r="J11" s="2298"/>
      <c r="K11" s="2298"/>
      <c r="L11" s="2298"/>
      <c r="M11" s="2298"/>
      <c r="N11" s="2298"/>
      <c r="O11" s="2298"/>
      <c r="P11" s="2298"/>
      <c r="Q11" s="2298"/>
      <c r="R11" s="2298"/>
      <c r="S11" s="2298"/>
      <c r="T11" s="2298"/>
      <c r="U11" s="2298"/>
      <c r="V11" s="2298"/>
      <c r="W11" s="2298"/>
      <c r="X11" s="2298"/>
      <c r="Y11" s="2298"/>
      <c r="Z11" s="2298"/>
      <c r="AA11" s="2298"/>
      <c r="AB11" s="2298"/>
      <c r="AC11" s="2298"/>
      <c r="AD11" s="2298"/>
      <c r="AE11" s="2298"/>
      <c r="AF11" s="2298"/>
      <c r="AG11" s="2298"/>
      <c r="AH11" s="2298"/>
      <c r="AI11" s="2298"/>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74" t="s">
        <v>135</v>
      </c>
      <c r="AC13" s="247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298" t="s">
        <v>1209</v>
      </c>
      <c r="C16" s="2298"/>
      <c r="D16" s="2298"/>
      <c r="E16" s="2298"/>
      <c r="F16" s="2298"/>
      <c r="G16" s="2298"/>
      <c r="H16" s="2298"/>
      <c r="I16" s="2298"/>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8"/>
      <c r="AJ16" s="2298"/>
      <c r="AK16" s="757"/>
      <c r="AL16" s="757"/>
      <c r="AM16" s="757"/>
      <c r="AN16" s="1085"/>
      <c r="AO16" s="720" t="s">
        <v>1347</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8" t="s">
        <v>1787</v>
      </c>
      <c r="C20" s="2338"/>
      <c r="D20" s="2338"/>
      <c r="E20" s="2338"/>
      <c r="F20" s="2338"/>
      <c r="G20" s="2338"/>
      <c r="H20" s="2338"/>
      <c r="I20" s="2338"/>
      <c r="J20" s="2338"/>
      <c r="K20" s="2338"/>
      <c r="L20" s="2338"/>
      <c r="M20" s="2338"/>
      <c r="N20" s="2338"/>
      <c r="O20" s="2338"/>
      <c r="P20" s="2338"/>
      <c r="Q20" s="2338"/>
      <c r="R20" s="2338"/>
      <c r="S20" s="2338"/>
      <c r="T20" s="2338"/>
      <c r="U20" s="2338"/>
      <c r="V20" s="2338"/>
      <c r="W20" s="2338"/>
      <c r="X20" s="2338"/>
      <c r="Y20" s="2338"/>
      <c r="Z20" s="2338"/>
      <c r="AA20" s="2338"/>
      <c r="AB20" s="2338"/>
      <c r="AC20" s="2338"/>
      <c r="AD20" s="2338"/>
      <c r="AE20" s="2338"/>
      <c r="AF20" s="2338"/>
      <c r="AG20" s="2338"/>
      <c r="AH20" s="2338"/>
      <c r="AI20" s="2338"/>
      <c r="AJ20" s="2338"/>
      <c r="AK20" s="2338"/>
      <c r="AL20" s="1255"/>
      <c r="AM20" s="38"/>
      <c r="AN20" s="1085"/>
    </row>
    <row r="21" spans="1:42" s="8" customFormat="1" ht="12.75" customHeight="1">
      <c r="A21" s="38"/>
      <c r="B21" s="2338"/>
      <c r="C21" s="2338"/>
      <c r="D21" s="2338"/>
      <c r="E21" s="2338"/>
      <c r="F21" s="2338"/>
      <c r="G21" s="2338"/>
      <c r="H21" s="2338"/>
      <c r="I21" s="2338"/>
      <c r="J21" s="2338"/>
      <c r="K21" s="2338"/>
      <c r="L21" s="2338"/>
      <c r="M21" s="2338"/>
      <c r="N21" s="2338"/>
      <c r="O21" s="2338"/>
      <c r="P21" s="2338"/>
      <c r="Q21" s="2338"/>
      <c r="R21" s="2338"/>
      <c r="S21" s="2338"/>
      <c r="T21" s="2338"/>
      <c r="U21" s="2338"/>
      <c r="V21" s="2338"/>
      <c r="W21" s="2338"/>
      <c r="X21" s="2338"/>
      <c r="Y21" s="2338"/>
      <c r="Z21" s="2338"/>
      <c r="AA21" s="2338"/>
      <c r="AB21" s="2338"/>
      <c r="AC21" s="2338"/>
      <c r="AD21" s="2338"/>
      <c r="AE21" s="2338"/>
      <c r="AF21" s="2338"/>
      <c r="AG21" s="2338"/>
      <c r="AH21" s="2338"/>
      <c r="AI21" s="2338"/>
      <c r="AJ21" s="2338"/>
      <c r="AK21" s="2338"/>
      <c r="AL21" s="1255"/>
      <c r="AM21" s="38"/>
      <c r="AN21" s="1085"/>
      <c r="AP21" s="517"/>
    </row>
    <row r="22" spans="1:42" s="8" customFormat="1" ht="12.75" customHeight="1">
      <c r="A22" s="38"/>
      <c r="B22" s="2338"/>
      <c r="C22" s="2338"/>
      <c r="D22" s="2338"/>
      <c r="E22" s="2338"/>
      <c r="F22" s="2338"/>
      <c r="G22" s="2338"/>
      <c r="H22" s="2338"/>
      <c r="I22" s="2338"/>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8"/>
      <c r="AJ22" s="2338"/>
      <c r="AK22" s="2338"/>
      <c r="AL22" s="1255"/>
      <c r="AM22" s="38"/>
      <c r="AN22" s="1085"/>
    </row>
    <row r="23" spans="1:42" s="46" customFormat="1" ht="12.75" customHeight="1">
      <c r="A23" s="38"/>
      <c r="B23" s="2338"/>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2338"/>
      <c r="AD23" s="2338"/>
      <c r="AE23" s="2338"/>
      <c r="AF23" s="2338"/>
      <c r="AG23" s="2338"/>
      <c r="AH23" s="2338"/>
      <c r="AI23" s="2338"/>
      <c r="AJ23" s="2338"/>
      <c r="AK23" s="2338"/>
      <c r="AL23" s="1255"/>
      <c r="AM23" s="38"/>
      <c r="AN23" s="439"/>
    </row>
    <row r="24" spans="1:42" s="46" customFormat="1" ht="12.75" customHeight="1">
      <c r="A24" s="38"/>
      <c r="B24" s="2338"/>
      <c r="C24" s="2338"/>
      <c r="D24" s="2338"/>
      <c r="E24" s="2338"/>
      <c r="F24" s="2338"/>
      <c r="G24" s="2338"/>
      <c r="H24" s="2338"/>
      <c r="I24" s="2338"/>
      <c r="J24" s="2338"/>
      <c r="K24" s="2338"/>
      <c r="L24" s="2338"/>
      <c r="M24" s="2338"/>
      <c r="N24" s="2338"/>
      <c r="O24" s="2338"/>
      <c r="P24" s="2338"/>
      <c r="Q24" s="2338"/>
      <c r="R24" s="2338"/>
      <c r="S24" s="2338"/>
      <c r="T24" s="2338"/>
      <c r="U24" s="2338"/>
      <c r="V24" s="2338"/>
      <c r="W24" s="2338"/>
      <c r="X24" s="2338"/>
      <c r="Y24" s="2338"/>
      <c r="Z24" s="2338"/>
      <c r="AA24" s="2338"/>
      <c r="AB24" s="2338"/>
      <c r="AC24" s="2338"/>
      <c r="AD24" s="2338"/>
      <c r="AE24" s="2338"/>
      <c r="AF24" s="2338"/>
      <c r="AG24" s="2338"/>
      <c r="AH24" s="2338"/>
      <c r="AI24" s="2338"/>
      <c r="AJ24" s="2338"/>
      <c r="AK24" s="2338"/>
      <c r="AL24" s="1255"/>
      <c r="AM24" s="38"/>
      <c r="AN24" s="1088"/>
      <c r="AO24" s="155"/>
    </row>
    <row r="25" spans="1:42" s="46" customFormat="1" ht="12.75" customHeight="1">
      <c r="A25" s="38"/>
      <c r="B25" s="2338"/>
      <c r="C25" s="2338"/>
      <c r="D25" s="2338"/>
      <c r="E25" s="2338"/>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8"/>
      <c r="AK25" s="2338"/>
      <c r="AL25" s="1255"/>
      <c r="AM25" s="38"/>
      <c r="AN25" s="1088"/>
    </row>
    <row r="26" spans="1:42" s="137" customFormat="1" ht="12.75" customHeight="1">
      <c r="A26" s="38"/>
      <c r="B26" s="2338"/>
      <c r="C26" s="2338"/>
      <c r="D26" s="2338"/>
      <c r="E26" s="2338"/>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8"/>
      <c r="AK26" s="2338"/>
      <c r="AL26" s="1255"/>
      <c r="AM26" s="38"/>
      <c r="AN26" s="1089"/>
    </row>
    <row r="27" spans="1:42" s="46" customFormat="1" ht="12.75" customHeight="1">
      <c r="A27" s="38"/>
      <c r="B27" s="2338"/>
      <c r="C27" s="2338"/>
      <c r="D27" s="2338"/>
      <c r="E27" s="2338"/>
      <c r="F27" s="2338"/>
      <c r="G27" s="2338"/>
      <c r="H27" s="2338"/>
      <c r="I27" s="2338"/>
      <c r="J27" s="2338"/>
      <c r="K27" s="2338"/>
      <c r="L27" s="2338"/>
      <c r="M27" s="2338"/>
      <c r="N27" s="2338"/>
      <c r="O27" s="2338"/>
      <c r="P27" s="2338"/>
      <c r="Q27" s="2338"/>
      <c r="R27" s="2338"/>
      <c r="S27" s="2338"/>
      <c r="T27" s="2338"/>
      <c r="U27" s="2338"/>
      <c r="V27" s="2338"/>
      <c r="W27" s="2338"/>
      <c r="X27" s="2338"/>
      <c r="Y27" s="2338"/>
      <c r="Z27" s="2338"/>
      <c r="AA27" s="2338"/>
      <c r="AB27" s="2338"/>
      <c r="AC27" s="2338"/>
      <c r="AD27" s="2338"/>
      <c r="AE27" s="2338"/>
      <c r="AF27" s="2338"/>
      <c r="AG27" s="2338"/>
      <c r="AH27" s="2338"/>
      <c r="AI27" s="2338"/>
      <c r="AJ27" s="2338"/>
      <c r="AK27" s="2338"/>
      <c r="AL27" s="1255"/>
      <c r="AM27" s="38"/>
      <c r="AN27" s="1090"/>
    </row>
    <row r="28" spans="1:42" s="46" customFormat="1" ht="12.75" customHeight="1">
      <c r="A28" s="38"/>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8"/>
      <c r="AJ28" s="2338"/>
      <c r="AK28" s="2338"/>
      <c r="AL28" s="1255"/>
      <c r="AM28" s="38"/>
      <c r="AN28" s="1090"/>
    </row>
    <row r="29" spans="1:42" s="46" customFormat="1" ht="31.75" customHeight="1">
      <c r="A29" s="38"/>
      <c r="B29" s="2338"/>
      <c r="C29" s="2338"/>
      <c r="D29" s="2338"/>
      <c r="E29" s="2338"/>
      <c r="F29" s="2338"/>
      <c r="G29" s="2338"/>
      <c r="H29" s="2338"/>
      <c r="I29" s="2338"/>
      <c r="J29" s="2338"/>
      <c r="K29" s="2338"/>
      <c r="L29" s="2338"/>
      <c r="M29" s="2338"/>
      <c r="N29" s="2338"/>
      <c r="O29" s="2338"/>
      <c r="P29" s="2338"/>
      <c r="Q29" s="2338"/>
      <c r="R29" s="2338"/>
      <c r="S29" s="2338"/>
      <c r="T29" s="2338"/>
      <c r="U29" s="2338"/>
      <c r="V29" s="2338"/>
      <c r="W29" s="2338"/>
      <c r="X29" s="2338"/>
      <c r="Y29" s="2338"/>
      <c r="Z29" s="2338"/>
      <c r="AA29" s="2338"/>
      <c r="AB29" s="2338"/>
      <c r="AC29" s="2338"/>
      <c r="AD29" s="2338"/>
      <c r="AE29" s="2338"/>
      <c r="AF29" s="2338"/>
      <c r="AG29" s="2338"/>
      <c r="AH29" s="2338"/>
      <c r="AI29" s="2338"/>
      <c r="AJ29" s="2338"/>
      <c r="AK29" s="2338"/>
      <c r="AL29" s="1255"/>
      <c r="AM29" s="38"/>
      <c r="AN29" s="1090"/>
      <c r="AO29" s="724" t="s">
        <v>86</v>
      </c>
      <c r="AP29" s="578"/>
    </row>
    <row r="30" spans="1:42" s="46" customFormat="1" ht="12.75" customHeight="1">
      <c r="A30" s="8"/>
      <c r="B30" s="2339"/>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2">
        <f>IF((AND(AND(OR(Application!D211="Nonprofit (qualified nonprofit organization)",Application!D211="Nonprofit (homeless assistance)",Application!D211="Special Needs/SRO"),Application!D214="Special Needs"),$AB$13="N/A")),VLOOKUP($B$16,$AO$14:$AP$16,2,FALSE),VLOOKUP($B$11,$AO$9:$AP$11,2,FALSE))</f>
        <v>7</v>
      </c>
      <c r="AK31" s="2472"/>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0" t="s">
        <v>66</v>
      </c>
      <c r="AG33" s="2320"/>
      <c r="AH33" s="2320"/>
      <c r="AI33" s="2320"/>
      <c r="AJ33" s="2320"/>
      <c r="AK33" s="2320"/>
      <c r="AL33" s="2320"/>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8" t="s">
        <v>1348</v>
      </c>
      <c r="D35" s="2298"/>
      <c r="E35" s="2298"/>
      <c r="F35" s="2298"/>
      <c r="G35" s="2298"/>
      <c r="H35" s="2298"/>
      <c r="I35" s="2298"/>
      <c r="J35" s="2298"/>
      <c r="K35" s="2298"/>
      <c r="L35" s="2298"/>
      <c r="M35" s="2298"/>
      <c r="N35" s="2298"/>
      <c r="O35" s="2298"/>
      <c r="P35" s="2298"/>
      <c r="Q35" s="2298"/>
      <c r="R35" s="2298"/>
      <c r="S35" s="2298"/>
      <c r="T35" s="2298"/>
      <c r="U35" s="2298"/>
      <c r="V35" s="2298"/>
      <c r="W35" s="2298"/>
      <c r="X35" s="2298"/>
      <c r="Y35" s="2298"/>
      <c r="Z35" s="2298"/>
      <c r="AA35" s="2298"/>
      <c r="AB35" s="2298"/>
      <c r="AC35" s="2298"/>
      <c r="AD35" s="2298"/>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4" t="s">
        <v>135</v>
      </c>
      <c r="AD37" s="2474"/>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8" t="s">
        <v>1209</v>
      </c>
      <c r="D40" s="2298"/>
      <c r="E40" s="2298"/>
      <c r="F40" s="2298"/>
      <c r="G40" s="2298"/>
      <c r="H40" s="2298"/>
      <c r="I40" s="2298"/>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8" t="s">
        <v>2413</v>
      </c>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2298"/>
      <c r="Z45" s="2298"/>
      <c r="AA45" s="2298"/>
      <c r="AB45" s="2298"/>
      <c r="AC45" s="2298"/>
      <c r="AD45" s="2298"/>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2">
        <f>IF((AND(AND(OR(Application!D211="Nonprofit (qualified nonprofit organization)",Application!D211="Nonprofit (homeless assistance)",Application!D211="Special Needs/SRO"),Application!D214="Special Needs"),$AC$37="N/A")),VLOOKUP($C$40,$AO$35:$AP$37,2,FALSE),VLOOKUP($C$35,$AO$29:$AP$32,2,FALSE))</f>
        <v>3</v>
      </c>
      <c r="AK47" s="2382"/>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0" t="s">
        <v>1603</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252"/>
      <c r="AM49" s="163"/>
      <c r="AN49" s="439"/>
      <c r="AP49" s="46" t="s">
        <v>620</v>
      </c>
      <c r="AQ49" s="46">
        <v>10</v>
      </c>
    </row>
    <row r="50" spans="1:43" s="46" customFormat="1" ht="12.75"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252"/>
      <c r="AM50" s="163"/>
      <c r="AN50" s="439"/>
      <c r="AP50" s="46" t="s">
        <v>676</v>
      </c>
      <c r="AQ50" s="46">
        <v>10</v>
      </c>
    </row>
    <row r="51" spans="1:43" s="46" customFormat="1" ht="12.75"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252"/>
      <c r="AM51" s="163"/>
      <c r="AN51" s="439"/>
    </row>
    <row r="52" spans="1:43" s="137" customFormat="1" ht="12.75"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252"/>
      <c r="AM52" s="163"/>
      <c r="AN52" s="1089"/>
    </row>
    <row r="53" spans="1:43" s="46" customFormat="1" ht="12.75"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252"/>
      <c r="AM53" s="163"/>
      <c r="AN53" s="439"/>
    </row>
    <row r="54" spans="1:43" s="46" customFormat="1" ht="12.75"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252"/>
      <c r="AM54" s="163"/>
      <c r="AN54" s="439"/>
    </row>
    <row r="55" spans="1:43" s="46" customFormat="1" ht="33.4"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0" t="s">
        <v>1604</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252"/>
      <c r="AM57" s="163"/>
      <c r="AN57" s="439"/>
    </row>
    <row r="58" spans="1:43" s="46" customFormat="1" ht="12.75"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252"/>
      <c r="AM58" s="163"/>
      <c r="AN58" s="439"/>
    </row>
    <row r="59" spans="1:43" s="46" customFormat="1" ht="12.75"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252"/>
      <c r="AM59" s="163"/>
      <c r="AN59" s="439"/>
    </row>
    <row r="60" spans="1:43" s="46" customFormat="1" ht="17.649999999999999"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0" t="s">
        <v>1605</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252"/>
      <c r="AM62" s="163"/>
      <c r="AN62" s="439"/>
    </row>
    <row r="63" spans="1:43" s="46" customFormat="1" ht="12.75"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252"/>
      <c r="AM63" s="163"/>
      <c r="AN63" s="439"/>
    </row>
    <row r="64" spans="1:43" s="46" customFormat="1" ht="22.95" customHeight="1">
      <c r="A64" s="653"/>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0">
        <f>$AJ$31+$AJ$47</f>
        <v>10</v>
      </c>
      <c r="AL66" s="2341"/>
      <c r="AM66" s="234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3" t="s">
        <v>405</v>
      </c>
      <c r="AF69" s="2373"/>
      <c r="AG69" s="2373"/>
      <c r="AH69" s="2373"/>
      <c r="AI69" s="2373"/>
      <c r="AJ69" s="2373"/>
      <c r="AK69" s="237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8" t="s">
        <v>724</v>
      </c>
      <c r="C71" s="2298"/>
      <c r="D71" s="2298"/>
      <c r="E71" s="2298"/>
      <c r="F71" s="2298"/>
      <c r="G71" s="2298"/>
      <c r="H71" s="2298"/>
      <c r="I71" s="2298"/>
      <c r="J71" s="2298"/>
      <c r="K71" s="2298"/>
      <c r="P71" s="153"/>
      <c r="Q71" s="153"/>
      <c r="R71" s="153"/>
      <c r="S71" s="153"/>
      <c r="T71" s="153"/>
      <c r="U71" s="153"/>
      <c r="V71" s="153"/>
      <c r="W71" s="153"/>
      <c r="X71" s="153"/>
      <c r="AF71" s="2320" t="s">
        <v>1021</v>
      </c>
      <c r="AG71" s="2320"/>
      <c r="AH71" s="2320"/>
      <c r="AI71" s="2320"/>
      <c r="AJ71" s="2320"/>
      <c r="AK71" s="2320"/>
      <c r="AL71" s="2320"/>
      <c r="AN71" s="439"/>
      <c r="AP71" s="46" t="s">
        <v>135</v>
      </c>
    </row>
    <row r="72" spans="1:42" s="46" customFormat="1" ht="12.75" customHeight="1">
      <c r="B72" s="2473" t="s">
        <v>1426</v>
      </c>
      <c r="C72" s="2473"/>
      <c r="D72" s="2473"/>
      <c r="E72" s="2473"/>
      <c r="F72" s="2473"/>
      <c r="G72" s="2473"/>
      <c r="H72" s="2473"/>
      <c r="I72" s="2473"/>
      <c r="J72" s="2473"/>
      <c r="K72" s="2473"/>
      <c r="L72" s="2473"/>
      <c r="M72" s="2473"/>
      <c r="N72" s="2473"/>
      <c r="O72" s="2473"/>
      <c r="P72" s="2473"/>
      <c r="Q72" s="2473"/>
      <c r="R72" s="2473"/>
      <c r="S72" s="2473"/>
      <c r="T72" s="2298" t="s">
        <v>135</v>
      </c>
      <c r="U72" s="2298"/>
      <c r="V72" s="2298"/>
      <c r="W72" s="2298"/>
      <c r="X72" s="2298"/>
      <c r="Y72" s="2298"/>
      <c r="Z72" s="2298"/>
      <c r="AA72" s="2298"/>
      <c r="AB72" s="2298"/>
      <c r="AC72" s="2298"/>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17">
        <f>VLOOKUP($B$71,$AP$45:$AR$50,2,FALSE)</f>
        <v>10</v>
      </c>
      <c r="AL73" s="2318"/>
      <c r="AM73" s="2318"/>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1060</v>
      </c>
      <c r="AF78" s="2373"/>
      <c r="AG78" s="2373"/>
      <c r="AH78" s="2373"/>
      <c r="AI78" s="2373"/>
      <c r="AJ78" s="2373"/>
      <c r="AK78" s="237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0" t="s">
        <v>2012</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252"/>
      <c r="AM80" s="163"/>
      <c r="AN80" s="439"/>
    </row>
    <row r="81" spans="1:42" s="46" customFormat="1" ht="12.75"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252"/>
      <c r="AM81" s="163"/>
      <c r="AN81" s="439"/>
    </row>
    <row r="82" spans="1:42" s="46" customFormat="1" ht="12.75"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252"/>
      <c r="AM82" s="163"/>
      <c r="AN82" s="439"/>
    </row>
    <row r="83" spans="1:42" s="46" customFormat="1" ht="12.75"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252"/>
      <c r="AM83" s="163"/>
      <c r="AN83" s="439"/>
    </row>
    <row r="84" spans="1:42" s="46" customFormat="1" ht="12.75"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252"/>
      <c r="AM84" s="163"/>
      <c r="AN84" s="439"/>
    </row>
    <row r="85" spans="1:42" s="46" customFormat="1" ht="12.75"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252"/>
      <c r="AM85" s="163"/>
      <c r="AN85" s="439"/>
    </row>
    <row r="86" spans="1:42" ht="12.75"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252"/>
      <c r="AM86" s="163"/>
    </row>
    <row r="87" spans="1:42" s="46" customFormat="1" ht="12.75"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252"/>
      <c r="AM87" s="153"/>
      <c r="AN87" s="439"/>
    </row>
    <row r="88" spans="1:42" s="46" customFormat="1" ht="12.75"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252"/>
      <c r="AM88" s="153"/>
      <c r="AN88" s="439"/>
    </row>
    <row r="89" spans="1:42" s="46" customFormat="1" ht="14.5"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252"/>
      <c r="AM89" s="153"/>
      <c r="AN89" s="439"/>
    </row>
    <row r="90" spans="1:42" s="46" customFormat="1" ht="12.75"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0" t="s">
        <v>929</v>
      </c>
      <c r="AG95" s="2320"/>
      <c r="AH95" s="2320"/>
      <c r="AI95" s="2320"/>
      <c r="AJ95" s="2320"/>
      <c r="AK95" s="2320"/>
      <c r="AL95" s="2320"/>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0" t="s">
        <v>63</v>
      </c>
      <c r="AG100" s="2320"/>
      <c r="AH100" s="2320"/>
      <c r="AI100" s="2320"/>
      <c r="AJ100" s="2320"/>
      <c r="AK100" s="2320"/>
      <c r="AL100" s="2320"/>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0" t="s">
        <v>64</v>
      </c>
      <c r="AG105" s="2320"/>
      <c r="AH105" s="2320"/>
      <c r="AI105" s="2320"/>
      <c r="AJ105" s="2320"/>
      <c r="AK105" s="2320"/>
      <c r="AL105" s="2320"/>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0" t="s">
        <v>65</v>
      </c>
      <c r="AG110" s="2320"/>
      <c r="AH110" s="2320"/>
      <c r="AI110" s="2320"/>
      <c r="AJ110" s="2320"/>
      <c r="AK110" s="2320"/>
      <c r="AL110" s="2320"/>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0" t="s">
        <v>66</v>
      </c>
      <c r="AG114" s="2320"/>
      <c r="AH114" s="2320"/>
      <c r="AI114" s="2320"/>
      <c r="AJ114" s="2320"/>
      <c r="AK114" s="2320"/>
      <c r="AL114" s="2320"/>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9" t="s">
        <v>794</v>
      </c>
      <c r="I117" s="2329"/>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1606</v>
      </c>
      <c r="AP122" s="46">
        <v>3</v>
      </c>
    </row>
    <row r="123" spans="1:47" s="46" customFormat="1" ht="12.75" customHeight="1">
      <c r="A123" s="28"/>
      <c r="B123" s="161"/>
      <c r="C123" s="187"/>
      <c r="D123" s="28"/>
      <c r="E123" s="28" t="s">
        <v>162</v>
      </c>
      <c r="F123" s="190"/>
      <c r="G123" s="190"/>
      <c r="H123" s="2477" t="s">
        <v>135</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9" t="s">
        <v>135</v>
      </c>
      <c r="C125" s="1849"/>
      <c r="D125" s="436"/>
      <c r="E125" s="2330" t="s">
        <v>1937</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249"/>
      <c r="AN125" s="439"/>
    </row>
    <row r="126" spans="1:47" s="46" customFormat="1" ht="12.75"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249"/>
      <c r="AN126" s="439"/>
    </row>
    <row r="127" spans="1:47" s="46" customFormat="1" ht="12.75"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249"/>
      <c r="AN127" s="439"/>
    </row>
    <row r="128" spans="1:47" s="46" customFormat="1" ht="12.75" customHeight="1">
      <c r="A128" s="28"/>
      <c r="B128" s="161"/>
      <c r="C128" s="187"/>
      <c r="D128" s="461"/>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17">
        <f>VLOOKUP($H$117,$AO$101:$AP$106,2,FALSE)+VLOOKUP($H$123,$AO$121:$AP$123,2,FALSE)</f>
        <v>3</v>
      </c>
      <c r="AK129" s="231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5" t="s">
        <v>2017</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0" t="s">
        <v>66</v>
      </c>
      <c r="AG133" s="2320"/>
      <c r="AH133" s="2320"/>
      <c r="AI133" s="2320"/>
      <c r="AJ133" s="2320"/>
      <c r="AK133" s="2320"/>
      <c r="AL133" s="2320"/>
      <c r="AM133" s="153"/>
      <c r="AN133" s="459"/>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5"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8" t="s">
        <v>135</v>
      </c>
      <c r="T138" s="247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0" t="s">
        <v>114</v>
      </c>
      <c r="AG140" s="2320"/>
      <c r="AH140" s="2320"/>
      <c r="AI140" s="2320"/>
      <c r="AJ140" s="2320"/>
      <c r="AK140" s="2320"/>
      <c r="AL140" s="2320"/>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29" t="s">
        <v>637</v>
      </c>
      <c r="I142" s="2329"/>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17">
        <f>VLOOKUP($H$142,$AO$116:$AP$118,2,FALSE)</f>
        <v>3</v>
      </c>
      <c r="AK144" s="231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0" t="s">
        <v>66</v>
      </c>
      <c r="AG148" s="2320"/>
      <c r="AH148" s="2320"/>
      <c r="AI148" s="2320"/>
      <c r="AJ148" s="2320"/>
      <c r="AK148" s="2320"/>
      <c r="AL148" s="2320"/>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0" t="s">
        <v>114</v>
      </c>
      <c r="AG151" s="2320"/>
      <c r="AH151" s="2320"/>
      <c r="AI151" s="2320"/>
      <c r="AJ151" s="2320"/>
      <c r="AK151" s="2320"/>
      <c r="AL151" s="2320"/>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9" t="s">
        <v>637</v>
      </c>
      <c r="I154" s="232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17">
        <f>VLOOKUP(H154,AT116:AU118,2,FALSE)</f>
        <v>3</v>
      </c>
      <c r="AK156" s="2319"/>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30" t="s">
        <v>809</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20" t="s">
        <v>64</v>
      </c>
      <c r="AG161" s="2320"/>
      <c r="AH161" s="2320"/>
      <c r="AI161" s="2320"/>
      <c r="AJ161" s="2320"/>
      <c r="AK161" s="2320"/>
      <c r="AL161" s="2320"/>
      <c r="AN161" s="439"/>
    </row>
    <row r="162" spans="1:42" s="46" customFormat="1" ht="12.75"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75"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0" t="s">
        <v>1876</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20" t="s">
        <v>65</v>
      </c>
      <c r="AG165" s="2320"/>
      <c r="AH165" s="2320"/>
      <c r="AI165" s="2320"/>
      <c r="AJ165" s="2320"/>
      <c r="AK165" s="2320"/>
      <c r="AL165" s="2320"/>
      <c r="AN165" s="439"/>
    </row>
    <row r="166" spans="1:42" s="46" customFormat="1" ht="12.75"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0" t="s">
        <v>1877</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20" t="s">
        <v>66</v>
      </c>
      <c r="AG169" s="2320"/>
      <c r="AH169" s="2320"/>
      <c r="AI169" s="2320"/>
      <c r="AJ169" s="2320"/>
      <c r="AK169" s="2320"/>
      <c r="AL169" s="2320"/>
      <c r="AN169" s="439"/>
    </row>
    <row r="170" spans="1:42" s="46" customFormat="1" ht="12.75"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20"/>
      <c r="AF170" s="2320"/>
      <c r="AG170" s="2320"/>
      <c r="AH170" s="2320"/>
      <c r="AI170" s="2320"/>
      <c r="AJ170" s="2320"/>
      <c r="AK170" s="2320"/>
      <c r="AL170" s="1253"/>
      <c r="AM170" s="153"/>
      <c r="AN170" s="439"/>
      <c r="AO170" s="46" t="s">
        <v>135</v>
      </c>
      <c r="AP170" s="730">
        <v>0</v>
      </c>
    </row>
    <row r="171" spans="1:42" s="46" customFormat="1" ht="12.75"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0" t="s">
        <v>1878</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20" t="s">
        <v>65</v>
      </c>
      <c r="AG173" s="2320"/>
      <c r="AH173" s="2320"/>
      <c r="AI173" s="2320"/>
      <c r="AJ173" s="2320"/>
      <c r="AK173" s="2320"/>
      <c r="AL173" s="2320"/>
      <c r="AN173" s="439"/>
    </row>
    <row r="174" spans="1:42" s="46" customFormat="1" ht="12.75"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253"/>
      <c r="AM174" s="203"/>
      <c r="AN174" s="439"/>
    </row>
    <row r="175" spans="1:42" s="46" customFormat="1" ht="12.75"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0" t="s">
        <v>1879</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20" t="s">
        <v>66</v>
      </c>
      <c r="AG177" s="2320"/>
      <c r="AH177" s="2320"/>
      <c r="AI177" s="2320"/>
      <c r="AJ177" s="2320"/>
      <c r="AK177" s="2320"/>
      <c r="AL177" s="2320"/>
      <c r="AM177" s="203"/>
      <c r="AN177" s="439"/>
    </row>
    <row r="178" spans="1:42" s="46" customFormat="1" ht="12.75"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75"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0" t="s">
        <v>1608</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20" t="s">
        <v>114</v>
      </c>
      <c r="AG181" s="2320"/>
      <c r="AH181" s="2320"/>
      <c r="AI181" s="2320"/>
      <c r="AJ181" s="2320"/>
      <c r="AK181" s="2320"/>
      <c r="AL181" s="2320"/>
      <c r="AM181" s="203"/>
      <c r="AN181" s="439"/>
    </row>
    <row r="182" spans="1:42" s="46" customFormat="1" ht="22.95"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0" t="s">
        <v>1609</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20" t="s">
        <v>353</v>
      </c>
      <c r="AG184" s="2320"/>
      <c r="AH184" s="2320"/>
      <c r="AI184" s="2320"/>
      <c r="AJ184" s="2320"/>
      <c r="AK184" s="2320"/>
      <c r="AL184" s="2320"/>
      <c r="AM184" s="203"/>
      <c r="AN184" s="439"/>
      <c r="AO184" s="144" t="s">
        <v>637</v>
      </c>
      <c r="AP184" s="46">
        <v>3</v>
      </c>
    </row>
    <row r="185" spans="1:42" s="46" customFormat="1" ht="22.95"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9" t="s">
        <v>637</v>
      </c>
      <c r="I187" s="232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17">
        <f>VLOOKUP($H$187,$AO$137:$AP$144,2,FALSE)</f>
        <v>5</v>
      </c>
      <c r="AK189" s="231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0" t="s">
        <v>2160</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20" t="s">
        <v>66</v>
      </c>
      <c r="AG193" s="2320"/>
      <c r="AH193" s="2320"/>
      <c r="AI193" s="2320"/>
      <c r="AJ193" s="2320"/>
      <c r="AK193" s="2320"/>
      <c r="AL193" s="2320"/>
      <c r="AM193" s="153"/>
      <c r="AN193" s="1089"/>
    </row>
    <row r="194" spans="1:42" s="137" customFormat="1" ht="12.75"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089"/>
      <c r="AO194" s="2549"/>
      <c r="AP194" s="2549"/>
    </row>
    <row r="195" spans="1:42" s="137" customFormat="1" ht="12.75"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30" t="s">
        <v>2161</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20" t="s">
        <v>114</v>
      </c>
      <c r="AG198" s="2320"/>
      <c r="AH198" s="2320"/>
      <c r="AI198" s="2320"/>
      <c r="AJ198" s="2320"/>
      <c r="AK198" s="2320"/>
      <c r="AL198" s="2320"/>
      <c r="AM198" s="153"/>
      <c r="AN198" s="439"/>
      <c r="AO198" s="144" t="s">
        <v>213</v>
      </c>
      <c r="AP198" s="46">
        <v>1</v>
      </c>
    </row>
    <row r="199" spans="1:42" s="46" customFormat="1" ht="12.75"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75"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75"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2"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2" t="s">
        <v>2162</v>
      </c>
      <c r="F203" s="2292"/>
      <c r="G203" s="2292"/>
      <c r="H203" s="2292"/>
      <c r="I203" s="2292"/>
      <c r="J203" s="2292"/>
      <c r="K203" s="2292"/>
      <c r="L203" s="2292"/>
      <c r="M203" s="2292"/>
      <c r="N203" s="2292"/>
      <c r="O203" s="2292"/>
      <c r="P203" s="2292"/>
      <c r="Q203" s="2292"/>
      <c r="R203" s="2292"/>
      <c r="S203" s="2292"/>
      <c r="T203" s="2292"/>
      <c r="U203" s="2292"/>
      <c r="V203" s="2292"/>
      <c r="W203" s="2292"/>
      <c r="X203" s="2292"/>
      <c r="Y203" s="2292"/>
      <c r="Z203" s="2292"/>
      <c r="AA203" s="2292"/>
      <c r="AB203" s="229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2"/>
      <c r="F204" s="2292"/>
      <c r="G204" s="2292"/>
      <c r="H204" s="2292"/>
      <c r="I204" s="2292"/>
      <c r="J204" s="2292"/>
      <c r="K204" s="2292"/>
      <c r="L204" s="2292"/>
      <c r="M204" s="2292"/>
      <c r="N204" s="2292"/>
      <c r="O204" s="2292"/>
      <c r="P204" s="2292"/>
      <c r="Q204" s="2292"/>
      <c r="R204" s="2292"/>
      <c r="S204" s="2292"/>
      <c r="T204" s="2292"/>
      <c r="U204" s="2292"/>
      <c r="V204" s="2292"/>
      <c r="W204" s="2292"/>
      <c r="X204" s="2292"/>
      <c r="Y204" s="2292"/>
      <c r="Z204" s="2292"/>
      <c r="AA204" s="2292"/>
      <c r="AB204" s="229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2"/>
      <c r="F205" s="2292"/>
      <c r="G205" s="2292"/>
      <c r="H205" s="2292"/>
      <c r="I205" s="2292"/>
      <c r="J205" s="2292"/>
      <c r="K205" s="2292"/>
      <c r="L205" s="2292"/>
      <c r="M205" s="2292"/>
      <c r="N205" s="2292"/>
      <c r="O205" s="2292"/>
      <c r="P205" s="2292"/>
      <c r="Q205" s="2292"/>
      <c r="R205" s="2292"/>
      <c r="S205" s="2292"/>
      <c r="T205" s="2292"/>
      <c r="U205" s="2292"/>
      <c r="V205" s="2292"/>
      <c r="W205" s="2292"/>
      <c r="X205" s="2292"/>
      <c r="Y205" s="2292"/>
      <c r="Z205" s="2292"/>
      <c r="AA205" s="2292"/>
      <c r="AB205" s="229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9" t="s">
        <v>637</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7">
        <f>VLOOKUP($H$206,$AO$156:$AP$158,2,FALSE)</f>
        <v>3</v>
      </c>
      <c r="AK208" s="231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79" t="s">
        <v>1355</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0" t="s">
        <v>66</v>
      </c>
      <c r="AG212" s="2320"/>
      <c r="AH212" s="2320"/>
      <c r="AI212" s="2320"/>
      <c r="AJ212" s="2320"/>
      <c r="AK212" s="2320"/>
      <c r="AL212" s="2320"/>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85"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85" customHeight="1">
      <c r="A215" s="28"/>
      <c r="B215" s="74"/>
      <c r="C215" s="77"/>
      <c r="D215" s="144" t="s">
        <v>213</v>
      </c>
      <c r="E215" s="2337" t="s">
        <v>1356</v>
      </c>
      <c r="F215" s="2337"/>
      <c r="G215" s="2337"/>
      <c r="H215" s="2337"/>
      <c r="I215" s="2337"/>
      <c r="J215" s="2337"/>
      <c r="K215" s="2337"/>
      <c r="L215" s="2337"/>
      <c r="M215" s="2337"/>
      <c r="N215" s="2337"/>
      <c r="O215" s="2337"/>
      <c r="P215" s="2337"/>
      <c r="Q215" s="2337"/>
      <c r="R215" s="2337"/>
      <c r="S215" s="2337"/>
      <c r="T215" s="2337"/>
      <c r="U215" s="2337"/>
      <c r="V215" s="2337"/>
      <c r="W215" s="2337"/>
      <c r="X215" s="2337"/>
      <c r="Y215" s="2337"/>
      <c r="Z215" s="2337"/>
      <c r="AA215" s="2337"/>
      <c r="AB215" s="2337"/>
      <c r="AC215" s="46"/>
      <c r="AD215" s="46"/>
      <c r="AF215" s="2320" t="s">
        <v>114</v>
      </c>
      <c r="AG215" s="2320"/>
      <c r="AH215" s="2320"/>
      <c r="AI215" s="2320"/>
      <c r="AJ215" s="2320"/>
      <c r="AK215" s="2320"/>
      <c r="AL215" s="2320"/>
      <c r="AM215" s="153"/>
      <c r="AN215" s="1091"/>
      <c r="AP215" s="482" t="s">
        <v>386</v>
      </c>
    </row>
    <row r="216" spans="1:52" s="16" customFormat="1" ht="12.75" customHeight="1">
      <c r="A216" s="28"/>
      <c r="B216" s="161"/>
      <c r="C216" s="187"/>
      <c r="D216" s="28"/>
      <c r="E216" s="2337"/>
      <c r="F216" s="2337"/>
      <c r="G216" s="2337"/>
      <c r="H216" s="2337"/>
      <c r="I216" s="2337"/>
      <c r="J216" s="2337"/>
      <c r="K216" s="2337"/>
      <c r="L216" s="2337"/>
      <c r="M216" s="2337"/>
      <c r="N216" s="2337"/>
      <c r="O216" s="2337"/>
      <c r="P216" s="2337"/>
      <c r="Q216" s="2337"/>
      <c r="R216" s="2337"/>
      <c r="S216" s="2337"/>
      <c r="T216" s="2337"/>
      <c r="U216" s="2337"/>
      <c r="V216" s="2337"/>
      <c r="W216" s="2337"/>
      <c r="X216" s="2337"/>
      <c r="Y216" s="2337"/>
      <c r="Z216" s="2337"/>
      <c r="AA216" s="2337"/>
      <c r="AB216" s="2337"/>
      <c r="AC216" s="28"/>
      <c r="AD216" s="161"/>
      <c r="AE216" s="28"/>
      <c r="AF216" s="28"/>
      <c r="AG216" s="28"/>
      <c r="AH216" s="28"/>
      <c r="AI216" s="28"/>
      <c r="AJ216" s="46"/>
      <c r="AK216" s="153"/>
      <c r="AL216" s="153"/>
      <c r="AM216" s="153"/>
      <c r="AN216" s="317"/>
      <c r="AP216" s="46" t="s">
        <v>135</v>
      </c>
      <c r="AQ216" s="730">
        <v>0</v>
      </c>
    </row>
    <row r="217" spans="1:52" s="16" customFormat="1" ht="13.85" customHeight="1">
      <c r="A217" s="28"/>
      <c r="B217" s="161"/>
      <c r="C217" s="187"/>
      <c r="D217" s="28"/>
      <c r="E217" s="2337"/>
      <c r="F217" s="2337"/>
      <c r="G217" s="2337"/>
      <c r="H217" s="2337"/>
      <c r="I217" s="2337"/>
      <c r="J217" s="2337"/>
      <c r="K217" s="2337"/>
      <c r="L217" s="2337"/>
      <c r="M217" s="2337"/>
      <c r="N217" s="2337"/>
      <c r="O217" s="2337"/>
      <c r="P217" s="2337"/>
      <c r="Q217" s="2337"/>
      <c r="R217" s="2337"/>
      <c r="S217" s="2337"/>
      <c r="T217" s="2337"/>
      <c r="U217" s="2337"/>
      <c r="V217" s="2337"/>
      <c r="W217" s="2337"/>
      <c r="X217" s="2337"/>
      <c r="Y217" s="2337"/>
      <c r="Z217" s="2337"/>
      <c r="AA217" s="2337"/>
      <c r="AB217" s="2337"/>
      <c r="AC217" s="28"/>
      <c r="AD217" s="161"/>
      <c r="AE217" s="28"/>
      <c r="AF217" s="28"/>
      <c r="AG217" s="28"/>
      <c r="AH217" s="28"/>
      <c r="AI217" s="28"/>
      <c r="AJ217" s="46"/>
      <c r="AK217" s="153"/>
      <c r="AL217" s="153"/>
      <c r="AM217" s="153"/>
      <c r="AN217" s="317"/>
      <c r="AP217" s="144" t="s">
        <v>637</v>
      </c>
      <c r="AQ217" s="46">
        <v>2</v>
      </c>
    </row>
    <row r="218" spans="1:52" s="16" customFormat="1" ht="13.85" customHeight="1">
      <c r="A218" s="28"/>
      <c r="B218" s="161"/>
      <c r="C218" s="187"/>
      <c r="D218" s="28" t="s">
        <v>162</v>
      </c>
      <c r="E218" s="190"/>
      <c r="F218" s="190"/>
      <c r="G218" s="190"/>
      <c r="H218" s="2329" t="s">
        <v>135</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7">
        <f>VLOOKUP($H$218,$AO$156:$AP$158,2,FALSE)</f>
        <v>0</v>
      </c>
      <c r="AK220" s="2319"/>
      <c r="AL220" s="25"/>
      <c r="AM220" s="137"/>
      <c r="AN220" s="1092"/>
      <c r="AP220" s="2317"/>
      <c r="AQ220" s="231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
      <c r="A224" s="28"/>
      <c r="B224" s="46"/>
      <c r="C224" s="77"/>
      <c r="D224" s="144" t="s">
        <v>637</v>
      </c>
      <c r="E224" s="2330" t="s">
        <v>1626</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20" t="s">
        <v>66</v>
      </c>
      <c r="AG224" s="2320"/>
      <c r="AH224" s="2320"/>
      <c r="AI224" s="2320"/>
      <c r="AJ224" s="2320"/>
      <c r="AK224" s="2320"/>
      <c r="AL224" s="2320"/>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0" t="s">
        <v>960</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20" t="s">
        <v>114</v>
      </c>
      <c r="AG227" s="2320"/>
      <c r="AH227" s="2320"/>
      <c r="AI227" s="2320"/>
      <c r="AJ227" s="2320"/>
      <c r="AK227" s="2320"/>
      <c r="AL227" s="2320"/>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9" t="s">
        <v>135</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7">
        <f>VLOOKUP($H$230,$AO$170:$AP$172,2,FALSE)</f>
        <v>0</v>
      </c>
      <c r="AK232" s="231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
      <c r="A236" s="28"/>
      <c r="B236" s="46"/>
      <c r="C236" s="77"/>
      <c r="D236" s="144" t="s">
        <v>637</v>
      </c>
      <c r="E236" s="2330" t="s">
        <v>1214</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20" t="s">
        <v>66</v>
      </c>
      <c r="AG236" s="2320"/>
      <c r="AH236" s="2320"/>
      <c r="AI236" s="2320"/>
      <c r="AJ236" s="2320"/>
      <c r="AK236" s="2320"/>
      <c r="AL236" s="2320"/>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75"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
      <c r="A240" s="28"/>
      <c r="B240" s="74"/>
      <c r="C240" s="77"/>
      <c r="D240" s="144" t="s">
        <v>213</v>
      </c>
      <c r="E240" s="2330" t="s">
        <v>1215</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22"/>
      <c r="AC240" s="46"/>
      <c r="AD240" s="46"/>
      <c r="AF240" s="2320" t="s">
        <v>114</v>
      </c>
      <c r="AG240" s="2320"/>
      <c r="AH240" s="2320"/>
      <c r="AI240" s="2320"/>
      <c r="AJ240" s="2320"/>
      <c r="AK240" s="2320"/>
      <c r="AL240" s="2320"/>
      <c r="AM240" s="153"/>
      <c r="AN240" s="317"/>
      <c r="AO240" s="132"/>
      <c r="AP240" s="65"/>
    </row>
    <row r="241" spans="1:74" s="16" customFormat="1" ht="13.1">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22"/>
      <c r="AC241" s="179"/>
      <c r="AD241" s="179"/>
      <c r="AE241" s="179"/>
      <c r="AF241" s="179"/>
      <c r="AG241" s="179"/>
      <c r="AH241" s="179"/>
      <c r="AI241" s="179"/>
      <c r="AJ241" s="46"/>
      <c r="AK241" s="153"/>
      <c r="AL241" s="153"/>
      <c r="AM241" s="153"/>
      <c r="AN241" s="317"/>
      <c r="AO241" s="132"/>
      <c r="AP241" s="65"/>
    </row>
    <row r="242" spans="1:74" s="16" customFormat="1" ht="13.1">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22"/>
      <c r="AC242" s="179"/>
      <c r="AD242" s="179"/>
      <c r="AE242" s="179"/>
      <c r="AF242" s="179"/>
      <c r="AG242" s="179"/>
      <c r="AH242" s="179"/>
      <c r="AI242" s="179"/>
      <c r="AJ242" s="46"/>
      <c r="AK242" s="153"/>
      <c r="AL242" s="153"/>
      <c r="AM242" s="153"/>
      <c r="AN242" s="317"/>
      <c r="AO242" s="132"/>
      <c r="AP242" s="65"/>
    </row>
    <row r="243" spans="1:74" s="16" customFormat="1" ht="13.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9" t="s">
        <v>637</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7">
        <f>VLOOKUP($H$244,$AO$183:$AP$185,2,FALSE)</f>
        <v>3</v>
      </c>
      <c r="AK246" s="231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
      <c r="A250" s="28"/>
      <c r="B250" s="46"/>
      <c r="C250" s="77"/>
      <c r="D250" s="144" t="s">
        <v>637</v>
      </c>
      <c r="E250" s="2330" t="s">
        <v>352</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20" t="s">
        <v>114</v>
      </c>
      <c r="AG250" s="2320"/>
      <c r="AH250" s="2320"/>
      <c r="AI250" s="2320"/>
      <c r="AJ250" s="2320"/>
      <c r="AK250" s="2320"/>
      <c r="AL250" s="232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
      <c r="A253" s="57"/>
      <c r="B253" s="74"/>
      <c r="C253" s="77"/>
      <c r="D253" s="144" t="s">
        <v>213</v>
      </c>
      <c r="E253" s="2330" t="s">
        <v>1357</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20" t="s">
        <v>353</v>
      </c>
      <c r="AG253" s="2320"/>
      <c r="AH253" s="2320"/>
      <c r="AI253" s="2320"/>
      <c r="AJ253" s="2320"/>
      <c r="AK253" s="2320"/>
      <c r="AL253" s="232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9" t="s">
        <v>637</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7">
        <f>VLOOKUP($H$256,$AO$196:$AP$198,2,FALSE)</f>
        <v>2</v>
      </c>
      <c r="AK258" s="231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637</v>
      </c>
      <c r="E262" s="2330" t="s">
        <v>2158</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20" t="s">
        <v>114</v>
      </c>
      <c r="AG262" s="2320"/>
      <c r="AH262" s="2320"/>
      <c r="AI262" s="2320"/>
      <c r="AJ262" s="2320"/>
      <c r="AK262" s="2320"/>
      <c r="AL262" s="2320"/>
      <c r="AM262" s="175"/>
      <c r="AN262" s="317"/>
    </row>
    <row r="263" spans="1:74" s="16" customFormat="1" ht="13.1">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7" t="s">
        <v>2159</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0" t="s">
        <v>66</v>
      </c>
      <c r="AG266" s="2320"/>
      <c r="AH266" s="2320"/>
      <c r="AI266" s="2320"/>
      <c r="AJ266" s="2320"/>
      <c r="AK266" s="2320"/>
      <c r="AL266" s="2320"/>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253"/>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253"/>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9" t="s">
        <v>135</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7">
        <f>VLOOKUP($H$271,$AP$216:$AQ$218,2,FALSE)</f>
        <v>0</v>
      </c>
      <c r="AK273" s="2319"/>
      <c r="AL273" s="25"/>
      <c r="AM273" s="137"/>
      <c r="AN273" s="439"/>
    </row>
    <row r="274" spans="1:82" s="16" customFormat="1" ht="13.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637</v>
      </c>
      <c r="E277" s="2330" t="s">
        <v>2157</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20" t="s">
        <v>1786</v>
      </c>
      <c r="AG277" s="2320"/>
      <c r="AH277" s="2320"/>
      <c r="AI277" s="2320"/>
      <c r="AJ277" s="2320"/>
      <c r="AK277" s="2320"/>
      <c r="AL277" s="2320"/>
      <c r="AM277" s="175"/>
      <c r="AN277" s="317"/>
      <c r="AO277" s="144" t="s">
        <v>119</v>
      </c>
      <c r="AP277" s="46">
        <v>8</v>
      </c>
      <c r="AT277" s="1004"/>
      <c r="AU277" s="1004"/>
      <c r="AV277" s="1004"/>
      <c r="AW277" s="1004"/>
      <c r="AX277" s="1004"/>
      <c r="AY277" s="1004"/>
      <c r="AZ277" s="1004"/>
    </row>
    <row r="278" spans="1:82" s="16" customFormat="1" ht="13.1">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
      <c r="A281" s="28"/>
      <c r="B281" s="173"/>
      <c r="C281" s="218"/>
      <c r="D281" s="28" t="s">
        <v>162</v>
      </c>
      <c r="E281" s="999"/>
      <c r="F281" s="999"/>
      <c r="G281" s="999"/>
      <c r="H281" s="2329" t="s">
        <v>119</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17">
        <f>VLOOKUP($H$281,$AO$276:$AP$277,2,FALSE)</f>
        <v>8</v>
      </c>
      <c r="AK283" s="231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7">
        <f>$AJ$129+$AJ$144+$AJ$156+$AJ$189+$AJ$208+$AJ$220+$AJ$232+$AJ$246+$AJ$258+$AJ$273+AJ283</f>
        <v>30</v>
      </c>
      <c r="AL285" s="2318"/>
      <c r="AM285" s="231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78" t="s">
        <v>2460</v>
      </c>
      <c r="I289" s="1661"/>
      <c r="J289" s="1661"/>
      <c r="K289" s="1661"/>
      <c r="L289" s="1661"/>
      <c r="M289" s="1661"/>
      <c r="N289" s="1661"/>
      <c r="O289" s="1661"/>
      <c r="P289" s="1661"/>
      <c r="Q289" s="1661"/>
      <c r="R289" s="1661"/>
      <c r="S289" s="16"/>
      <c r="T289" s="72" t="s">
        <v>100</v>
      </c>
      <c r="U289" s="16"/>
      <c r="V289" s="72"/>
      <c r="W289" s="72"/>
      <c r="X289" s="72"/>
      <c r="Y289" s="72"/>
      <c r="Z289" s="16"/>
      <c r="AA289" s="1678" t="s">
        <v>2467</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760</v>
      </c>
      <c r="C290" s="72"/>
      <c r="D290" s="72"/>
      <c r="E290" s="72"/>
      <c r="F290" s="72"/>
      <c r="G290" s="16"/>
      <c r="H290" s="1662" t="s">
        <v>2461</v>
      </c>
      <c r="I290" s="1653"/>
      <c r="J290" s="1653"/>
      <c r="K290" s="1653"/>
      <c r="L290" s="1653"/>
      <c r="M290" s="1653"/>
      <c r="N290" s="1653"/>
      <c r="O290" s="1653"/>
      <c r="P290" s="1653"/>
      <c r="Q290" s="1653"/>
      <c r="R290" s="1653"/>
      <c r="S290" s="16"/>
      <c r="T290" s="72" t="s">
        <v>760</v>
      </c>
      <c r="U290" s="16"/>
      <c r="V290" s="72"/>
      <c r="W290" s="72"/>
      <c r="X290" s="72"/>
      <c r="Y290" s="72"/>
      <c r="Z290" s="16"/>
      <c r="AA290" s="1662" t="s">
        <v>2468</v>
      </c>
      <c r="AB290" s="1653"/>
      <c r="AC290" s="1653"/>
      <c r="AD290" s="1653"/>
      <c r="AE290" s="1653"/>
      <c r="AF290" s="1653"/>
      <c r="AG290" s="1653"/>
      <c r="AH290" s="1653"/>
      <c r="AI290" s="1653"/>
      <c r="AJ290" s="1653"/>
      <c r="AK290" s="1653"/>
      <c r="AL290" s="25"/>
      <c r="AM290" s="137"/>
      <c r="AN290" s="439"/>
    </row>
    <row r="291" spans="1:41" s="46" customFormat="1" ht="12.75" customHeight="1">
      <c r="A291" s="153"/>
      <c r="B291" s="72" t="s">
        <v>110</v>
      </c>
      <c r="C291" s="72"/>
      <c r="D291" s="72"/>
      <c r="E291" s="72"/>
      <c r="F291" s="72"/>
      <c r="G291" s="16"/>
      <c r="H291" s="1662" t="s">
        <v>2462</v>
      </c>
      <c r="I291" s="1653"/>
      <c r="J291" s="1653"/>
      <c r="K291" s="1653"/>
      <c r="L291" s="1653"/>
      <c r="M291" s="1653"/>
      <c r="N291" s="1653"/>
      <c r="O291" s="1653"/>
      <c r="P291" s="1653"/>
      <c r="Q291" s="1653"/>
      <c r="R291" s="1653"/>
      <c r="S291" s="16"/>
      <c r="T291" s="72" t="s">
        <v>110</v>
      </c>
      <c r="U291" s="16"/>
      <c r="V291" s="72"/>
      <c r="W291" s="72"/>
      <c r="X291" s="72"/>
      <c r="Y291" s="72"/>
      <c r="Z291" s="16"/>
      <c r="AA291" s="1662" t="s">
        <v>2462</v>
      </c>
      <c r="AB291" s="1653"/>
      <c r="AC291" s="1653"/>
      <c r="AD291" s="1653"/>
      <c r="AE291" s="1653"/>
      <c r="AF291" s="1653"/>
      <c r="AG291" s="1653"/>
      <c r="AH291" s="1653"/>
      <c r="AI291" s="1653"/>
      <c r="AJ291" s="1653"/>
      <c r="AK291" s="1653"/>
      <c r="AL291" s="25"/>
      <c r="AM291" s="137"/>
      <c r="AN291" s="439"/>
      <c r="AO291" s="331"/>
    </row>
    <row r="292" spans="1:41" s="46" customFormat="1" ht="12.75" customHeight="1">
      <c r="A292" s="153"/>
      <c r="B292" s="72" t="s">
        <v>415</v>
      </c>
      <c r="C292" s="72"/>
      <c r="D292" s="72"/>
      <c r="E292" s="72"/>
      <c r="F292" s="72"/>
      <c r="G292" s="16"/>
      <c r="H292" s="1662" t="s">
        <v>2463</v>
      </c>
      <c r="I292" s="1653"/>
      <c r="J292" s="1653"/>
      <c r="K292" s="1653"/>
      <c r="L292" s="1653"/>
      <c r="M292" s="1653"/>
      <c r="N292" s="1653"/>
      <c r="O292" s="1653"/>
      <c r="P292" s="1653"/>
      <c r="Q292" s="1653"/>
      <c r="R292" s="1653"/>
      <c r="S292" s="16"/>
      <c r="T292" s="72" t="s">
        <v>415</v>
      </c>
      <c r="U292" s="16"/>
      <c r="V292" s="72"/>
      <c r="W292" s="72"/>
      <c r="X292" s="72"/>
      <c r="Y292" s="72"/>
      <c r="Z292" s="16"/>
      <c r="AA292" s="1662" t="s">
        <v>2469</v>
      </c>
      <c r="AB292" s="1653"/>
      <c r="AC292" s="1653"/>
      <c r="AD292" s="1653"/>
      <c r="AE292" s="1653"/>
      <c r="AF292" s="1653"/>
      <c r="AG292" s="1653"/>
      <c r="AH292" s="1653"/>
      <c r="AI292" s="1653"/>
      <c r="AJ292" s="1653"/>
      <c r="AK292" s="1653"/>
      <c r="AL292" s="25"/>
      <c r="AM292" s="137"/>
      <c r="AN292" s="439"/>
      <c r="AO292" s="331"/>
    </row>
    <row r="293" spans="1:41" s="46" customFormat="1" ht="12.75" customHeight="1">
      <c r="A293" s="153"/>
      <c r="B293" s="72" t="s">
        <v>416</v>
      </c>
      <c r="C293" s="72"/>
      <c r="D293" s="72"/>
      <c r="E293" s="72"/>
      <c r="F293" s="72"/>
      <c r="G293" s="72"/>
      <c r="H293" s="1654" t="s">
        <v>2464</v>
      </c>
      <c r="I293" s="1655"/>
      <c r="J293" s="1655"/>
      <c r="K293" s="1655"/>
      <c r="L293" s="1655"/>
      <c r="M293" s="1655"/>
      <c r="N293" s="8" t="s">
        <v>892</v>
      </c>
      <c r="O293" s="8"/>
      <c r="P293" s="1659"/>
      <c r="Q293" s="1659"/>
      <c r="R293" s="1659"/>
      <c r="S293" s="72"/>
      <c r="T293" s="72" t="s">
        <v>416</v>
      </c>
      <c r="U293" s="16"/>
      <c r="V293" s="72"/>
      <c r="W293" s="72"/>
      <c r="X293" s="72"/>
      <c r="Y293" s="72"/>
      <c r="Z293" s="16"/>
      <c r="AA293" s="1654" t="s">
        <v>2470</v>
      </c>
      <c r="AB293" s="1655"/>
      <c r="AC293" s="1655"/>
      <c r="AD293" s="1655"/>
      <c r="AE293" s="1655"/>
      <c r="AF293" s="1655"/>
      <c r="AG293" s="8" t="s">
        <v>892</v>
      </c>
      <c r="AH293" s="8"/>
      <c r="AI293" s="1659"/>
      <c r="AJ293" s="1659"/>
      <c r="AK293" s="1659"/>
      <c r="AL293" s="25"/>
      <c r="AM293" s="137"/>
      <c r="AN293" s="439"/>
      <c r="AO293" s="331"/>
    </row>
    <row r="294" spans="1:41" s="46" customFormat="1" ht="12.75" customHeight="1">
      <c r="A294" s="153"/>
      <c r="B294" s="72" t="s">
        <v>99</v>
      </c>
      <c r="C294" s="72"/>
      <c r="D294" s="72"/>
      <c r="E294" s="72"/>
      <c r="F294" s="72"/>
      <c r="G294" s="72"/>
      <c r="H294" s="1653" t="s">
        <v>102</v>
      </c>
      <c r="I294" s="1653"/>
      <c r="J294" s="1653"/>
      <c r="K294" s="1653"/>
      <c r="L294" s="1653"/>
      <c r="M294" s="1653"/>
      <c r="N294" s="1653"/>
      <c r="O294" s="1653"/>
      <c r="P294" s="1653"/>
      <c r="Q294" s="1653"/>
      <c r="R294" s="1653"/>
      <c r="S294" s="72"/>
      <c r="T294" s="72" t="s">
        <v>99</v>
      </c>
      <c r="U294" s="16"/>
      <c r="V294" s="72"/>
      <c r="W294" s="72"/>
      <c r="X294" s="72"/>
      <c r="Y294" s="72"/>
      <c r="Z294" s="16"/>
      <c r="AA294" s="1653" t="s">
        <v>103</v>
      </c>
      <c r="AB294" s="1653"/>
      <c r="AC294" s="1653"/>
      <c r="AD294" s="1653"/>
      <c r="AE294" s="1653"/>
      <c r="AF294" s="1653"/>
      <c r="AG294" s="1653"/>
      <c r="AH294" s="1653"/>
      <c r="AI294" s="1653"/>
      <c r="AJ294" s="1653"/>
      <c r="AK294" s="1653"/>
      <c r="AL294" s="25"/>
      <c r="AM294" s="137"/>
      <c r="AN294" s="439"/>
      <c r="AO294" s="331"/>
    </row>
    <row r="295" spans="1:41" s="46" customFormat="1" ht="12.75" customHeight="1">
      <c r="A295" s="153"/>
      <c r="B295" s="72" t="s">
        <v>101</v>
      </c>
      <c r="C295" s="72"/>
      <c r="D295" s="72"/>
      <c r="E295" s="72"/>
      <c r="F295" s="72"/>
      <c r="G295" s="72"/>
      <c r="H295" s="1662" t="s">
        <v>2465</v>
      </c>
      <c r="I295" s="1653"/>
      <c r="J295" s="1653"/>
      <c r="K295" s="1653"/>
      <c r="L295" s="1653"/>
      <c r="M295" s="1653"/>
      <c r="N295" s="1653"/>
      <c r="O295" s="1653"/>
      <c r="P295" s="1653"/>
      <c r="Q295" s="1653"/>
      <c r="R295" s="1653"/>
      <c r="S295" s="72"/>
      <c r="T295" s="72" t="s">
        <v>101</v>
      </c>
      <c r="U295" s="16"/>
      <c r="V295" s="72"/>
      <c r="W295" s="72"/>
      <c r="X295" s="72"/>
      <c r="Y295" s="72"/>
      <c r="Z295" s="16"/>
      <c r="AA295" s="1662" t="s">
        <v>2471</v>
      </c>
      <c r="AB295" s="1653"/>
      <c r="AC295" s="1653"/>
      <c r="AD295" s="1653"/>
      <c r="AE295" s="1653"/>
      <c r="AF295" s="1653"/>
      <c r="AG295" s="1653"/>
      <c r="AH295" s="1653"/>
      <c r="AI295" s="1653"/>
      <c r="AJ295" s="1653"/>
      <c r="AK295" s="1653"/>
      <c r="AL295" s="25"/>
      <c r="AM295" s="137"/>
      <c r="AN295" s="439"/>
    </row>
    <row r="296" spans="1:41" s="137" customFormat="1" ht="12.75" customHeight="1">
      <c r="A296" s="153"/>
      <c r="B296" s="72" t="s">
        <v>112</v>
      </c>
      <c r="C296" s="72"/>
      <c r="D296" s="72"/>
      <c r="E296" s="72"/>
      <c r="F296" s="72"/>
      <c r="G296" s="72"/>
      <c r="H296" s="2371" t="s">
        <v>2466</v>
      </c>
      <c r="I296" s="2372"/>
      <c r="J296" s="2372"/>
      <c r="K296" s="2372"/>
      <c r="L296" s="2372"/>
      <c r="M296" s="2372"/>
      <c r="N296" s="2372"/>
      <c r="O296" s="2372"/>
      <c r="P296" s="2372"/>
      <c r="Q296" s="2372"/>
      <c r="R296" s="2372"/>
      <c r="S296" s="72"/>
      <c r="T296" s="72" t="s">
        <v>112</v>
      </c>
      <c r="U296" s="72"/>
      <c r="V296" s="72"/>
      <c r="W296" s="72"/>
      <c r="X296" s="72"/>
      <c r="Y296" s="72"/>
      <c r="Z296" s="18"/>
      <c r="AA296" s="2371" t="s">
        <v>2472</v>
      </c>
      <c r="AB296" s="2372"/>
      <c r="AC296" s="2372"/>
      <c r="AD296" s="2372"/>
      <c r="AE296" s="2372"/>
      <c r="AF296" s="2372"/>
      <c r="AG296" s="2372"/>
      <c r="AH296" s="2372"/>
      <c r="AI296" s="2372"/>
      <c r="AJ296" s="2372"/>
      <c r="AK296" s="2372"/>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78" t="s">
        <v>2473</v>
      </c>
      <c r="I298" s="1661"/>
      <c r="J298" s="1661"/>
      <c r="K298" s="1661"/>
      <c r="L298" s="1661"/>
      <c r="M298" s="1661"/>
      <c r="N298" s="1661"/>
      <c r="O298" s="1661"/>
      <c r="P298" s="1661"/>
      <c r="Q298" s="1661"/>
      <c r="R298" s="1661"/>
      <c r="S298" s="16"/>
      <c r="T298" s="72" t="s">
        <v>100</v>
      </c>
      <c r="U298" s="16"/>
      <c r="V298" s="72"/>
      <c r="W298" s="72"/>
      <c r="X298" s="72"/>
      <c r="Y298" s="72"/>
      <c r="Z298" s="16"/>
      <c r="AA298" s="1678" t="s">
        <v>2479</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760</v>
      </c>
      <c r="C299" s="72"/>
      <c r="D299" s="72"/>
      <c r="E299" s="72"/>
      <c r="F299" s="72"/>
      <c r="G299" s="16"/>
      <c r="H299" s="1662" t="s">
        <v>2474</v>
      </c>
      <c r="I299" s="1653"/>
      <c r="J299" s="1653"/>
      <c r="K299" s="1653"/>
      <c r="L299" s="1653"/>
      <c r="M299" s="1653"/>
      <c r="N299" s="1653"/>
      <c r="O299" s="1653"/>
      <c r="P299" s="1653"/>
      <c r="Q299" s="1653"/>
      <c r="R299" s="1653"/>
      <c r="S299" s="16"/>
      <c r="T299" s="72" t="s">
        <v>760</v>
      </c>
      <c r="U299" s="16"/>
      <c r="V299" s="72"/>
      <c r="W299" s="72"/>
      <c r="X299" s="72"/>
      <c r="Y299" s="72"/>
      <c r="Z299" s="16"/>
      <c r="AA299" s="1662" t="s">
        <v>2480</v>
      </c>
      <c r="AB299" s="1653"/>
      <c r="AC299" s="1653"/>
      <c r="AD299" s="1653"/>
      <c r="AE299" s="1653"/>
      <c r="AF299" s="1653"/>
      <c r="AG299" s="1653"/>
      <c r="AH299" s="1653"/>
      <c r="AI299" s="1653"/>
      <c r="AJ299" s="1653"/>
      <c r="AK299" s="1653"/>
      <c r="AL299" s="25"/>
      <c r="AM299" s="137"/>
      <c r="AN299" s="439"/>
      <c r="AO299" s="46"/>
    </row>
    <row r="300" spans="1:41" s="205" customFormat="1" ht="12.75" customHeight="1">
      <c r="A300" s="153"/>
      <c r="B300" s="72" t="s">
        <v>110</v>
      </c>
      <c r="C300" s="72"/>
      <c r="D300" s="72"/>
      <c r="E300" s="72"/>
      <c r="F300" s="72"/>
      <c r="G300" s="16"/>
      <c r="H300" s="1662" t="s">
        <v>2462</v>
      </c>
      <c r="I300" s="1653"/>
      <c r="J300" s="1653"/>
      <c r="K300" s="1653"/>
      <c r="L300" s="1653"/>
      <c r="M300" s="1653"/>
      <c r="N300" s="1653"/>
      <c r="O300" s="1653"/>
      <c r="P300" s="1653"/>
      <c r="Q300" s="1653"/>
      <c r="R300" s="1653"/>
      <c r="S300" s="16"/>
      <c r="T300" s="72" t="s">
        <v>110</v>
      </c>
      <c r="U300" s="16"/>
      <c r="V300" s="72"/>
      <c r="W300" s="72"/>
      <c r="X300" s="72"/>
      <c r="Y300" s="72"/>
      <c r="Z300" s="16"/>
      <c r="AA300" s="1662" t="s">
        <v>2462</v>
      </c>
      <c r="AB300" s="1653"/>
      <c r="AC300" s="1653"/>
      <c r="AD300" s="1653"/>
      <c r="AE300" s="1653"/>
      <c r="AF300" s="1653"/>
      <c r="AG300" s="1653"/>
      <c r="AH300" s="1653"/>
      <c r="AI300" s="1653"/>
      <c r="AJ300" s="1653"/>
      <c r="AK300" s="1653"/>
      <c r="AL300" s="25"/>
      <c r="AM300" s="137"/>
      <c r="AN300" s="439"/>
      <c r="AO300" s="46"/>
    </row>
    <row r="301" spans="1:41" s="46" customFormat="1" ht="12.75" customHeight="1">
      <c r="A301" s="153"/>
      <c r="B301" s="72" t="s">
        <v>415</v>
      </c>
      <c r="C301" s="72"/>
      <c r="D301" s="72"/>
      <c r="E301" s="72"/>
      <c r="F301" s="72"/>
      <c r="G301" s="16"/>
      <c r="H301" s="1662" t="s">
        <v>2475</v>
      </c>
      <c r="I301" s="1653"/>
      <c r="J301" s="1653"/>
      <c r="K301" s="1653"/>
      <c r="L301" s="1653"/>
      <c r="M301" s="1653"/>
      <c r="N301" s="1653"/>
      <c r="O301" s="1653"/>
      <c r="P301" s="1653"/>
      <c r="Q301" s="1653"/>
      <c r="R301" s="1653"/>
      <c r="S301" s="16"/>
      <c r="T301" s="72" t="s">
        <v>415</v>
      </c>
      <c r="U301" s="16"/>
      <c r="V301" s="72"/>
      <c r="W301" s="72"/>
      <c r="X301" s="72"/>
      <c r="Y301" s="72"/>
      <c r="Z301" s="16"/>
      <c r="AA301" s="1662" t="s">
        <v>2481</v>
      </c>
      <c r="AB301" s="1653"/>
      <c r="AC301" s="1653"/>
      <c r="AD301" s="1653"/>
      <c r="AE301" s="1653"/>
      <c r="AF301" s="1653"/>
      <c r="AG301" s="1653"/>
      <c r="AH301" s="1653"/>
      <c r="AI301" s="1653"/>
      <c r="AJ301" s="1653"/>
      <c r="AK301" s="1653"/>
      <c r="AL301" s="25"/>
      <c r="AM301" s="137"/>
      <c r="AN301" s="439"/>
    </row>
    <row r="302" spans="1:41" s="46" customFormat="1" ht="12.75" customHeight="1">
      <c r="A302" s="153"/>
      <c r="B302" s="72" t="s">
        <v>416</v>
      </c>
      <c r="C302" s="72"/>
      <c r="D302" s="72"/>
      <c r="E302" s="72"/>
      <c r="F302" s="72"/>
      <c r="G302" s="72"/>
      <c r="H302" s="1654" t="s">
        <v>2476</v>
      </c>
      <c r="I302" s="1655"/>
      <c r="J302" s="1655"/>
      <c r="K302" s="1655"/>
      <c r="L302" s="1655"/>
      <c r="M302" s="1655"/>
      <c r="N302" s="8" t="s">
        <v>892</v>
      </c>
      <c r="O302" s="8"/>
      <c r="P302" s="1659"/>
      <c r="Q302" s="1659"/>
      <c r="R302" s="1659"/>
      <c r="S302" s="72"/>
      <c r="T302" s="72" t="s">
        <v>416</v>
      </c>
      <c r="U302" s="16"/>
      <c r="V302" s="72"/>
      <c r="W302" s="72"/>
      <c r="X302" s="72"/>
      <c r="Y302" s="72"/>
      <c r="Z302" s="16"/>
      <c r="AA302" s="1654" t="s">
        <v>2482</v>
      </c>
      <c r="AB302" s="1655"/>
      <c r="AC302" s="1655"/>
      <c r="AD302" s="1655"/>
      <c r="AE302" s="1655"/>
      <c r="AF302" s="1655"/>
      <c r="AG302" s="8" t="s">
        <v>892</v>
      </c>
      <c r="AH302" s="8"/>
      <c r="AI302" s="1659"/>
      <c r="AJ302" s="1659"/>
      <c r="AK302" s="1659"/>
      <c r="AL302" s="25"/>
      <c r="AM302" s="137"/>
      <c r="AN302" s="439"/>
    </row>
    <row r="303" spans="1:41" s="46" customFormat="1" ht="12.75" customHeight="1">
      <c r="A303" s="153"/>
      <c r="B303" s="72" t="s">
        <v>99</v>
      </c>
      <c r="C303" s="72"/>
      <c r="D303" s="72"/>
      <c r="E303" s="72"/>
      <c r="F303" s="72"/>
      <c r="G303" s="72"/>
      <c r="H303" s="1653" t="s">
        <v>104</v>
      </c>
      <c r="I303" s="1653"/>
      <c r="J303" s="1653"/>
      <c r="K303" s="1653"/>
      <c r="L303" s="1653"/>
      <c r="M303" s="1653"/>
      <c r="N303" s="1653"/>
      <c r="O303" s="1653"/>
      <c r="P303" s="1653"/>
      <c r="Q303" s="1653"/>
      <c r="R303" s="1653"/>
      <c r="S303" s="72"/>
      <c r="T303" s="72" t="s">
        <v>99</v>
      </c>
      <c r="U303" s="16"/>
      <c r="V303" s="72"/>
      <c r="W303" s="72"/>
      <c r="X303" s="72"/>
      <c r="Y303" s="72"/>
      <c r="Z303" s="16"/>
      <c r="AA303" s="1653" t="s">
        <v>385</v>
      </c>
      <c r="AB303" s="1653"/>
      <c r="AC303" s="1653"/>
      <c r="AD303" s="1653"/>
      <c r="AE303" s="1653"/>
      <c r="AF303" s="1653"/>
      <c r="AG303" s="1653"/>
      <c r="AH303" s="1653"/>
      <c r="AI303" s="1653"/>
      <c r="AJ303" s="1653"/>
      <c r="AK303" s="1653"/>
      <c r="AL303" s="25"/>
      <c r="AM303" s="137"/>
      <c r="AN303" s="439"/>
    </row>
    <row r="304" spans="1:41" s="46" customFormat="1" ht="12.75" customHeight="1">
      <c r="A304" s="153"/>
      <c r="B304" s="72" t="s">
        <v>101</v>
      </c>
      <c r="C304" s="72"/>
      <c r="D304" s="72"/>
      <c r="E304" s="72"/>
      <c r="F304" s="72"/>
      <c r="G304" s="72"/>
      <c r="H304" s="1662" t="s">
        <v>2477</v>
      </c>
      <c r="I304" s="1653"/>
      <c r="J304" s="1653"/>
      <c r="K304" s="1653"/>
      <c r="L304" s="1653"/>
      <c r="M304" s="1653"/>
      <c r="N304" s="1653"/>
      <c r="O304" s="1653"/>
      <c r="P304" s="1653"/>
      <c r="Q304" s="1653"/>
      <c r="R304" s="1653"/>
      <c r="S304" s="72"/>
      <c r="T304" s="72" t="s">
        <v>101</v>
      </c>
      <c r="U304" s="16"/>
      <c r="V304" s="72"/>
      <c r="W304" s="72"/>
      <c r="X304" s="72"/>
      <c r="Y304" s="72"/>
      <c r="Z304" s="16"/>
      <c r="AA304" s="1662" t="s">
        <v>2483</v>
      </c>
      <c r="AB304" s="1653"/>
      <c r="AC304" s="1653"/>
      <c r="AD304" s="1653"/>
      <c r="AE304" s="1653"/>
      <c r="AF304" s="1653"/>
      <c r="AG304" s="1653"/>
      <c r="AH304" s="1653"/>
      <c r="AI304" s="1653"/>
      <c r="AJ304" s="1653"/>
      <c r="AK304" s="1653"/>
      <c r="AL304" s="25"/>
      <c r="AM304" s="137"/>
      <c r="AN304" s="439"/>
    </row>
    <row r="305" spans="1:40" s="46" customFormat="1" ht="12.75" customHeight="1">
      <c r="A305" s="153"/>
      <c r="B305" s="72" t="s">
        <v>112</v>
      </c>
      <c r="C305" s="72"/>
      <c r="D305" s="72"/>
      <c r="E305" s="72"/>
      <c r="F305" s="72"/>
      <c r="G305" s="72"/>
      <c r="H305" s="2371" t="s">
        <v>2478</v>
      </c>
      <c r="I305" s="2372"/>
      <c r="J305" s="2372"/>
      <c r="K305" s="2372"/>
      <c r="L305" s="2372"/>
      <c r="M305" s="2372"/>
      <c r="N305" s="2372"/>
      <c r="O305" s="2372"/>
      <c r="P305" s="2372"/>
      <c r="Q305" s="2372"/>
      <c r="R305" s="2372"/>
      <c r="S305" s="72"/>
      <c r="T305" s="72" t="s">
        <v>112</v>
      </c>
      <c r="U305" s="72"/>
      <c r="V305" s="72"/>
      <c r="W305" s="72"/>
      <c r="X305" s="72"/>
      <c r="Y305" s="72"/>
      <c r="Z305" s="18"/>
      <c r="AA305" s="2371" t="s">
        <v>2484</v>
      </c>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78" t="s">
        <v>2485</v>
      </c>
      <c r="I307" s="1661"/>
      <c r="J307" s="1661"/>
      <c r="K307" s="1661"/>
      <c r="L307" s="1661"/>
      <c r="M307" s="1661"/>
      <c r="N307" s="1661"/>
      <c r="O307" s="1661"/>
      <c r="P307" s="1661"/>
      <c r="Q307" s="1661"/>
      <c r="R307" s="1661"/>
      <c r="S307" s="16"/>
      <c r="T307" s="72" t="s">
        <v>100</v>
      </c>
      <c r="U307" s="16"/>
      <c r="V307" s="72"/>
      <c r="W307" s="72"/>
      <c r="X307" s="72"/>
      <c r="Y307" s="72"/>
      <c r="Z307" s="16"/>
      <c r="AA307" s="1678" t="s">
        <v>2491</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760</v>
      </c>
      <c r="C308" s="72"/>
      <c r="D308" s="72"/>
      <c r="E308" s="72"/>
      <c r="F308" s="72"/>
      <c r="G308" s="16"/>
      <c r="H308" s="1662" t="s">
        <v>2486</v>
      </c>
      <c r="I308" s="1653"/>
      <c r="J308" s="1653"/>
      <c r="K308" s="1653"/>
      <c r="L308" s="1653"/>
      <c r="M308" s="1653"/>
      <c r="N308" s="1653"/>
      <c r="O308" s="1653"/>
      <c r="P308" s="1653"/>
      <c r="Q308" s="1653"/>
      <c r="R308" s="1653"/>
      <c r="S308" s="16"/>
      <c r="T308" s="72" t="s">
        <v>760</v>
      </c>
      <c r="U308" s="16"/>
      <c r="V308" s="72"/>
      <c r="W308" s="72"/>
      <c r="X308" s="72"/>
      <c r="Y308" s="72"/>
      <c r="Z308" s="16"/>
      <c r="AA308" s="1662" t="s">
        <v>2492</v>
      </c>
      <c r="AB308" s="1653"/>
      <c r="AC308" s="1653"/>
      <c r="AD308" s="1653"/>
      <c r="AE308" s="1653"/>
      <c r="AF308" s="1653"/>
      <c r="AG308" s="1653"/>
      <c r="AH308" s="1653"/>
      <c r="AI308" s="1653"/>
      <c r="AJ308" s="1653"/>
      <c r="AK308" s="1653"/>
      <c r="AL308" s="25"/>
      <c r="AM308" s="137"/>
      <c r="AN308" s="439"/>
    </row>
    <row r="309" spans="1:40" s="46" customFormat="1" ht="12.75" customHeight="1">
      <c r="A309" s="153"/>
      <c r="B309" s="72" t="s">
        <v>110</v>
      </c>
      <c r="C309" s="72"/>
      <c r="D309" s="72"/>
      <c r="E309" s="72"/>
      <c r="F309" s="72"/>
      <c r="G309" s="16"/>
      <c r="H309" s="1662" t="s">
        <v>2462</v>
      </c>
      <c r="I309" s="1653"/>
      <c r="J309" s="1653"/>
      <c r="K309" s="1653"/>
      <c r="L309" s="1653"/>
      <c r="M309" s="1653"/>
      <c r="N309" s="1653"/>
      <c r="O309" s="1653"/>
      <c r="P309" s="1653"/>
      <c r="Q309" s="1653"/>
      <c r="R309" s="1653"/>
      <c r="S309" s="16"/>
      <c r="T309" s="72" t="s">
        <v>110</v>
      </c>
      <c r="U309" s="16"/>
      <c r="V309" s="72"/>
      <c r="W309" s="72"/>
      <c r="X309" s="72"/>
      <c r="Y309" s="72"/>
      <c r="Z309" s="16"/>
      <c r="AA309" s="1662" t="s">
        <v>2462</v>
      </c>
      <c r="AB309" s="1653"/>
      <c r="AC309" s="1653"/>
      <c r="AD309" s="1653"/>
      <c r="AE309" s="1653"/>
      <c r="AF309" s="1653"/>
      <c r="AG309" s="1653"/>
      <c r="AH309" s="1653"/>
      <c r="AI309" s="1653"/>
      <c r="AJ309" s="1653"/>
      <c r="AK309" s="1653"/>
      <c r="AL309" s="25"/>
      <c r="AM309" s="137"/>
      <c r="AN309" s="439"/>
    </row>
    <row r="310" spans="1:40" s="46" customFormat="1" ht="12.75" customHeight="1">
      <c r="A310" s="153"/>
      <c r="B310" s="72" t="s">
        <v>415</v>
      </c>
      <c r="C310" s="72"/>
      <c r="D310" s="72"/>
      <c r="E310" s="72"/>
      <c r="F310" s="72"/>
      <c r="G310" s="16"/>
      <c r="H310" s="1662" t="s">
        <v>2487</v>
      </c>
      <c r="I310" s="1653"/>
      <c r="J310" s="1653"/>
      <c r="K310" s="1653"/>
      <c r="L310" s="1653"/>
      <c r="M310" s="1653"/>
      <c r="N310" s="1653"/>
      <c r="O310" s="1653"/>
      <c r="P310" s="1653"/>
      <c r="Q310" s="1653"/>
      <c r="R310" s="1653"/>
      <c r="S310" s="16"/>
      <c r="T310" s="72" t="s">
        <v>415</v>
      </c>
      <c r="U310" s="16"/>
      <c r="V310" s="72"/>
      <c r="W310" s="72"/>
      <c r="X310" s="72"/>
      <c r="Y310" s="72"/>
      <c r="Z310" s="16"/>
      <c r="AA310" s="1662" t="s">
        <v>2493</v>
      </c>
      <c r="AB310" s="1653"/>
      <c r="AC310" s="1653"/>
      <c r="AD310" s="1653"/>
      <c r="AE310" s="1653"/>
      <c r="AF310" s="1653"/>
      <c r="AG310" s="1653"/>
      <c r="AH310" s="1653"/>
      <c r="AI310" s="1653"/>
      <c r="AJ310" s="1653"/>
      <c r="AK310" s="1653"/>
      <c r="AL310" s="25"/>
      <c r="AM310" s="137"/>
      <c r="AN310" s="439"/>
    </row>
    <row r="311" spans="1:40" s="46" customFormat="1" ht="12.75" customHeight="1">
      <c r="A311" s="153"/>
      <c r="B311" s="72" t="s">
        <v>416</v>
      </c>
      <c r="C311" s="72"/>
      <c r="D311" s="72"/>
      <c r="E311" s="72"/>
      <c r="F311" s="72"/>
      <c r="G311" s="72"/>
      <c r="H311" s="1654" t="s">
        <v>2488</v>
      </c>
      <c r="I311" s="1655"/>
      <c r="J311" s="1655"/>
      <c r="K311" s="1655"/>
      <c r="L311" s="1655"/>
      <c r="M311" s="1655"/>
      <c r="N311" s="8" t="s">
        <v>892</v>
      </c>
      <c r="O311" s="8"/>
      <c r="P311" s="1659"/>
      <c r="Q311" s="1659"/>
      <c r="R311" s="1659"/>
      <c r="S311" s="72"/>
      <c r="T311" s="72" t="s">
        <v>416</v>
      </c>
      <c r="U311" s="16"/>
      <c r="V311" s="72"/>
      <c r="W311" s="72"/>
      <c r="X311" s="72"/>
      <c r="Y311" s="72"/>
      <c r="Z311" s="16"/>
      <c r="AA311" s="1654" t="s">
        <v>2494</v>
      </c>
      <c r="AB311" s="1655"/>
      <c r="AC311" s="1655"/>
      <c r="AD311" s="1655"/>
      <c r="AE311" s="1655"/>
      <c r="AF311" s="1655"/>
      <c r="AG311" s="8" t="s">
        <v>892</v>
      </c>
      <c r="AH311" s="8"/>
      <c r="AI311" s="1659"/>
      <c r="AJ311" s="1659"/>
      <c r="AK311" s="1659"/>
      <c r="AL311" s="25"/>
      <c r="AM311" s="137"/>
      <c r="AN311" s="439"/>
    </row>
    <row r="312" spans="1:40" s="46" customFormat="1" ht="12.75" customHeight="1">
      <c r="A312" s="153"/>
      <c r="B312" s="72" t="s">
        <v>99</v>
      </c>
      <c r="C312" s="72"/>
      <c r="D312" s="72"/>
      <c r="E312" s="72"/>
      <c r="F312" s="72"/>
      <c r="G312" s="72"/>
      <c r="H312" s="1653" t="s">
        <v>111</v>
      </c>
      <c r="I312" s="1653"/>
      <c r="J312" s="1653"/>
      <c r="K312" s="1653"/>
      <c r="L312" s="1653"/>
      <c r="M312" s="1653"/>
      <c r="N312" s="1653"/>
      <c r="O312" s="1653"/>
      <c r="P312" s="1653"/>
      <c r="Q312" s="1653"/>
      <c r="R312" s="1653"/>
      <c r="S312" s="72"/>
      <c r="T312" s="72" t="s">
        <v>99</v>
      </c>
      <c r="U312" s="16"/>
      <c r="V312" s="72"/>
      <c r="W312" s="72"/>
      <c r="X312" s="72"/>
      <c r="Y312" s="72"/>
      <c r="Z312" s="16"/>
      <c r="AA312" s="1653" t="s">
        <v>106</v>
      </c>
      <c r="AB312" s="1653"/>
      <c r="AC312" s="1653"/>
      <c r="AD312" s="1653"/>
      <c r="AE312" s="1653"/>
      <c r="AF312" s="1653"/>
      <c r="AG312" s="1653"/>
      <c r="AH312" s="1653"/>
      <c r="AI312" s="1653"/>
      <c r="AJ312" s="1653"/>
      <c r="AK312" s="1653"/>
      <c r="AL312" s="25"/>
      <c r="AM312" s="137"/>
      <c r="AN312" s="439"/>
    </row>
    <row r="313" spans="1:40" s="46" customFormat="1" ht="12.75" customHeight="1">
      <c r="A313" s="153"/>
      <c r="B313" s="72" t="s">
        <v>101</v>
      </c>
      <c r="C313" s="72"/>
      <c r="D313" s="72"/>
      <c r="E313" s="72"/>
      <c r="F313" s="72"/>
      <c r="G313" s="72"/>
      <c r="H313" s="1662" t="s">
        <v>2489</v>
      </c>
      <c r="I313" s="1653"/>
      <c r="J313" s="1653"/>
      <c r="K313" s="1653"/>
      <c r="L313" s="1653"/>
      <c r="M313" s="1653"/>
      <c r="N313" s="1653"/>
      <c r="O313" s="1653"/>
      <c r="P313" s="1653"/>
      <c r="Q313" s="1653"/>
      <c r="R313" s="1653"/>
      <c r="S313" s="72"/>
      <c r="T313" s="72" t="s">
        <v>101</v>
      </c>
      <c r="U313" s="16"/>
      <c r="V313" s="72"/>
      <c r="W313" s="72"/>
      <c r="X313" s="72"/>
      <c r="Y313" s="72"/>
      <c r="Z313" s="16"/>
      <c r="AA313" s="1662" t="s">
        <v>2495</v>
      </c>
      <c r="AB313" s="1653"/>
      <c r="AC313" s="1653"/>
      <c r="AD313" s="1653"/>
      <c r="AE313" s="1653"/>
      <c r="AF313" s="1653"/>
      <c r="AG313" s="1653"/>
      <c r="AH313" s="1653"/>
      <c r="AI313" s="1653"/>
      <c r="AJ313" s="1653"/>
      <c r="AK313" s="1653"/>
      <c r="AL313" s="25"/>
      <c r="AM313" s="137"/>
      <c r="AN313" s="439"/>
    </row>
    <row r="314" spans="1:40" s="46" customFormat="1" ht="12.75" customHeight="1">
      <c r="A314" s="153"/>
      <c r="B314" s="72" t="s">
        <v>112</v>
      </c>
      <c r="C314" s="72"/>
      <c r="D314" s="72"/>
      <c r="E314" s="72"/>
      <c r="F314" s="72"/>
      <c r="G314" s="72"/>
      <c r="H314" s="2371" t="s">
        <v>2490</v>
      </c>
      <c r="I314" s="2372"/>
      <c r="J314" s="2372"/>
      <c r="K314" s="2372"/>
      <c r="L314" s="2372"/>
      <c r="M314" s="2372"/>
      <c r="N314" s="2372"/>
      <c r="O314" s="2372"/>
      <c r="P314" s="2372"/>
      <c r="Q314" s="2372"/>
      <c r="R314" s="2372"/>
      <c r="S314" s="72"/>
      <c r="T314" s="72" t="s">
        <v>112</v>
      </c>
      <c r="U314" s="72"/>
      <c r="V314" s="72"/>
      <c r="W314" s="72"/>
      <c r="X314" s="72"/>
      <c r="Y314" s="72"/>
      <c r="Z314" s="18"/>
      <c r="AA314" s="2371" t="s">
        <v>2496</v>
      </c>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78" t="s">
        <v>2497</v>
      </c>
      <c r="I316" s="1661"/>
      <c r="J316" s="1661"/>
      <c r="K316" s="1661"/>
      <c r="L316" s="1661"/>
      <c r="M316" s="1661"/>
      <c r="N316" s="1661"/>
      <c r="O316" s="1661"/>
      <c r="P316" s="1661"/>
      <c r="Q316" s="1661"/>
      <c r="R316" s="1661"/>
      <c r="S316" s="16"/>
      <c r="T316" s="72" t="s">
        <v>100</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760</v>
      </c>
      <c r="C317" s="72"/>
      <c r="D317" s="72"/>
      <c r="E317" s="72"/>
      <c r="F317" s="72"/>
      <c r="G317" s="16"/>
      <c r="H317" s="1662" t="s">
        <v>2498</v>
      </c>
      <c r="I317" s="1653"/>
      <c r="J317" s="1653"/>
      <c r="K317" s="1653"/>
      <c r="L317" s="1653"/>
      <c r="M317" s="1653"/>
      <c r="N317" s="1653"/>
      <c r="O317" s="1653"/>
      <c r="P317" s="1653"/>
      <c r="Q317" s="1653"/>
      <c r="R317" s="1653"/>
      <c r="S317" s="16"/>
      <c r="T317" s="72" t="s">
        <v>760</v>
      </c>
      <c r="U317" s="16"/>
      <c r="V317" s="72"/>
      <c r="W317" s="72"/>
      <c r="X317" s="72"/>
      <c r="Y317" s="72"/>
      <c r="Z317" s="16"/>
      <c r="AA317" s="1653"/>
      <c r="AB317" s="1653"/>
      <c r="AC317" s="1653"/>
      <c r="AD317" s="1653"/>
      <c r="AE317" s="1653"/>
      <c r="AF317" s="1653"/>
      <c r="AG317" s="1653"/>
      <c r="AH317" s="1653"/>
      <c r="AI317" s="1653"/>
      <c r="AJ317" s="1653"/>
      <c r="AK317" s="1653"/>
      <c r="AL317" s="25"/>
      <c r="AM317" s="137"/>
      <c r="AN317" s="439"/>
    </row>
    <row r="318" spans="1:40" s="46" customFormat="1" ht="12.75" customHeight="1">
      <c r="A318" s="153"/>
      <c r="B318" s="72" t="s">
        <v>110</v>
      </c>
      <c r="C318" s="72"/>
      <c r="D318" s="72"/>
      <c r="E318" s="72"/>
      <c r="F318" s="72"/>
      <c r="G318" s="16"/>
      <c r="H318" s="1662" t="s">
        <v>2462</v>
      </c>
      <c r="I318" s="1653"/>
      <c r="J318" s="1653"/>
      <c r="K318" s="1653"/>
      <c r="L318" s="1653"/>
      <c r="M318" s="1653"/>
      <c r="N318" s="1653"/>
      <c r="O318" s="1653"/>
      <c r="P318" s="1653"/>
      <c r="Q318" s="1653"/>
      <c r="R318" s="1653"/>
      <c r="S318" s="16"/>
      <c r="T318" s="72" t="s">
        <v>110</v>
      </c>
      <c r="U318" s="16"/>
      <c r="V318" s="72"/>
      <c r="W318" s="72"/>
      <c r="X318" s="72"/>
      <c r="Y318" s="72"/>
      <c r="Z318" s="16"/>
      <c r="AA318" s="1653"/>
      <c r="AB318" s="1653"/>
      <c r="AC318" s="1653"/>
      <c r="AD318" s="1653"/>
      <c r="AE318" s="1653"/>
      <c r="AF318" s="1653"/>
      <c r="AG318" s="1653"/>
      <c r="AH318" s="1653"/>
      <c r="AI318" s="1653"/>
      <c r="AJ318" s="1653"/>
      <c r="AK318" s="1653"/>
      <c r="AL318" s="25"/>
      <c r="AM318" s="137"/>
      <c r="AN318" s="439"/>
    </row>
    <row r="319" spans="1:40" s="46" customFormat="1" ht="12.75" customHeight="1">
      <c r="A319" s="153"/>
      <c r="B319" s="72" t="s">
        <v>415</v>
      </c>
      <c r="C319" s="72"/>
      <c r="D319" s="72"/>
      <c r="E319" s="72"/>
      <c r="F319" s="72"/>
      <c r="G319" s="16"/>
      <c r="H319" s="1662" t="s">
        <v>2499</v>
      </c>
      <c r="I319" s="1653"/>
      <c r="J319" s="1653"/>
      <c r="K319" s="1653"/>
      <c r="L319" s="1653"/>
      <c r="M319" s="1653"/>
      <c r="N319" s="1653"/>
      <c r="O319" s="1653"/>
      <c r="P319" s="1653"/>
      <c r="Q319" s="1653"/>
      <c r="R319" s="1653"/>
      <c r="S319" s="16"/>
      <c r="T319" s="72" t="s">
        <v>415</v>
      </c>
      <c r="U319" s="16"/>
      <c r="V319" s="72"/>
      <c r="W319" s="72"/>
      <c r="X319" s="72"/>
      <c r="Y319" s="72"/>
      <c r="Z319" s="16"/>
      <c r="AA319" s="1653"/>
      <c r="AB319" s="1653"/>
      <c r="AC319" s="1653"/>
      <c r="AD319" s="1653"/>
      <c r="AE319" s="1653"/>
      <c r="AF319" s="1653"/>
      <c r="AG319" s="1653"/>
      <c r="AH319" s="1653"/>
      <c r="AI319" s="1653"/>
      <c r="AJ319" s="1653"/>
      <c r="AK319" s="1653"/>
      <c r="AL319" s="25"/>
      <c r="AM319" s="137"/>
      <c r="AN319" s="439"/>
    </row>
    <row r="320" spans="1:40" s="46" customFormat="1" ht="12.75" customHeight="1">
      <c r="A320" s="153"/>
      <c r="B320" s="72" t="s">
        <v>416</v>
      </c>
      <c r="C320" s="72"/>
      <c r="D320" s="72"/>
      <c r="E320" s="72"/>
      <c r="F320" s="72"/>
      <c r="G320" s="72"/>
      <c r="H320" s="1654" t="s">
        <v>2500</v>
      </c>
      <c r="I320" s="1655"/>
      <c r="J320" s="1655"/>
      <c r="K320" s="1655"/>
      <c r="L320" s="1655"/>
      <c r="M320" s="1655"/>
      <c r="N320" s="8" t="s">
        <v>892</v>
      </c>
      <c r="O320" s="8"/>
      <c r="P320" s="1659"/>
      <c r="Q320" s="1659"/>
      <c r="R320" s="1659"/>
      <c r="S320" s="72"/>
      <c r="T320" s="72" t="s">
        <v>416</v>
      </c>
      <c r="U320" s="16"/>
      <c r="V320" s="72"/>
      <c r="W320" s="72"/>
      <c r="X320" s="72"/>
      <c r="Y320" s="72"/>
      <c r="Z320" s="16"/>
      <c r="AA320" s="1655"/>
      <c r="AB320" s="1655"/>
      <c r="AC320" s="1655"/>
      <c r="AD320" s="1655"/>
      <c r="AE320" s="1655"/>
      <c r="AF320" s="1655"/>
      <c r="AG320" s="8" t="s">
        <v>892</v>
      </c>
      <c r="AH320" s="8"/>
      <c r="AI320" s="1659"/>
      <c r="AJ320" s="1659"/>
      <c r="AK320" s="1659"/>
      <c r="AL320" s="25"/>
      <c r="AM320" s="137"/>
      <c r="AN320" s="439"/>
    </row>
    <row r="321" spans="1:76" s="46" customFormat="1" ht="12.75" customHeight="1">
      <c r="A321" s="153"/>
      <c r="B321" s="72" t="s">
        <v>99</v>
      </c>
      <c r="C321" s="72"/>
      <c r="D321" s="72"/>
      <c r="E321" s="72"/>
      <c r="F321" s="72"/>
      <c r="G321" s="72"/>
      <c r="H321" s="1653" t="s">
        <v>107</v>
      </c>
      <c r="I321" s="1653"/>
      <c r="J321" s="1653"/>
      <c r="K321" s="1653"/>
      <c r="L321" s="1653"/>
      <c r="M321" s="1653"/>
      <c r="N321" s="1653"/>
      <c r="O321" s="1653"/>
      <c r="P321" s="1653"/>
      <c r="Q321" s="1653"/>
      <c r="R321" s="1653"/>
      <c r="S321" s="72"/>
      <c r="T321" s="72" t="s">
        <v>99</v>
      </c>
      <c r="U321" s="16"/>
      <c r="V321" s="72"/>
      <c r="W321" s="72"/>
      <c r="X321" s="72"/>
      <c r="Y321" s="72"/>
      <c r="Z321" s="16"/>
      <c r="AA321" s="1653"/>
      <c r="AB321" s="1653"/>
      <c r="AC321" s="1653"/>
      <c r="AD321" s="1653"/>
      <c r="AE321" s="1653"/>
      <c r="AF321" s="1653"/>
      <c r="AG321" s="1653"/>
      <c r="AH321" s="1653"/>
      <c r="AI321" s="1653"/>
      <c r="AJ321" s="1653"/>
      <c r="AK321" s="1653"/>
      <c r="AL321" s="25"/>
      <c r="AM321" s="137"/>
      <c r="AN321" s="439"/>
    </row>
    <row r="322" spans="1:76" s="46" customFormat="1" ht="12.75" customHeight="1">
      <c r="A322" s="153"/>
      <c r="B322" s="72" t="s">
        <v>101</v>
      </c>
      <c r="C322" s="72"/>
      <c r="D322" s="72"/>
      <c r="E322" s="72"/>
      <c r="F322" s="72"/>
      <c r="G322" s="72"/>
      <c r="H322" s="1662" t="s">
        <v>2501</v>
      </c>
      <c r="I322" s="1653"/>
      <c r="J322" s="1653"/>
      <c r="K322" s="1653"/>
      <c r="L322" s="1653"/>
      <c r="M322" s="1653"/>
      <c r="N322" s="1653"/>
      <c r="O322" s="1653"/>
      <c r="P322" s="1653"/>
      <c r="Q322" s="1653"/>
      <c r="R322" s="1653"/>
      <c r="S322" s="72"/>
      <c r="T322" s="72" t="s">
        <v>101</v>
      </c>
      <c r="U322" s="16"/>
      <c r="V322" s="72"/>
      <c r="W322" s="72"/>
      <c r="X322" s="72"/>
      <c r="Y322" s="72"/>
      <c r="Z322" s="16"/>
      <c r="AA322" s="1653"/>
      <c r="AB322" s="1653"/>
      <c r="AC322" s="1653"/>
      <c r="AD322" s="1653"/>
      <c r="AE322" s="1653"/>
      <c r="AF322" s="1653"/>
      <c r="AG322" s="1653"/>
      <c r="AH322" s="1653"/>
      <c r="AI322" s="1653"/>
      <c r="AJ322" s="1653"/>
      <c r="AK322" s="1653"/>
      <c r="AL322" s="25"/>
      <c r="AM322" s="137"/>
      <c r="AN322" s="439"/>
    </row>
    <row r="323" spans="1:76" s="46" customFormat="1" ht="12.75" customHeight="1">
      <c r="A323" s="153"/>
      <c r="B323" s="72" t="s">
        <v>112</v>
      </c>
      <c r="C323" s="72"/>
      <c r="D323" s="72"/>
      <c r="E323" s="72"/>
      <c r="F323" s="72"/>
      <c r="G323" s="72"/>
      <c r="H323" s="2371" t="s">
        <v>2502</v>
      </c>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1"/>
      <c r="I325" s="1661"/>
      <c r="J325" s="1661"/>
      <c r="K325" s="1661"/>
      <c r="L325" s="1661"/>
      <c r="M325" s="1661"/>
      <c r="N325" s="1661"/>
      <c r="O325" s="1661"/>
      <c r="P325" s="1661"/>
      <c r="Q325" s="1661"/>
      <c r="R325" s="1661"/>
      <c r="S325" s="16"/>
      <c r="T325" s="72" t="s">
        <v>100</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760</v>
      </c>
      <c r="C326" s="72"/>
      <c r="D326" s="72"/>
      <c r="E326" s="72"/>
      <c r="F326" s="72"/>
      <c r="G326" s="16"/>
      <c r="H326" s="1653"/>
      <c r="I326" s="1653"/>
      <c r="J326" s="1653"/>
      <c r="K326" s="1653"/>
      <c r="L326" s="1653"/>
      <c r="M326" s="1653"/>
      <c r="N326" s="1653"/>
      <c r="O326" s="1653"/>
      <c r="P326" s="1653"/>
      <c r="Q326" s="1653"/>
      <c r="R326" s="1653"/>
      <c r="S326" s="16"/>
      <c r="T326" s="72" t="s">
        <v>760</v>
      </c>
      <c r="U326" s="16"/>
      <c r="V326" s="72"/>
      <c r="W326" s="72"/>
      <c r="X326" s="72"/>
      <c r="Y326" s="72"/>
      <c r="Z326" s="16"/>
      <c r="AA326" s="1653"/>
      <c r="AB326" s="1653"/>
      <c r="AC326" s="1653"/>
      <c r="AD326" s="1653"/>
      <c r="AE326" s="1653"/>
      <c r="AF326" s="1653"/>
      <c r="AG326" s="1653"/>
      <c r="AH326" s="1653"/>
      <c r="AI326" s="1653"/>
      <c r="AJ326" s="1653"/>
      <c r="AK326" s="1653"/>
      <c r="AL326" s="327"/>
      <c r="AM326" s="137"/>
      <c r="AN326" s="439"/>
    </row>
    <row r="327" spans="1:76" s="46" customFormat="1" ht="18" customHeight="1">
      <c r="A327" s="153"/>
      <c r="B327" s="72" t="s">
        <v>110</v>
      </c>
      <c r="C327" s="72"/>
      <c r="D327" s="72"/>
      <c r="E327" s="72"/>
      <c r="F327" s="72"/>
      <c r="G327" s="16"/>
      <c r="H327" s="1653"/>
      <c r="I327" s="1653"/>
      <c r="J327" s="1653"/>
      <c r="K327" s="1653"/>
      <c r="L327" s="1653"/>
      <c r="M327" s="1653"/>
      <c r="N327" s="1653"/>
      <c r="O327" s="1653"/>
      <c r="P327" s="1653"/>
      <c r="Q327" s="1653"/>
      <c r="R327" s="1653"/>
      <c r="S327" s="16"/>
      <c r="T327" s="72" t="s">
        <v>110</v>
      </c>
      <c r="U327" s="16"/>
      <c r="V327" s="72"/>
      <c r="W327" s="72"/>
      <c r="X327" s="72"/>
      <c r="Y327" s="72"/>
      <c r="Z327" s="16"/>
      <c r="AA327" s="1653"/>
      <c r="AB327" s="1653"/>
      <c r="AC327" s="1653"/>
      <c r="AD327" s="1653"/>
      <c r="AE327" s="1653"/>
      <c r="AF327" s="1653"/>
      <c r="AG327" s="1653"/>
      <c r="AH327" s="1653"/>
      <c r="AI327" s="1653"/>
      <c r="AJ327" s="1653"/>
      <c r="AK327" s="1653"/>
      <c r="AL327" s="327"/>
      <c r="AM327" s="137"/>
      <c r="AN327" s="439"/>
    </row>
    <row r="328" spans="1:76" s="46" customFormat="1" ht="12.75" customHeight="1">
      <c r="A328" s="153"/>
      <c r="B328" s="72" t="s">
        <v>415</v>
      </c>
      <c r="C328" s="72"/>
      <c r="D328" s="72"/>
      <c r="E328" s="72"/>
      <c r="F328" s="72"/>
      <c r="G328" s="16"/>
      <c r="H328" s="1653"/>
      <c r="I328" s="1653"/>
      <c r="J328" s="1653"/>
      <c r="K328" s="1653"/>
      <c r="L328" s="1653"/>
      <c r="M328" s="1653"/>
      <c r="N328" s="1653"/>
      <c r="O328" s="1653"/>
      <c r="P328" s="1653"/>
      <c r="Q328" s="1653"/>
      <c r="R328" s="1653"/>
      <c r="S328" s="16"/>
      <c r="T328" s="72" t="s">
        <v>415</v>
      </c>
      <c r="U328" s="16"/>
      <c r="V328" s="72"/>
      <c r="W328" s="72"/>
      <c r="X328" s="72"/>
      <c r="Y328" s="72"/>
      <c r="Z328" s="16"/>
      <c r="AA328" s="1653"/>
      <c r="AB328" s="1653"/>
      <c r="AC328" s="1653"/>
      <c r="AD328" s="1653"/>
      <c r="AE328" s="1653"/>
      <c r="AF328" s="1653"/>
      <c r="AG328" s="1653"/>
      <c r="AH328" s="1653"/>
      <c r="AI328" s="1653"/>
      <c r="AJ328" s="1653"/>
      <c r="AK328" s="1653"/>
      <c r="AL328" s="327"/>
      <c r="AM328" s="137"/>
      <c r="AN328" s="439"/>
    </row>
    <row r="329" spans="1:76" s="46" customFormat="1" ht="12.75" customHeight="1">
      <c r="A329" s="153"/>
      <c r="B329" s="72" t="s">
        <v>416</v>
      </c>
      <c r="C329" s="72"/>
      <c r="D329" s="72"/>
      <c r="E329" s="72"/>
      <c r="F329" s="72"/>
      <c r="G329" s="72"/>
      <c r="H329" s="1655"/>
      <c r="I329" s="1655"/>
      <c r="J329" s="1655"/>
      <c r="K329" s="1655"/>
      <c r="L329" s="1655"/>
      <c r="M329" s="1655"/>
      <c r="N329" s="8" t="s">
        <v>892</v>
      </c>
      <c r="O329" s="8"/>
      <c r="P329" s="1659"/>
      <c r="Q329" s="1659"/>
      <c r="R329" s="1659"/>
      <c r="S329" s="72"/>
      <c r="T329" s="72" t="s">
        <v>416</v>
      </c>
      <c r="U329" s="16"/>
      <c r="V329" s="72"/>
      <c r="W329" s="72"/>
      <c r="X329" s="72"/>
      <c r="Y329" s="72"/>
      <c r="Z329" s="16"/>
      <c r="AA329" s="1655"/>
      <c r="AB329" s="1655"/>
      <c r="AC329" s="1655"/>
      <c r="AD329" s="1655"/>
      <c r="AE329" s="1655"/>
      <c r="AF329" s="1655"/>
      <c r="AG329" s="8" t="s">
        <v>892</v>
      </c>
      <c r="AH329" s="8"/>
      <c r="AI329" s="1659"/>
      <c r="AJ329" s="1659"/>
      <c r="AK329" s="1659"/>
      <c r="AL329" s="327"/>
      <c r="AM329" s="137"/>
      <c r="AN329" s="439"/>
    </row>
    <row r="330" spans="1:76" s="137" customFormat="1" ht="12.75" customHeight="1">
      <c r="A330" s="153"/>
      <c r="B330" s="72" t="s">
        <v>99</v>
      </c>
      <c r="C330" s="72"/>
      <c r="D330" s="72"/>
      <c r="E330" s="72"/>
      <c r="F330" s="72"/>
      <c r="G330" s="72"/>
      <c r="H330" s="1653"/>
      <c r="I330" s="1653"/>
      <c r="J330" s="1653"/>
      <c r="K330" s="1653"/>
      <c r="L330" s="1653"/>
      <c r="M330" s="1653"/>
      <c r="N330" s="1653"/>
      <c r="O330" s="1653"/>
      <c r="P330" s="1653"/>
      <c r="Q330" s="1653"/>
      <c r="R330" s="1653"/>
      <c r="S330" s="72"/>
      <c r="T330" s="72" t="s">
        <v>99</v>
      </c>
      <c r="U330" s="16"/>
      <c r="V330" s="72"/>
      <c r="W330" s="72"/>
      <c r="X330" s="72"/>
      <c r="Y330" s="72"/>
      <c r="Z330" s="16"/>
      <c r="AA330" s="1653"/>
      <c r="AB330" s="1653"/>
      <c r="AC330" s="1653"/>
      <c r="AD330" s="1653"/>
      <c r="AE330" s="1653"/>
      <c r="AF330" s="1653"/>
      <c r="AG330" s="1653"/>
      <c r="AH330" s="1653"/>
      <c r="AI330" s="1653"/>
      <c r="AJ330" s="1653"/>
      <c r="AK330" s="1653"/>
      <c r="AL330" s="327"/>
      <c r="AN330" s="1089"/>
    </row>
    <row r="331" spans="1:76" s="46" customFormat="1" ht="12.75" customHeight="1">
      <c r="A331" s="153"/>
      <c r="B331" s="72" t="s">
        <v>101</v>
      </c>
      <c r="C331" s="72"/>
      <c r="D331" s="72"/>
      <c r="E331" s="72"/>
      <c r="F331" s="72"/>
      <c r="G331" s="72"/>
      <c r="H331" s="1653"/>
      <c r="I331" s="1653"/>
      <c r="J331" s="1653"/>
      <c r="K331" s="1653"/>
      <c r="L331" s="1653"/>
      <c r="M331" s="1653"/>
      <c r="N331" s="1653"/>
      <c r="O331" s="1653"/>
      <c r="P331" s="1653"/>
      <c r="Q331" s="1653"/>
      <c r="R331" s="1653"/>
      <c r="S331" s="72"/>
      <c r="T331" s="72" t="s">
        <v>101</v>
      </c>
      <c r="U331" s="16"/>
      <c r="V331" s="72"/>
      <c r="W331" s="72"/>
      <c r="X331" s="72"/>
      <c r="Y331" s="72"/>
      <c r="Z331" s="16"/>
      <c r="AA331" s="1653"/>
      <c r="AB331" s="1653"/>
      <c r="AC331" s="1653"/>
      <c r="AD331" s="1653"/>
      <c r="AE331" s="1653"/>
      <c r="AF331" s="1653"/>
      <c r="AG331" s="1653"/>
      <c r="AH331" s="1653"/>
      <c r="AI331" s="1653"/>
      <c r="AJ331" s="1653"/>
      <c r="AK331" s="1653"/>
      <c r="AL331" s="327"/>
      <c r="AM331" s="137"/>
      <c r="AN331" s="439"/>
    </row>
    <row r="332" spans="1:76" s="46" customFormat="1" ht="12.75" customHeight="1">
      <c r="A332" s="153"/>
      <c r="B332" s="72" t="s">
        <v>112</v>
      </c>
      <c r="C332" s="72"/>
      <c r="D332" s="72"/>
      <c r="E332" s="72"/>
      <c r="F332" s="72"/>
      <c r="G332" s="72"/>
      <c r="H332" s="2372"/>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405</v>
      </c>
      <c r="AF335" s="2373"/>
      <c r="AG335" s="2373"/>
      <c r="AH335" s="2373"/>
      <c r="AI335" s="2373"/>
      <c r="AJ335" s="2373"/>
      <c r="AK335" s="2373"/>
      <c r="AL335" s="152"/>
      <c r="AM335" s="1371"/>
      <c r="AN335" s="152"/>
    </row>
    <row r="336" spans="1:76" s="46" customFormat="1" ht="12.75" customHeight="1">
      <c r="A336" s="152"/>
      <c r="B336" s="161"/>
      <c r="C336" s="2374" t="s">
        <v>2018</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2019</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2020</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2021</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1"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983</v>
      </c>
      <c r="AP356" s="1119">
        <f>IF(C381="Yes",5,0)</f>
        <v>0</v>
      </c>
      <c r="AQ356" s="137"/>
      <c r="AR356" s="137"/>
      <c r="AS356" s="63" t="s">
        <v>1945</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0">
        <f>IF(AQ370=0,AQ383,AQ370)</f>
        <v>10</v>
      </c>
      <c r="AT357" s="2370"/>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984</v>
      </c>
      <c r="AP358" s="1119">
        <f>IF(C391="Yes",5,0)</f>
        <v>0</v>
      </c>
      <c r="AS358" s="63" t="s">
        <v>1979</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0">
        <f>IF(AND(AQ370&gt;0,AQ383&gt;0),(AQ370+AQ383)/2,0)</f>
        <v>0</v>
      </c>
      <c r="AT359" s="2370"/>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990</v>
      </c>
      <c r="AP360" s="1119">
        <f>IF(C401="Yes",7,0)</f>
        <v>7</v>
      </c>
      <c r="AQ360" s="137"/>
      <c r="AR360" s="137"/>
    </row>
    <row r="361" spans="1:46" s="46" customFormat="1" ht="12.75" customHeight="1">
      <c r="A361" s="163"/>
      <c r="B361" s="144"/>
      <c r="C361" s="2374" t="s">
        <v>2022</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476</v>
      </c>
      <c r="AP363" s="1119">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3</v>
      </c>
    </row>
    <row r="365" spans="1:46" s="46" customFormat="1" ht="12.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187</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479</v>
      </c>
      <c r="AP367" s="1119">
        <f>IF(C425="Yes",5,0)</f>
        <v>0</v>
      </c>
    </row>
    <row r="368" spans="1:46" s="46" customFormat="1" ht="12.75" customHeight="1">
      <c r="A368" s="163"/>
      <c r="B368" s="144"/>
      <c r="C368" s="2374" t="s">
        <v>2023</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671</v>
      </c>
      <c r="AP370" s="1123">
        <f>SUM(AP356:AP369)</f>
        <v>10</v>
      </c>
      <c r="AQ370" s="2359">
        <f>IF(AP370&gt;0,AP370,0)</f>
        <v>10</v>
      </c>
      <c r="AR370" s="2359"/>
    </row>
    <row r="371" spans="1:153" s="46" customFormat="1" ht="12.5" customHeight="1">
      <c r="A371" s="163"/>
      <c r="B371" s="144"/>
      <c r="C371" s="435" t="s">
        <v>1627</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68">
        <f>Application!CQ650-U373</f>
        <v>133</v>
      </c>
      <c r="V372" s="2368"/>
      <c r="W372" s="236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369">
        <f>Application!AG734</f>
        <v>0</v>
      </c>
      <c r="V373" s="2369"/>
      <c r="W373" s="2369"/>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4" t="s">
        <v>1954</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7" t="s">
        <v>135</v>
      </c>
      <c r="D381" s="1658"/>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0" t="s">
        <v>354</v>
      </c>
      <c r="AG381" s="2360"/>
      <c r="AH381" s="2360"/>
      <c r="AI381" s="2360"/>
      <c r="AJ381" s="2360"/>
      <c r="AK381" s="2360"/>
      <c r="AL381" s="2361"/>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59">
        <f>IF(AP383&gt;0,AP383,0)</f>
        <v>0</v>
      </c>
      <c r="AR383" s="235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4" t="s">
        <v>1953</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7" t="s">
        <v>135</v>
      </c>
      <c r="D391" s="1658"/>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0" t="s">
        <v>354</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5"/>
      <c r="AG393" s="2395"/>
      <c r="AH393" s="2395"/>
      <c r="AI393" s="2395"/>
      <c r="AJ393" s="2395"/>
      <c r="AK393" s="2395"/>
      <c r="AL393" s="239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9" t="s">
        <v>2156</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7" t="s">
        <v>119</v>
      </c>
      <c r="D401" s="1658"/>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0" t="s">
        <v>1046</v>
      </c>
      <c r="AG401" s="2360"/>
      <c r="AH401" s="2360"/>
      <c r="AI401" s="2360"/>
      <c r="AJ401" s="2360"/>
      <c r="AK401" s="2360"/>
      <c r="AL401" s="2361"/>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7" t="s">
        <v>135</v>
      </c>
      <c r="D403" s="1658"/>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0" t="s">
        <v>354</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4" t="s">
        <v>1952</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
      <c r="A409" s="8"/>
      <c r="C409" s="1143"/>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7" t="s">
        <v>135</v>
      </c>
      <c r="D411" s="1658"/>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0" t="s">
        <v>354</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7" t="s">
        <v>119</v>
      </c>
      <c r="D413" s="1658"/>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0" t="s">
        <v>1045</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7" t="s">
        <v>135</v>
      </c>
      <c r="D416" s="1658"/>
      <c r="E416" s="1137" t="s">
        <v>209</v>
      </c>
      <c r="F416" s="2344" t="s">
        <v>1956</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62" t="s">
        <v>354</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3"/>
      <c r="AG419" s="1152"/>
      <c r="AH419" s="1154"/>
      <c r="AI419" s="1154"/>
      <c r="AJ419" s="1154"/>
      <c r="AK419" s="1154"/>
      <c r="AL419" s="1155"/>
      <c r="AM419" s="16"/>
      <c r="AN419" s="439"/>
    </row>
    <row r="420" spans="1:153" ht="13.1">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4" t="s">
        <v>1958</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158"/>
      <c r="AG421" s="1158"/>
      <c r="AH421" s="1158"/>
      <c r="AI421" s="1158"/>
      <c r="AJ421" s="1158"/>
      <c r="AK421" s="1158"/>
      <c r="AL421" s="1159"/>
      <c r="AM421" s="16"/>
    </row>
    <row r="422" spans="1:153" ht="13.1">
      <c r="A422" s="8"/>
      <c r="C422" s="1143"/>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44"/>
      <c r="AM422" s="16"/>
    </row>
    <row r="423" spans="1:153" s="46" customFormat="1" ht="12.75" customHeight="1">
      <c r="A423" s="8"/>
      <c r="B423" s="65"/>
      <c r="C423" s="1143"/>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44"/>
      <c r="AM423" s="16"/>
      <c r="AN423" s="439"/>
    </row>
    <row r="424" spans="1:153" s="46" customFormat="1" ht="12.75" customHeight="1">
      <c r="A424" s="8"/>
      <c r="B424" s="65"/>
      <c r="C424" s="1147"/>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44"/>
      <c r="AM424" s="16"/>
      <c r="AN424" s="439"/>
    </row>
    <row r="425" spans="1:153" s="46" customFormat="1" ht="12.75" customHeight="1">
      <c r="A425" s="8"/>
      <c r="B425" s="65"/>
      <c r="C425" s="2347" t="s">
        <v>135</v>
      </c>
      <c r="D425" s="1658"/>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2" t="s">
        <v>354</v>
      </c>
      <c r="AG425" s="2362"/>
      <c r="AH425" s="2362"/>
      <c r="AI425" s="2362"/>
      <c r="AJ425" s="2362"/>
      <c r="AK425" s="2362"/>
      <c r="AL425" s="2363"/>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7" t="s">
        <v>135</v>
      </c>
      <c r="D427" s="1658"/>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2" t="s">
        <v>1045</v>
      </c>
      <c r="AG427" s="2362"/>
      <c r="AH427" s="2362"/>
      <c r="AI427" s="2362"/>
      <c r="AJ427" s="2362"/>
      <c r="AK427" s="2362"/>
      <c r="AL427" s="2363"/>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4" t="s">
        <v>1959</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4"/>
      <c r="AM433" s="16"/>
      <c r="AN433" s="439"/>
      <c r="AO433" s="162"/>
      <c r="AP433" s="162"/>
    </row>
    <row r="434" spans="1:60" s="46" customFormat="1" ht="12.75" customHeight="1">
      <c r="A434" s="8"/>
      <c r="B434" s="118"/>
      <c r="C434" s="2347" t="s">
        <v>135</v>
      </c>
      <c r="D434" s="1658"/>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2" t="s">
        <v>354</v>
      </c>
      <c r="AG434" s="2362"/>
      <c r="AH434" s="2362"/>
      <c r="AI434" s="2362"/>
      <c r="AJ434" s="2362"/>
      <c r="AK434" s="2362"/>
      <c r="AL434" s="2363"/>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 customHeight="1">
      <c r="A437" s="8"/>
      <c r="B437" s="118"/>
      <c r="C437" s="1157"/>
      <c r="D437" s="1158"/>
      <c r="E437" s="1137" t="s">
        <v>728</v>
      </c>
      <c r="F437" s="2344" t="s">
        <v>1960</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8"/>
      <c r="AG437" s="1158"/>
      <c r="AH437" s="1158"/>
      <c r="AI437" s="1158"/>
      <c r="AJ437" s="1158"/>
      <c r="AK437" s="1158"/>
      <c r="AL437" s="1159"/>
      <c r="AM437" s="16"/>
      <c r="AO437" s="162"/>
      <c r="AP437" s="162"/>
      <c r="BD437" s="65"/>
      <c r="BE437" s="65"/>
      <c r="BF437" s="65"/>
      <c r="BG437" s="65"/>
      <c r="BH437" s="65"/>
    </row>
    <row r="438" spans="1:60" ht="13.1">
      <c r="A438" s="8"/>
      <c r="B438" s="118"/>
      <c r="C438" s="1165"/>
      <c r="D438" s="1166"/>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5"/>
      <c r="AG442" s="1265"/>
      <c r="AH442" s="1265"/>
      <c r="AI442" s="1265"/>
      <c r="AJ442" s="1265"/>
      <c r="AK442" s="1265"/>
      <c r="AL442" s="1272"/>
      <c r="AM442" s="16"/>
      <c r="AN442" s="439"/>
    </row>
    <row r="443" spans="1:60" s="46" customFormat="1" ht="12.75" customHeight="1">
      <c r="A443" s="8"/>
      <c r="B443" s="118"/>
      <c r="C443" s="1273"/>
      <c r="D443" s="1266"/>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5"/>
      <c r="AG443" s="1265"/>
      <c r="AH443" s="1265"/>
      <c r="AI443" s="1265"/>
      <c r="AJ443" s="1265"/>
      <c r="AK443" s="1265"/>
      <c r="AL443" s="1272"/>
      <c r="AM443" s="16"/>
      <c r="AN443" s="439"/>
    </row>
    <row r="444" spans="1:60" s="46" customFormat="1" ht="12.75" customHeight="1">
      <c r="A444" s="8"/>
      <c r="B444" s="118"/>
      <c r="C444" s="1273"/>
      <c r="D444" s="1266"/>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5"/>
      <c r="AG444" s="1265"/>
      <c r="AH444" s="1265"/>
      <c r="AI444" s="1265"/>
      <c r="AJ444" s="1265"/>
      <c r="AK444" s="1265"/>
      <c r="AL444" s="1272"/>
      <c r="AM444" s="16"/>
      <c r="AN444" s="439"/>
    </row>
    <row r="445" spans="1:60" s="46" customFormat="1" ht="17.25" customHeight="1">
      <c r="A445" s="8"/>
      <c r="B445" s="118"/>
      <c r="C445" s="1273"/>
      <c r="D445" s="1266"/>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4"/>
      <c r="AM445" s="16"/>
      <c r="AN445" s="439"/>
    </row>
    <row r="446" spans="1:60" s="46" customFormat="1" ht="12.75" customHeight="1">
      <c r="A446" s="8"/>
      <c r="B446" s="65"/>
      <c r="C446" s="2347" t="s">
        <v>135</v>
      </c>
      <c r="D446" s="1658"/>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354</v>
      </c>
      <c r="AG446" s="2362"/>
      <c r="AH446" s="2362"/>
      <c r="AI446" s="2362"/>
      <c r="AJ446" s="2362"/>
      <c r="AK446" s="2362"/>
      <c r="AL446" s="2363"/>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4" t="s">
        <v>1963</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6"/>
      <c r="AG449" s="1136"/>
      <c r="AH449" s="1136"/>
      <c r="AI449" s="1136"/>
      <c r="AJ449" s="1136"/>
      <c r="AK449" s="1136"/>
      <c r="AL449" s="1164"/>
      <c r="AM449" s="16"/>
      <c r="AN449" s="439"/>
    </row>
    <row r="450" spans="1:49" s="46" customFormat="1" ht="12.75" customHeight="1">
      <c r="A450" s="8"/>
      <c r="B450" s="118"/>
      <c r="C450" s="1273"/>
      <c r="D450" s="1266"/>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7"/>
      <c r="AG450" s="1267"/>
      <c r="AH450" s="1267"/>
      <c r="AI450" s="1267"/>
      <c r="AJ450" s="1267"/>
      <c r="AK450" s="1267"/>
      <c r="AL450" s="1268"/>
      <c r="AM450" s="16"/>
      <c r="AN450" s="439"/>
    </row>
    <row r="451" spans="1:49" s="46" customFormat="1" ht="12.75" customHeight="1">
      <c r="A451" s="8"/>
      <c r="B451" s="118"/>
      <c r="C451" s="1273"/>
      <c r="D451" s="1266"/>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7"/>
      <c r="AG451" s="1267"/>
      <c r="AH451" s="1267"/>
      <c r="AI451" s="1267"/>
      <c r="AJ451" s="1267"/>
      <c r="AK451" s="1267"/>
      <c r="AL451" s="1268"/>
      <c r="AM451" s="16"/>
      <c r="AN451" s="439"/>
    </row>
    <row r="452" spans="1:49" s="46" customFormat="1" ht="12.75" customHeight="1">
      <c r="A452" s="8"/>
      <c r="B452" s="118"/>
      <c r="C452" s="1273"/>
      <c r="D452" s="1266"/>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4"/>
      <c r="AM452" s="16"/>
      <c r="AN452" s="439"/>
    </row>
    <row r="453" spans="1:49" s="162" customFormat="1" ht="12.75" customHeight="1">
      <c r="A453" s="8"/>
      <c r="B453" s="118"/>
      <c r="C453" s="2347" t="s">
        <v>135</v>
      </c>
      <c r="D453" s="1658"/>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2" t="s">
        <v>354</v>
      </c>
      <c r="AG453" s="2362"/>
      <c r="AH453" s="2362"/>
      <c r="AI453" s="2362"/>
      <c r="AJ453" s="2362"/>
      <c r="AK453" s="2362"/>
      <c r="AL453" s="2363"/>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5" t="s">
        <v>135</v>
      </c>
      <c r="D457" s="2356"/>
      <c r="E457" s="1137" t="s">
        <v>1050</v>
      </c>
      <c r="F457" s="2344" t="s">
        <v>1052</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366" t="s">
        <v>354</v>
      </c>
      <c r="AG457" s="2366"/>
      <c r="AH457" s="2366"/>
      <c r="AI457" s="2366"/>
      <c r="AJ457" s="2366"/>
      <c r="AK457" s="2366"/>
      <c r="AL457" s="2367"/>
      <c r="AM457" s="16"/>
      <c r="AN457" s="1094"/>
      <c r="AO457" s="162"/>
      <c r="AP457" s="162"/>
      <c r="AQ457" s="249"/>
    </row>
    <row r="458" spans="1:49" s="137" customFormat="1" ht="12.75" customHeight="1">
      <c r="A458" s="8"/>
      <c r="B458" s="118"/>
      <c r="C458" s="1273"/>
      <c r="D458" s="1266"/>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5" t="s">
        <v>135</v>
      </c>
      <c r="D461" s="2356"/>
      <c r="E461" s="1137" t="s">
        <v>1051</v>
      </c>
      <c r="F461" s="2344" t="s">
        <v>2005</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366" t="s">
        <v>354</v>
      </c>
      <c r="AG461" s="2366"/>
      <c r="AH461" s="2366"/>
      <c r="AI461" s="2366"/>
      <c r="AJ461" s="2366"/>
      <c r="AK461" s="2366"/>
      <c r="AL461" s="2367"/>
      <c r="AM461" s="16"/>
      <c r="AN461" s="1097"/>
      <c r="AO461" s="46" t="s">
        <v>1442</v>
      </c>
      <c r="AP461" s="46">
        <v>5</v>
      </c>
      <c r="AQ461" s="251"/>
    </row>
    <row r="462" spans="1:49" s="46" customFormat="1" ht="12.75" customHeight="1">
      <c r="A462" s="8"/>
      <c r="B462" s="65"/>
      <c r="C462" s="1143"/>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1049</v>
      </c>
      <c r="F466" s="2364" t="s">
        <v>2006</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7" t="s">
        <v>135</v>
      </c>
      <c r="D470" s="1658"/>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0" t="s">
        <v>354</v>
      </c>
      <c r="AG470" s="2360"/>
      <c r="AH470" s="2360"/>
      <c r="AI470" s="2360"/>
      <c r="AJ470" s="2360"/>
      <c r="AK470" s="2360"/>
      <c r="AL470" s="2361"/>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7">
        <f>IF(AS359=0,AS357,AS359)</f>
        <v>10</v>
      </c>
      <c r="AL476" s="2318"/>
      <c r="AM476" s="231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1358</v>
      </c>
      <c r="AF479" s="2395"/>
      <c r="AG479" s="2395"/>
      <c r="AH479" s="2395"/>
      <c r="AI479" s="2395"/>
      <c r="AJ479" s="2395"/>
      <c r="AK479" s="2395"/>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293" t="s">
        <v>135</v>
      </c>
      <c r="D485" s="2294"/>
      <c r="E485" s="1203" t="s">
        <v>211</v>
      </c>
      <c r="F485" s="2324" t="s">
        <v>1055</v>
      </c>
      <c r="G485" s="2324"/>
      <c r="H485" s="2324"/>
      <c r="I485" s="2324"/>
      <c r="J485" s="2324"/>
      <c r="K485" s="2324"/>
      <c r="L485" s="2324"/>
      <c r="M485" s="2324"/>
      <c r="N485" s="2324"/>
      <c r="O485" s="2324"/>
      <c r="P485" s="2324"/>
      <c r="Q485" s="2324"/>
      <c r="R485" s="2324"/>
      <c r="S485" s="2324"/>
      <c r="T485" s="2324"/>
      <c r="U485" s="2324"/>
      <c r="V485" s="2324"/>
      <c r="W485" s="2324"/>
      <c r="X485" s="2324"/>
      <c r="Y485" s="2324"/>
      <c r="Z485" s="2324"/>
      <c r="AA485" s="2324"/>
      <c r="AB485" s="2324"/>
      <c r="AC485" s="2324"/>
      <c r="AD485" s="2324"/>
      <c r="AE485" s="2324"/>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5"/>
      <c r="G486" s="2325"/>
      <c r="H486" s="2325"/>
      <c r="I486" s="2325"/>
      <c r="J486" s="2325"/>
      <c r="K486" s="2325"/>
      <c r="L486" s="2325"/>
      <c r="M486" s="2325"/>
      <c r="N486" s="2325"/>
      <c r="O486" s="2325"/>
      <c r="P486" s="2325"/>
      <c r="Q486" s="2325"/>
      <c r="R486" s="2325"/>
      <c r="S486" s="2325"/>
      <c r="T486" s="2325"/>
      <c r="U486" s="2325"/>
      <c r="V486" s="2325"/>
      <c r="W486" s="2325"/>
      <c r="X486" s="2325"/>
      <c r="Y486" s="2325"/>
      <c r="Z486" s="2325"/>
      <c r="AA486" s="2325"/>
      <c r="AB486" s="2325"/>
      <c r="AC486" s="2325"/>
      <c r="AD486" s="2325"/>
      <c r="AE486" s="2325"/>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298" t="s">
        <v>135</v>
      </c>
      <c r="G487" s="2298"/>
      <c r="H487" s="2298"/>
      <c r="I487" s="2298"/>
      <c r="J487" s="2298"/>
      <c r="K487" s="2298"/>
      <c r="L487" s="2298"/>
      <c r="M487" s="2298"/>
      <c r="N487" s="2298"/>
      <c r="O487" s="2298"/>
      <c r="P487" s="2298"/>
      <c r="Q487" s="2298"/>
      <c r="R487" s="2298"/>
      <c r="S487" s="2298"/>
      <c r="T487" s="2298"/>
      <c r="U487" s="2298"/>
      <c r="V487" s="2298"/>
      <c r="W487" s="2298"/>
      <c r="X487" s="2298"/>
      <c r="Y487" s="2298"/>
      <c r="Z487" s="2298"/>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5" t="s">
        <v>119</v>
      </c>
      <c r="D489" s="2356"/>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5" t="s">
        <v>135</v>
      </c>
      <c r="W492" s="2295"/>
      <c r="X492" s="2295"/>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5" t="s">
        <v>135</v>
      </c>
      <c r="W494" s="2295"/>
      <c r="X494" s="2295"/>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295" t="s">
        <v>135</v>
      </c>
      <c r="W499" s="2295"/>
      <c r="X499" s="2295"/>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6"/>
      <c r="E502" s="2076"/>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5" t="s">
        <v>135</v>
      </c>
      <c r="W503" s="2295"/>
      <c r="X503" s="2295"/>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5" t="s">
        <v>135</v>
      </c>
      <c r="W505" s="2295"/>
      <c r="X505" s="2295"/>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1" t="s">
        <v>718</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3" t="s">
        <v>135</v>
      </c>
      <c r="D508" s="2294"/>
      <c r="E508" s="1190" t="s">
        <v>211</v>
      </c>
      <c r="F508" s="2324" t="s">
        <v>1055</v>
      </c>
      <c r="G508" s="2324"/>
      <c r="H508" s="2324"/>
      <c r="I508" s="2324"/>
      <c r="J508" s="2324"/>
      <c r="K508" s="2324"/>
      <c r="L508" s="2324"/>
      <c r="M508" s="2324"/>
      <c r="N508" s="2324"/>
      <c r="O508" s="2324"/>
      <c r="P508" s="2324"/>
      <c r="Q508" s="2324"/>
      <c r="R508" s="2324"/>
      <c r="S508" s="2324"/>
      <c r="T508" s="2324"/>
      <c r="U508" s="2324"/>
      <c r="V508" s="2324"/>
      <c r="W508" s="2324"/>
      <c r="X508" s="2324"/>
      <c r="Y508" s="2324"/>
      <c r="Z508" s="2324"/>
      <c r="AA508" s="2324"/>
      <c r="AB508" s="2324"/>
      <c r="AC508" s="2324"/>
      <c r="AD508" s="2324"/>
      <c r="AE508" s="232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5"/>
      <c r="G509" s="2325"/>
      <c r="H509" s="2325"/>
      <c r="I509" s="2325"/>
      <c r="J509" s="2325"/>
      <c r="K509" s="2325"/>
      <c r="L509" s="2325"/>
      <c r="M509" s="2325"/>
      <c r="N509" s="2325"/>
      <c r="O509" s="2325"/>
      <c r="P509" s="2325"/>
      <c r="Q509" s="2325"/>
      <c r="R509" s="2325"/>
      <c r="S509" s="2325"/>
      <c r="T509" s="2325"/>
      <c r="U509" s="2325"/>
      <c r="V509" s="2325"/>
      <c r="W509" s="2325"/>
      <c r="X509" s="2325"/>
      <c r="Y509" s="2325"/>
      <c r="Z509" s="2325"/>
      <c r="AA509" s="2325"/>
      <c r="AB509" s="2325"/>
      <c r="AC509" s="2325"/>
      <c r="AD509" s="2325"/>
      <c r="AE509" s="2325"/>
      <c r="AF509" s="162"/>
      <c r="AG509" s="27"/>
      <c r="AH509" s="27"/>
      <c r="AI509" s="27"/>
      <c r="AJ509" s="27"/>
      <c r="AK509" s="1144"/>
      <c r="AL509" s="162"/>
      <c r="AM509" s="46"/>
      <c r="AN509" s="1084"/>
      <c r="AO509" s="132"/>
      <c r="AP509" s="2530" t="s">
        <v>1635</v>
      </c>
      <c r="AQ509" s="2531"/>
      <c r="AR509" s="2532"/>
      <c r="AS509" s="951">
        <v>80</v>
      </c>
      <c r="AT509" s="46">
        <v>0</v>
      </c>
      <c r="AU509" s="243">
        <v>10</v>
      </c>
      <c r="AV509" s="243">
        <v>25</v>
      </c>
      <c r="AW509" s="243">
        <v>37.5</v>
      </c>
      <c r="AX509" s="243">
        <v>35</v>
      </c>
      <c r="AY509" s="243">
        <v>37.5</v>
      </c>
      <c r="AZ509" s="243">
        <v>50</v>
      </c>
      <c r="BA509" s="243">
        <v>50</v>
      </c>
      <c r="BB509" s="65"/>
      <c r="BC509" s="65"/>
      <c r="BE509" s="2530" t="s">
        <v>1635</v>
      </c>
      <c r="BF509" s="2531"/>
      <c r="BG509" s="253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2" t="s">
        <v>135</v>
      </c>
      <c r="G510" s="2322"/>
      <c r="H510" s="2322"/>
      <c r="I510" s="2322"/>
      <c r="J510" s="2322"/>
      <c r="K510" s="2322"/>
      <c r="L510" s="2322"/>
      <c r="M510" s="2322"/>
      <c r="N510" s="2322"/>
      <c r="O510" s="2322"/>
      <c r="P510" s="2322"/>
      <c r="Q510" s="2322"/>
      <c r="R510" s="2322"/>
      <c r="S510" s="2322"/>
      <c r="T510" s="2322"/>
      <c r="U510" s="2322"/>
      <c r="V510" s="2322"/>
      <c r="W510" s="2322"/>
      <c r="X510" s="2322"/>
      <c r="Y510" s="2322"/>
      <c r="Z510" s="2322"/>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8"/>
      <c r="AQ510" s="2349"/>
      <c r="AR510" s="2350"/>
      <c r="AS510" s="951">
        <v>75</v>
      </c>
      <c r="AT510" s="46">
        <v>0</v>
      </c>
      <c r="AU510" s="243">
        <v>10</v>
      </c>
      <c r="AV510" s="243">
        <v>25</v>
      </c>
      <c r="AW510" s="243">
        <v>37.5</v>
      </c>
      <c r="AX510" s="243">
        <v>35</v>
      </c>
      <c r="AY510" s="243">
        <v>37.5</v>
      </c>
      <c r="AZ510" s="243">
        <v>50</v>
      </c>
      <c r="BA510" s="243">
        <v>50</v>
      </c>
      <c r="BB510" s="65"/>
      <c r="BC510" s="65"/>
      <c r="BE510" s="2348"/>
      <c r="BF510" s="2349"/>
      <c r="BG510" s="235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8"/>
      <c r="AQ511" s="2349"/>
      <c r="AR511" s="2350"/>
      <c r="AS511" s="951">
        <v>70</v>
      </c>
      <c r="AT511" s="46">
        <v>0</v>
      </c>
      <c r="AU511" s="243">
        <v>10</v>
      </c>
      <c r="AV511" s="243">
        <v>25</v>
      </c>
      <c r="AW511" s="243">
        <v>37.5</v>
      </c>
      <c r="AX511" s="243">
        <v>35</v>
      </c>
      <c r="AY511" s="243">
        <v>37.5</v>
      </c>
      <c r="AZ511" s="243">
        <v>50</v>
      </c>
      <c r="BA511" s="243">
        <v>50</v>
      </c>
      <c r="BB511" s="65"/>
      <c r="BC511" s="65"/>
      <c r="BE511" s="2348"/>
      <c r="BF511" s="2349"/>
      <c r="BG511" s="235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3" t="s">
        <v>135</v>
      </c>
      <c r="D512" s="2294"/>
      <c r="E512" s="1190" t="s">
        <v>335</v>
      </c>
      <c r="F512" s="2357" t="s">
        <v>1253</v>
      </c>
      <c r="G512" s="2357"/>
      <c r="H512" s="2357"/>
      <c r="I512" s="2357"/>
      <c r="J512" s="2357"/>
      <c r="K512" s="2357"/>
      <c r="L512" s="2357"/>
      <c r="M512" s="2357"/>
      <c r="N512" s="2357"/>
      <c r="O512" s="2357"/>
      <c r="P512" s="2357"/>
      <c r="Q512" s="2357"/>
      <c r="R512" s="2357"/>
      <c r="S512" s="2357"/>
      <c r="T512" s="2357"/>
      <c r="U512" s="2357"/>
      <c r="V512" s="2357"/>
      <c r="W512" s="2357"/>
      <c r="X512" s="2357"/>
      <c r="Y512" s="2357"/>
      <c r="Z512" s="2357"/>
      <c r="AA512" s="2357"/>
      <c r="AB512" s="2357"/>
      <c r="AC512" s="2357"/>
      <c r="AD512" s="2357"/>
      <c r="AE512" s="2357"/>
      <c r="AF512" s="1136"/>
      <c r="AG512" s="1180"/>
      <c r="AH512" s="1180"/>
      <c r="AI512" s="1180"/>
      <c r="AJ512" s="1180"/>
      <c r="AK512" s="1164"/>
      <c r="AL512" s="162"/>
      <c r="AM512" s="46"/>
      <c r="AN512" s="1084"/>
      <c r="AO512" s="132"/>
      <c r="AP512" s="2348"/>
      <c r="AQ512" s="2349"/>
      <c r="AR512" s="2350"/>
      <c r="AS512" s="951">
        <v>65</v>
      </c>
      <c r="AT512" s="46">
        <v>0</v>
      </c>
      <c r="AU512" s="243">
        <v>10</v>
      </c>
      <c r="AV512" s="243">
        <v>25</v>
      </c>
      <c r="AW512" s="243">
        <v>37.5</v>
      </c>
      <c r="AX512" s="243">
        <v>35</v>
      </c>
      <c r="AY512" s="243">
        <v>37.5</v>
      </c>
      <c r="AZ512" s="243">
        <v>50</v>
      </c>
      <c r="BA512" s="243">
        <v>50</v>
      </c>
      <c r="BB512" s="65"/>
      <c r="BC512" s="65"/>
      <c r="BE512" s="2348"/>
      <c r="BF512" s="2349"/>
      <c r="BG512" s="235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8"/>
      <c r="G513" s="2358"/>
      <c r="H513" s="2358"/>
      <c r="I513" s="2358"/>
      <c r="J513" s="2358"/>
      <c r="K513" s="2358"/>
      <c r="L513" s="2358"/>
      <c r="M513" s="2358"/>
      <c r="N513" s="2358"/>
      <c r="O513" s="2358"/>
      <c r="P513" s="2358"/>
      <c r="Q513" s="2358"/>
      <c r="R513" s="2358"/>
      <c r="S513" s="2358"/>
      <c r="T513" s="2358"/>
      <c r="U513" s="2358"/>
      <c r="V513" s="2358"/>
      <c r="W513" s="2358"/>
      <c r="X513" s="2358"/>
      <c r="Y513" s="2358"/>
      <c r="Z513" s="2358"/>
      <c r="AA513" s="2358"/>
      <c r="AB513" s="2358"/>
      <c r="AC513" s="2358"/>
      <c r="AD513" s="2358"/>
      <c r="AE513" s="2358"/>
      <c r="AF513" s="162"/>
      <c r="AG513" s="27"/>
      <c r="AH513" s="27"/>
      <c r="AI513" s="27"/>
      <c r="AJ513" s="27"/>
      <c r="AK513" s="1144"/>
      <c r="AL513" s="162"/>
      <c r="AM513" s="46"/>
      <c r="AN513" s="1084"/>
      <c r="AO513" s="132"/>
      <c r="AP513" s="2348"/>
      <c r="AQ513" s="2349"/>
      <c r="AR513" s="2350"/>
      <c r="AS513" s="951">
        <v>60</v>
      </c>
      <c r="AT513" s="46">
        <v>0</v>
      </c>
      <c r="AU513" s="243">
        <v>10</v>
      </c>
      <c r="AV513" s="243">
        <v>25</v>
      </c>
      <c r="AW513" s="243">
        <v>37.5</v>
      </c>
      <c r="AX513" s="243">
        <v>35</v>
      </c>
      <c r="AY513" s="243">
        <v>37.5</v>
      </c>
      <c r="AZ513" s="243">
        <v>50</v>
      </c>
      <c r="BA513" s="243">
        <v>50</v>
      </c>
      <c r="BB513" s="65"/>
      <c r="BC513" s="65"/>
      <c r="BE513" s="2348"/>
      <c r="BF513" s="2349"/>
      <c r="BG513" s="235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8"/>
      <c r="AQ514" s="2349"/>
      <c r="AR514" s="2350"/>
      <c r="AS514" s="951">
        <v>55</v>
      </c>
      <c r="AT514" s="46">
        <v>0</v>
      </c>
      <c r="AU514" s="243">
        <v>10</v>
      </c>
      <c r="AV514" s="243">
        <v>25</v>
      </c>
      <c r="AW514" s="243">
        <v>37.5</v>
      </c>
      <c r="AX514" s="243">
        <v>35</v>
      </c>
      <c r="AY514" s="243">
        <v>37.5</v>
      </c>
      <c r="AZ514" s="243">
        <v>50</v>
      </c>
      <c r="BA514" s="243">
        <v>50</v>
      </c>
      <c r="BE514" s="2348"/>
      <c r="BF514" s="2349"/>
      <c r="BG514" s="235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 hidden="1">
      <c r="A515" s="28"/>
      <c r="B515" s="46"/>
      <c r="C515" s="1173"/>
      <c r="D515" s="1154"/>
      <c r="E515" s="1174"/>
      <c r="F515" s="2323" t="s">
        <v>135</v>
      </c>
      <c r="G515" s="2323"/>
      <c r="H515" s="2323"/>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 hidden="1">
      <c r="A517" s="28"/>
      <c r="B517" s="46"/>
      <c r="C517" s="2293" t="s">
        <v>135</v>
      </c>
      <c r="D517" s="2294"/>
      <c r="E517" s="1190" t="s">
        <v>1361</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 hidden="1">
      <c r="A519" s="153"/>
      <c r="B519" s="46"/>
      <c r="C519" s="2567"/>
      <c r="D519" s="2076"/>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3" t="s">
        <v>135</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44"/>
      <c r="AL520" s="162"/>
      <c r="AM520" s="46"/>
      <c r="AN520" s="1084"/>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135</v>
      </c>
      <c r="D522" s="2565"/>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1"/>
      <c r="AQ523" s="2352"/>
      <c r="AR523" s="2353"/>
      <c r="AS523" s="242">
        <v>10</v>
      </c>
      <c r="AT523" s="46">
        <v>0</v>
      </c>
      <c r="AU523" s="243">
        <v>2.5</v>
      </c>
      <c r="AV523" s="243">
        <v>5</v>
      </c>
      <c r="AW523" s="243">
        <v>7.5</v>
      </c>
      <c r="AX523" s="243">
        <v>10</v>
      </c>
      <c r="AY523" s="243">
        <v>12.5</v>
      </c>
      <c r="AZ523" s="243">
        <v>15</v>
      </c>
      <c r="BA523" s="243">
        <v>20</v>
      </c>
      <c r="BE523" s="2351"/>
      <c r="BF523" s="2352"/>
      <c r="BG523" s="235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4" t="s">
        <v>135</v>
      </c>
      <c r="D526" s="2565"/>
      <c r="E526" s="162"/>
      <c r="F526" s="767" t="s">
        <v>952</v>
      </c>
      <c r="G526" s="2330" t="s">
        <v>1066</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8">
        <f>BJ530</f>
        <v>47</v>
      </c>
      <c r="BE526" s="2558"/>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8">
        <f>SUM(E583:J591)</f>
        <v>47</v>
      </c>
      <c r="BE527" s="255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50">
        <v>0</v>
      </c>
      <c r="BK528" s="2551"/>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0">
        <f>Application!AG431</f>
        <v>0</v>
      </c>
      <c r="BK529" s="255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7" t="s">
        <v>135</v>
      </c>
      <c r="D530" s="1658"/>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0">
        <f>Application!AG433</f>
        <v>47</v>
      </c>
      <c r="BK530" s="2551"/>
      <c r="BM530" s="2408"/>
      <c r="BN530" s="2409"/>
      <c r="BO530" s="2408"/>
      <c r="BP530" s="2409"/>
      <c r="BQ530" s="2423"/>
      <c r="BR530" s="2425"/>
      <c r="BS530" s="2423"/>
      <c r="BT530" s="2425"/>
      <c r="BU530" s="2408">
        <f>IF(T610&gt;0,1,0)</f>
        <v>1</v>
      </c>
      <c r="BV530" s="2409"/>
      <c r="BW530" s="2408">
        <f>IF(Y610&gt;=0.1,1,0)</f>
        <v>0</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198"/>
      <c r="D531" s="153"/>
      <c r="E531" s="225"/>
      <c r="F531" s="1971" t="s">
        <v>135</v>
      </c>
      <c r="G531" s="1971"/>
      <c r="H531" s="1971"/>
      <c r="I531" s="1971"/>
      <c r="J531" s="1971"/>
      <c r="K531" s="1971"/>
      <c r="L531" s="1971"/>
      <c r="M531" s="1971"/>
      <c r="N531" s="1971"/>
      <c r="O531" s="1971"/>
      <c r="P531" s="1971"/>
      <c r="Q531" s="1971"/>
      <c r="R531" s="1971"/>
      <c r="S531" s="1971"/>
      <c r="T531" s="1971"/>
      <c r="U531" s="1971"/>
      <c r="V531" s="1971"/>
      <c r="W531" s="1971"/>
      <c r="X531" s="1971"/>
      <c r="Y531" s="1971"/>
      <c r="Z531" s="1971"/>
      <c r="AA531" s="1971"/>
      <c r="AB531" s="1971"/>
      <c r="AC531" s="1971"/>
      <c r="AD531" s="1971"/>
      <c r="AE531" s="1971"/>
      <c r="AF531" s="1971"/>
      <c r="AG531" s="27"/>
      <c r="AH531" s="27"/>
      <c r="AI531" s="27"/>
      <c r="AJ531" s="27"/>
      <c r="AK531" s="1144"/>
      <c r="AL531" s="162"/>
      <c r="AN531" s="439"/>
      <c r="BM531" s="2408"/>
      <c r="BN531" s="2409"/>
      <c r="BO531" s="2408"/>
      <c r="BP531" s="2409"/>
      <c r="BQ531" s="2423"/>
      <c r="BR531" s="2425"/>
      <c r="BS531" s="2423"/>
      <c r="BT531" s="2425"/>
      <c r="BU531" s="2408"/>
      <c r="BV531" s="2409"/>
      <c r="BW531" s="2408"/>
      <c r="BX531" s="2409"/>
      <c r="BY531" s="2459">
        <f>IF(T611&gt;0,1,0)</f>
        <v>0</v>
      </c>
      <c r="BZ531" s="2461"/>
      <c r="CA531" s="2459">
        <f>IF(Y611&gt;=0.1,1,0)</f>
        <v>0</v>
      </c>
      <c r="CB531" s="2461"/>
      <c r="CC531" s="2408"/>
      <c r="CD531" s="2409"/>
      <c r="CE531" s="2408"/>
      <c r="CF531" s="2409"/>
      <c r="CG531" s="16"/>
      <c r="CH531" s="16"/>
      <c r="CI531" s="16"/>
      <c r="CJ531" s="16"/>
      <c r="CW531" s="16"/>
    </row>
    <row r="532" spans="1:101" s="46" customFormat="1" ht="12.75" hidden="1" customHeight="1">
      <c r="A532" s="28"/>
      <c r="C532" s="1199"/>
      <c r="D532" s="1154"/>
      <c r="E532" s="1174"/>
      <c r="F532" s="2354"/>
      <c r="G532" s="2354"/>
      <c r="H532" s="2354"/>
      <c r="I532" s="2354"/>
      <c r="J532" s="2354"/>
      <c r="K532" s="2354"/>
      <c r="L532" s="2354"/>
      <c r="M532" s="2354"/>
      <c r="N532" s="2354"/>
      <c r="O532" s="2354"/>
      <c r="P532" s="2354"/>
      <c r="Q532" s="2354"/>
      <c r="R532" s="2354"/>
      <c r="S532" s="2354"/>
      <c r="T532" s="2354"/>
      <c r="U532" s="2354"/>
      <c r="V532" s="2354"/>
      <c r="W532" s="2354"/>
      <c r="X532" s="2354"/>
      <c r="Y532" s="2354"/>
      <c r="Z532" s="2354"/>
      <c r="AA532" s="2354"/>
      <c r="AB532" s="2354"/>
      <c r="AC532" s="2354"/>
      <c r="AD532" s="2354"/>
      <c r="AE532" s="2354"/>
      <c r="AF532" s="2354"/>
      <c r="AG532" s="1176"/>
      <c r="AH532" s="1176"/>
      <c r="AI532" s="1176"/>
      <c r="AJ532" s="1176"/>
      <c r="AK532" s="1155"/>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0</v>
      </c>
      <c r="CD532" s="2409"/>
      <c r="CE532" s="2408">
        <f>IF(Y612&gt;=0.1,1,0)</f>
        <v>0</v>
      </c>
      <c r="CF532" s="240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1</v>
      </c>
      <c r="BN533" s="2409"/>
      <c r="BO533" s="2408">
        <f>SUM(BO528:BP532)</f>
        <v>1</v>
      </c>
      <c r="BP533" s="2409"/>
      <c r="BQ533" s="2408">
        <f>SUM(BQ528:BR532)</f>
        <v>1</v>
      </c>
      <c r="BR533" s="2409"/>
      <c r="BS533" s="2408">
        <f>SUM(BS528:BT532)</f>
        <v>1</v>
      </c>
      <c r="BT533" s="2409"/>
      <c r="BU533" s="2408">
        <f>SUM(BU528:BV532)</f>
        <v>1</v>
      </c>
      <c r="BV533" s="2409"/>
      <c r="BW533" s="2408">
        <f>SUM(BW528:BX532)</f>
        <v>0</v>
      </c>
      <c r="BX533" s="2409"/>
      <c r="BY533" s="2408">
        <f>SUM(BY528:BZ532)</f>
        <v>0</v>
      </c>
      <c r="BZ533" s="2409"/>
      <c r="CA533" s="2408">
        <f>SUM(CA528:CB532)</f>
        <v>0</v>
      </c>
      <c r="CB533" s="2409"/>
      <c r="CC533" s="2408">
        <f>SUM(CC528:CD532)</f>
        <v>0</v>
      </c>
      <c r="CD533" s="2409"/>
      <c r="CE533" s="2408">
        <f>SUM(CE528:CF532)</f>
        <v>0</v>
      </c>
      <c r="CF533" s="2409"/>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500</v>
      </c>
      <c r="AQ534" s="2556"/>
      <c r="AR534" s="2556"/>
      <c r="AS534" s="2556"/>
      <c r="AT534" s="2557"/>
      <c r="AU534" s="2555" t="s">
        <v>501</v>
      </c>
      <c r="AV534" s="2556"/>
      <c r="AW534" s="2556"/>
      <c r="AX534" s="2556"/>
      <c r="AY534" s="2557"/>
      <c r="BM534" s="2423">
        <f>SUM(BM533:BP533)</f>
        <v>2</v>
      </c>
      <c r="BN534" s="2424"/>
      <c r="BO534" s="2424"/>
      <c r="BP534" s="2425"/>
      <c r="BQ534" s="2423">
        <f>SUM(BQ533:BT533)</f>
        <v>2</v>
      </c>
      <c r="BR534" s="2424"/>
      <c r="BS534" s="2424"/>
      <c r="BT534" s="2425"/>
      <c r="BU534" s="2423">
        <f>SUM(BU533:BX533)</f>
        <v>1</v>
      </c>
      <c r="BV534" s="2424"/>
      <c r="BW534" s="2424"/>
      <c r="BX534" s="2425"/>
      <c r="BY534" s="2423">
        <f>SUM(BY533:CB533)</f>
        <v>0</v>
      </c>
      <c r="BZ534" s="2424"/>
      <c r="CA534" s="2424"/>
      <c r="CB534" s="2425"/>
      <c r="CC534" s="2423">
        <f>SUM(CC533:CF533)</f>
        <v>0</v>
      </c>
      <c r="CD534" s="2424"/>
      <c r="CE534" s="2424"/>
      <c r="CF534" s="2425"/>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3</v>
      </c>
      <c r="AQ535" s="2553"/>
      <c r="AR535" s="2553"/>
      <c r="AS535" s="2553"/>
      <c r="AT535" s="2554"/>
      <c r="AU535" s="2552">
        <f>RANK(Y608,$Y$608:$AC$612,0)+COUNTIF($Y$608:$AC$612,Y608)-1</f>
        <v>2</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0</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1</v>
      </c>
      <c r="AQ536" s="2553"/>
      <c r="AR536" s="2553"/>
      <c r="AS536" s="2553"/>
      <c r="AT536" s="2554"/>
      <c r="AU536" s="2552">
        <f>RANK(Y609,$Y$608:$AC$612,0)+COUNTIF($Y$608:$AC$612,Y609)-1</f>
        <v>1</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0</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3</v>
      </c>
      <c r="AQ537" s="2553"/>
      <c r="AR537" s="2553"/>
      <c r="AS537" s="2553"/>
      <c r="AT537" s="2554"/>
      <c r="AU537" s="2552">
        <f>RANK(Y610,$Y$608:$AC$612,0)+COUNTIF($Y$608:$AC$612,Y610)-1</f>
        <v>3</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5</v>
      </c>
      <c r="AQ538" s="2553"/>
      <c r="AR538" s="2553"/>
      <c r="AS538" s="2553"/>
      <c r="AT538" s="2554"/>
      <c r="AU538" s="2552">
        <f>RANK(Y611,$Y$608:$AC$612,0)+COUNTIF($Y$608:$AC$612,Y611)-1</f>
        <v>5</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5</v>
      </c>
      <c r="AQ539" s="2553"/>
      <c r="AR539" s="2553"/>
      <c r="AS539" s="2553"/>
      <c r="AT539" s="2554"/>
      <c r="AU539" s="2552">
        <f>RANK(Y612,$Y$608:$AC$612,0)+COUNTIF($Y$608:$AC$612,Y612)-1</f>
        <v>5</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0</v>
      </c>
      <c r="BZ539" s="2424"/>
      <c r="CA539" s="2424"/>
      <c r="CB539" s="2425"/>
      <c r="CC539" s="2423">
        <f>SUM(CC535:CF538)</f>
        <v>0</v>
      </c>
      <c r="CD539" s="2424"/>
      <c r="CE539" s="2424"/>
      <c r="CF539" s="2425"/>
      <c r="CG539" s="2423">
        <f>SUM(BM539:CF539)</f>
        <v>0</v>
      </c>
      <c r="CH539" s="2424"/>
      <c r="CI539" s="2424"/>
      <c r="CJ539" s="2425"/>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7">
        <f>SUM(AG486:AG531)</f>
        <v>0</v>
      </c>
      <c r="AL542" s="2318"/>
      <c r="AM542" s="2319"/>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08">
        <f>SUM(O608:S612)</f>
        <v>47</v>
      </c>
      <c r="AZ543" s="2409"/>
      <c r="CG543" s="35"/>
      <c r="CH543" s="2458" t="s">
        <v>840</v>
      </c>
      <c r="CI543" s="2130"/>
      <c r="CJ543" s="2130"/>
      <c r="CK543" s="213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08" t="str">
        <f>IF(AY543=BK570,"passed","failed")</f>
        <v>passed</v>
      </c>
      <c r="AT544" s="2414"/>
      <c r="AU544" s="2409"/>
      <c r="AV544" s="233"/>
      <c r="AW544" s="233"/>
      <c r="AX544" s="233"/>
      <c r="AY544" s="233"/>
      <c r="AZ544" s="234"/>
      <c r="CG544" s="35"/>
      <c r="CH544" s="2132"/>
      <c r="CI544" s="2133"/>
      <c r="CJ544" s="2133"/>
      <c r="CK544" s="2134"/>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406</v>
      </c>
      <c r="AF545" s="2373"/>
      <c r="AG545" s="2373"/>
      <c r="AH545" s="2373"/>
      <c r="AI545" s="2373"/>
      <c r="AJ545" s="2373"/>
      <c r="AK545" s="2373"/>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2"/>
      <c r="CI545" s="2133"/>
      <c r="CJ545" s="2133"/>
      <c r="CK545" s="2134"/>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0" t="s">
        <v>198</v>
      </c>
      <c r="AH546" s="2320"/>
      <c r="AI546" s="2320"/>
      <c r="AJ546" s="2320"/>
      <c r="AK546" s="26"/>
      <c r="AL546" s="1250"/>
      <c r="AM546" s="65"/>
      <c r="AN546" s="439"/>
      <c r="BE546" s="2423" t="s">
        <v>248</v>
      </c>
      <c r="BF546" s="2424"/>
      <c r="BG546" s="2424"/>
      <c r="BH546" s="2425"/>
      <c r="BI546" s="2423" t="s">
        <v>778</v>
      </c>
      <c r="BJ546" s="2424"/>
      <c r="BK546" s="2424"/>
      <c r="BL546" s="2425"/>
      <c r="BM546" s="2423" t="s">
        <v>779</v>
      </c>
      <c r="BN546" s="2424"/>
      <c r="BO546" s="2424"/>
      <c r="BP546" s="2425"/>
      <c r="BQ546" s="2423" t="s">
        <v>780</v>
      </c>
      <c r="BR546" s="2424"/>
      <c r="BS546" s="2424"/>
      <c r="BT546" s="2425"/>
      <c r="BU546" s="2423" t="s">
        <v>781</v>
      </c>
      <c r="BV546" s="2424"/>
      <c r="BW546" s="2424"/>
      <c r="BX546" s="2425"/>
      <c r="BY546" s="2423" t="s">
        <v>249</v>
      </c>
      <c r="BZ546" s="2424"/>
      <c r="CA546" s="2424"/>
      <c r="CB546" s="2425"/>
      <c r="CC546" s="16"/>
      <c r="CG546" s="16"/>
      <c r="CH546" s="2132"/>
      <c r="CI546" s="2133"/>
      <c r="CJ546" s="2133"/>
      <c r="CK546" s="2134"/>
    </row>
    <row r="547" spans="1:89" s="46" customFormat="1" ht="12.75" customHeight="1">
      <c r="A547" s="152"/>
      <c r="B547" s="2533" t="s">
        <v>1882</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68" t="s">
        <v>674</v>
      </c>
      <c r="AQ547" s="669"/>
      <c r="AR547" s="669"/>
      <c r="AS547" s="669"/>
      <c r="AT547" s="669"/>
      <c r="AU547" s="669"/>
      <c r="AV547" s="670"/>
      <c r="AW547" s="669"/>
      <c r="AX547" s="669"/>
      <c r="AY547" s="670"/>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141"/>
      <c r="CI547" s="2142"/>
      <c r="CJ547" s="2142"/>
      <c r="CK547" s="2143"/>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71" t="s">
        <v>672</v>
      </c>
      <c r="AQ548" s="672"/>
      <c r="AR548" s="672"/>
      <c r="AS548" s="672"/>
      <c r="AT548" s="672"/>
      <c r="AU548" s="2448">
        <f>ROUNDUP(BK570*0.1,0)</f>
        <v>5</v>
      </c>
      <c r="AV548" s="2450"/>
      <c r="AW548" s="672"/>
      <c r="AX548" s="672">
        <f>AU548-AP550</f>
        <v>0</v>
      </c>
      <c r="AY548" s="673"/>
      <c r="BE548" s="2408"/>
      <c r="BF548" s="2414"/>
      <c r="BG548" s="2414"/>
      <c r="BH548" s="2409"/>
      <c r="BI548" s="2408">
        <f>IF(AND(CH549=1,BE547=0),0,1)</f>
        <v>0</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71"/>
      <c r="AQ549" s="672"/>
      <c r="AR549" s="672"/>
      <c r="AS549" s="672"/>
      <c r="AT549" s="672"/>
      <c r="AU549" s="672"/>
      <c r="AV549" s="673"/>
      <c r="AW549" s="672"/>
      <c r="AX549" s="672"/>
      <c r="AY549" s="673"/>
      <c r="BE549" s="2408"/>
      <c r="BF549" s="2414"/>
      <c r="BG549" s="2414"/>
      <c r="BH549" s="2409"/>
      <c r="BI549" s="2408"/>
      <c r="BJ549" s="2414"/>
      <c r="BK549" s="2414"/>
      <c r="BL549" s="2409"/>
      <c r="BM549" s="2408">
        <f>IF(AND(AND(CH550=1,BI548=0,BE547=0)),0,1)</f>
        <v>1</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1</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5</v>
      </c>
      <c r="AQ550" s="2536"/>
      <c r="AR550" s="2536"/>
      <c r="AS550" s="2536"/>
      <c r="AT550" s="2537"/>
      <c r="AU550" s="672"/>
      <c r="AV550" s="673"/>
      <c r="AW550" s="672"/>
      <c r="AX550" s="672"/>
      <c r="AY550" s="673"/>
      <c r="BE550" s="2408"/>
      <c r="BF550" s="2414"/>
      <c r="BG550" s="2414"/>
      <c r="BH550" s="2409"/>
      <c r="BI550" s="2408"/>
      <c r="BJ550" s="2414"/>
      <c r="BK550" s="2414"/>
      <c r="BL550" s="2409"/>
      <c r="BM550" s="2408"/>
      <c r="BN550" s="2414"/>
      <c r="BO550" s="2414"/>
      <c r="BP550" s="2409"/>
      <c r="BQ550" s="2408">
        <f>IF(AND(AND(AND(CH551=1,BM549=0,BI548=0,BE547=0))),0,1)</f>
        <v>1</v>
      </c>
      <c r="BR550" s="2414"/>
      <c r="BS550" s="2414"/>
      <c r="BT550" s="2409"/>
      <c r="BU550" s="2459"/>
      <c r="BV550" s="2460"/>
      <c r="BW550" s="2460"/>
      <c r="BX550" s="2461"/>
      <c r="BY550" s="2459"/>
      <c r="BZ550" s="2460"/>
      <c r="CA550" s="2460"/>
      <c r="CB550" s="2461"/>
      <c r="CC550" s="16"/>
      <c r="CG550" s="16"/>
      <c r="CH550" s="2423">
        <f>IF(OR(Y610=0,Y610&gt;=0.1),1,0)</f>
        <v>0</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74"/>
      <c r="AQ551" s="675"/>
      <c r="AR551" s="675"/>
      <c r="AS551" s="675"/>
      <c r="AT551" s="676" t="s">
        <v>667</v>
      </c>
      <c r="AU551" s="2448" t="str">
        <f>IF(AP550&gt;=AU548,"passed","failed")</f>
        <v>passed</v>
      </c>
      <c r="AV551" s="2449"/>
      <c r="AW551" s="2450"/>
      <c r="AX551" s="677"/>
      <c r="AY551" s="678"/>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1</v>
      </c>
      <c r="BV551" s="2414"/>
      <c r="BW551" s="2414"/>
      <c r="BX551" s="2409"/>
      <c r="BY551" s="2459"/>
      <c r="BZ551" s="2460"/>
      <c r="CA551" s="2460"/>
      <c r="CB551" s="2461"/>
      <c r="CC551" s="16"/>
      <c r="CD551" s="16"/>
      <c r="CE551" s="16"/>
      <c r="CF551" s="16"/>
      <c r="CG551" s="16"/>
      <c r="CH551" s="2423">
        <f>IF(OR(Y611=0,Y611&gt;=0.1),1,0)</f>
        <v>1</v>
      </c>
      <c r="CI551" s="2424"/>
      <c r="CJ551" s="2424"/>
      <c r="CK551" s="2425"/>
    </row>
    <row r="552" spans="1:89" s="46" customFormat="1" ht="13.75"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089"/>
      <c r="BE552" s="2408">
        <f>SUM(BE547:BH551)</f>
        <v>0</v>
      </c>
      <c r="BF552" s="2414"/>
      <c r="BG552" s="2414"/>
      <c r="BH552" s="2409"/>
      <c r="BI552" s="2408">
        <f>SUM(BI547:BL551)</f>
        <v>0</v>
      </c>
      <c r="BJ552" s="2414"/>
      <c r="BK552" s="2414"/>
      <c r="BL552" s="2409"/>
      <c r="BM552" s="2408">
        <f>SUM(BM547:BP551)</f>
        <v>1</v>
      </c>
      <c r="BN552" s="2414"/>
      <c r="BO552" s="2414"/>
      <c r="BP552" s="2409"/>
      <c r="BQ552" s="2408">
        <f>SUM(BQ547:BT551)</f>
        <v>1</v>
      </c>
      <c r="BR552" s="2414"/>
      <c r="BS552" s="2414"/>
      <c r="BT552" s="2409"/>
      <c r="BU552" s="2408">
        <f>SUM(BU547:BX551)</f>
        <v>1</v>
      </c>
      <c r="BV552" s="2414"/>
      <c r="BW552" s="2414"/>
      <c r="BX552" s="2409"/>
      <c r="BY552" s="2408">
        <f>SUM(BY547:CB551)</f>
        <v>0</v>
      </c>
      <c r="BZ552" s="2414"/>
      <c r="CA552" s="2414"/>
      <c r="CB552" s="2409"/>
      <c r="CC552" s="2423">
        <f>IF(AND(CH548=1,T608&gt;0),0,SUM(BE552:CB552))</f>
        <v>0</v>
      </c>
      <c r="CD552" s="2424"/>
      <c r="CE552" s="2424"/>
      <c r="CF552" s="2425"/>
      <c r="CG552" s="16"/>
      <c r="CH552" s="2423">
        <f>IF(OR(Y612=0,Y612&gt;=0.1),1,0)</f>
        <v>1</v>
      </c>
      <c r="CI552" s="2424"/>
      <c r="CJ552" s="2424"/>
      <c r="CK552" s="2425"/>
    </row>
    <row r="553" spans="1:89" s="137" customFormat="1" ht="12.5" customHeight="1">
      <c r="A553" s="28"/>
      <c r="B553" s="2426" t="s">
        <v>1636</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05"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26" t="s">
        <v>1929</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667</v>
      </c>
      <c r="AU556" s="233"/>
      <c r="AV556" s="2408" t="str">
        <f>IF(BJ592&gt;0,"failed","passed")</f>
        <v>failed</v>
      </c>
      <c r="AW556" s="2414"/>
      <c r="AX556" s="2414"/>
      <c r="AY556" s="2409"/>
    </row>
    <row r="557" spans="1:89" s="46" customFormat="1" ht="12.5"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1637</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5" t="s">
        <v>1928</v>
      </c>
      <c r="R561" s="2336"/>
      <c r="S561" s="2546" t="s">
        <v>226</v>
      </c>
      <c r="T561" s="2546"/>
      <c r="U561" s="2335">
        <v>0.5</v>
      </c>
      <c r="V561" s="2336"/>
      <c r="W561" s="2335">
        <v>0.45</v>
      </c>
      <c r="X561" s="2336"/>
      <c r="Y561" s="2335">
        <v>0.4</v>
      </c>
      <c r="Z561" s="2336"/>
      <c r="AA561" s="2335">
        <v>0.35</v>
      </c>
      <c r="AB561" s="2336"/>
      <c r="AC561" s="2446">
        <v>0.3</v>
      </c>
      <c r="AD561" s="2447"/>
      <c r="AE561" s="2335">
        <v>0.2</v>
      </c>
      <c r="AF561" s="233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6"/>
      <c r="P562" s="2297"/>
      <c r="Q562" s="2334"/>
      <c r="R562" s="2321"/>
      <c r="S562" s="2427"/>
      <c r="T562" s="2427"/>
      <c r="U562" s="2321"/>
      <c r="V562" s="2321"/>
      <c r="W562" s="2321"/>
      <c r="X562" s="2321"/>
      <c r="Y562" s="2321"/>
      <c r="Z562" s="2321"/>
      <c r="AA562" s="2415"/>
      <c r="AB562" s="2415"/>
      <c r="AC562" s="2321"/>
      <c r="AD562" s="2321"/>
      <c r="AE562" s="2444"/>
      <c r="AF562" s="2445"/>
      <c r="AN562" s="439"/>
      <c r="AP562" s="226" t="s">
        <v>775</v>
      </c>
      <c r="AQ562" s="91"/>
      <c r="AR562" s="91"/>
      <c r="AS562" s="91"/>
      <c r="AT562" s="2423" t="str">
        <f>IF(OR(AV556="passed",BD560="passed"),"passed","failed")</f>
        <v>passed</v>
      </c>
      <c r="AU562" s="2424"/>
      <c r="AV562" s="2424"/>
      <c r="AW562" s="2424"/>
      <c r="AX562" s="2425"/>
    </row>
    <row r="563" spans="1:96" s="46" customFormat="1" ht="12.75" customHeight="1">
      <c r="A563" s="28"/>
      <c r="B563" s="106"/>
      <c r="C563" s="28"/>
      <c r="I563" s="345"/>
      <c r="J563" s="245"/>
      <c r="K563" s="162"/>
      <c r="L563" s="162"/>
      <c r="M563" s="162"/>
      <c r="N563" s="71"/>
      <c r="O563" s="2296"/>
      <c r="P563" s="2297"/>
      <c r="Q563" s="2309"/>
      <c r="R563" s="2310"/>
      <c r="S563" s="2310"/>
      <c r="T563" s="2310"/>
      <c r="U563" s="2310"/>
      <c r="V563" s="2310"/>
      <c r="W563" s="2310"/>
      <c r="X563" s="2310"/>
      <c r="Y563" s="2308"/>
      <c r="Z563" s="2308"/>
      <c r="AA563" s="2310"/>
      <c r="AB563" s="2310"/>
      <c r="AC563" s="2308"/>
      <c r="AD563" s="2308"/>
      <c r="AE563" s="2311"/>
      <c r="AF563" s="231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6"/>
      <c r="P564" s="2297"/>
      <c r="Q564" s="2309"/>
      <c r="R564" s="2310"/>
      <c r="S564" s="2310"/>
      <c r="T564" s="2310"/>
      <c r="U564" s="2310"/>
      <c r="V564" s="2310"/>
      <c r="W564" s="2310"/>
      <c r="X564" s="2310"/>
      <c r="Y564" s="2310"/>
      <c r="Z564" s="2310"/>
      <c r="AA564" s="2308"/>
      <c r="AB564" s="2308"/>
      <c r="AC564" s="2310"/>
      <c r="AD564" s="2310"/>
      <c r="AE564" s="2454"/>
      <c r="AF564" s="2455"/>
      <c r="AN564" s="439"/>
      <c r="AP564" s="235" t="s">
        <v>668</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6"/>
      <c r="P565" s="2297"/>
      <c r="Q565" s="2309"/>
      <c r="R565" s="2310"/>
      <c r="S565" s="2310"/>
      <c r="T565" s="2310"/>
      <c r="U565" s="2310"/>
      <c r="V565" s="2310"/>
      <c r="W565" s="2310"/>
      <c r="X565" s="2310"/>
      <c r="Y565" s="2308"/>
      <c r="Z565" s="2308"/>
      <c r="AA565" s="2310"/>
      <c r="AB565" s="2310"/>
      <c r="AC565" s="2308"/>
      <c r="AD565" s="2308"/>
      <c r="AE565" s="2311"/>
      <c r="AF565" s="2312"/>
      <c r="AN565" s="439"/>
    </row>
    <row r="566" spans="1:96" s="46" customFormat="1" ht="12.75" customHeight="1">
      <c r="A566" s="28"/>
      <c r="B566" s="106"/>
      <c r="C566" s="28"/>
      <c r="I566" s="345"/>
      <c r="J566" s="245"/>
      <c r="K566" s="162"/>
      <c r="L566" s="162"/>
      <c r="M566" s="162"/>
      <c r="N566" s="71"/>
      <c r="O566" s="2296"/>
      <c r="P566" s="2297"/>
      <c r="Q566" s="2309"/>
      <c r="R566" s="2310"/>
      <c r="S566" s="2310"/>
      <c r="T566" s="2310"/>
      <c r="U566" s="2310"/>
      <c r="V566" s="2310"/>
      <c r="W566" s="2308"/>
      <c r="X566" s="2308"/>
      <c r="Y566" s="2310"/>
      <c r="Z566" s="2310"/>
      <c r="AA566" s="2308"/>
      <c r="AB566" s="2308"/>
      <c r="AC566" s="2310"/>
      <c r="AD566" s="2310"/>
      <c r="AE566" s="2454"/>
      <c r="AF566" s="2455"/>
      <c r="AN566" s="439"/>
    </row>
    <row r="567" spans="1:96" s="46" customFormat="1" ht="12.75" customHeight="1">
      <c r="A567" s="28"/>
      <c r="B567" s="106"/>
      <c r="C567" s="28"/>
      <c r="I567" s="345"/>
      <c r="J567" s="245"/>
      <c r="K567" s="162"/>
      <c r="L567" s="162"/>
      <c r="M567" s="162"/>
      <c r="N567" s="71"/>
      <c r="O567" s="2296"/>
      <c r="P567" s="2297"/>
      <c r="Q567" s="2309"/>
      <c r="R567" s="2310"/>
      <c r="S567" s="2310"/>
      <c r="T567" s="2310"/>
      <c r="U567" s="2310"/>
      <c r="V567" s="2310"/>
      <c r="W567" s="2310"/>
      <c r="X567" s="2310"/>
      <c r="Y567" s="2308"/>
      <c r="Z567" s="2308"/>
      <c r="AA567" s="2310"/>
      <c r="AB567" s="2310"/>
      <c r="AC567" s="2308"/>
      <c r="AD567" s="2308"/>
      <c r="AE567" s="2311"/>
      <c r="AF567" s="2312"/>
      <c r="AN567" s="439"/>
      <c r="AU567" s="65"/>
      <c r="AV567" s="65"/>
      <c r="AW567" s="90"/>
      <c r="AX567" s="91"/>
      <c r="AY567" s="91"/>
      <c r="AZ567" s="100" t="s">
        <v>1217</v>
      </c>
      <c r="BA567" s="2462" t="s">
        <v>776</v>
      </c>
      <c r="BB567" s="2463"/>
      <c r="BC567" s="2463"/>
      <c r="BD567" s="2463"/>
      <c r="BE567" s="2464"/>
      <c r="BF567" s="2419">
        <f>SUM(O608:S612)</f>
        <v>47</v>
      </c>
      <c r="BG567" s="2420"/>
      <c r="BH567" s="2420"/>
      <c r="BI567" s="2420"/>
      <c r="BJ567" s="2421"/>
      <c r="BK567" s="2299">
        <f>SUM(T608:X612)</f>
        <v>5</v>
      </c>
      <c r="BL567" s="2300"/>
      <c r="BM567" s="2300"/>
      <c r="BN567" s="2300"/>
      <c r="BO567" s="2301"/>
    </row>
    <row r="568" spans="1:96" s="46" customFormat="1" ht="12.75" customHeight="1">
      <c r="A568" s="28"/>
      <c r="B568" s="57"/>
      <c r="C568" s="28"/>
      <c r="I568" s="2348" t="s">
        <v>1635</v>
      </c>
      <c r="J568" s="2349"/>
      <c r="K568" s="2349"/>
      <c r="L568" s="2349"/>
      <c r="M568" s="2349"/>
      <c r="N568" s="2350"/>
      <c r="O568" s="2296">
        <v>0.5</v>
      </c>
      <c r="P568" s="2297"/>
      <c r="Q568" s="2327"/>
      <c r="R568" s="2328"/>
      <c r="S568" s="2310"/>
      <c r="T568" s="2310"/>
      <c r="U568" s="2548" t="s">
        <v>1639</v>
      </c>
      <c r="V568" s="2548"/>
      <c r="W568" s="2326">
        <v>37.5</v>
      </c>
      <c r="X568" s="2326"/>
      <c r="Y568" s="2328"/>
      <c r="Z568" s="2328"/>
      <c r="AA568" s="2326"/>
      <c r="AB568" s="2326"/>
      <c r="AC568" s="2328"/>
      <c r="AD568" s="2328"/>
      <c r="AE568" s="2456"/>
      <c r="AF568" s="2457"/>
      <c r="AN568" s="439"/>
      <c r="CL568" s="16"/>
      <c r="CM568" s="16"/>
    </row>
    <row r="569" spans="1:96" s="46" customFormat="1" ht="12.75" customHeight="1">
      <c r="A569" s="28"/>
      <c r="B569" s="195"/>
      <c r="C569" s="101"/>
      <c r="D569" s="28"/>
      <c r="E569" s="28"/>
      <c r="I569" s="2348"/>
      <c r="J569" s="2349"/>
      <c r="K569" s="2349"/>
      <c r="L569" s="2349"/>
      <c r="M569" s="2349"/>
      <c r="N569" s="2350"/>
      <c r="O569" s="2296">
        <v>0.45</v>
      </c>
      <c r="P569" s="2297"/>
      <c r="Q569" s="2309"/>
      <c r="R569" s="2310"/>
      <c r="S569" s="2310"/>
      <c r="T569" s="2310"/>
      <c r="U569" s="2316" t="s">
        <v>144</v>
      </c>
      <c r="V569" s="2316"/>
      <c r="W569" s="2308">
        <v>33.799999999999997</v>
      </c>
      <c r="X569" s="2308"/>
      <c r="Y569" s="2308"/>
      <c r="Z569" s="2308"/>
      <c r="AA569" s="2310"/>
      <c r="AB569" s="2310"/>
      <c r="AC569" s="2308"/>
      <c r="AD569" s="2308"/>
      <c r="AE569" s="2311"/>
      <c r="AF569" s="2312"/>
      <c r="AN569" s="439"/>
      <c r="CL569" s="16"/>
      <c r="CM569" s="16"/>
    </row>
    <row r="570" spans="1:96" s="46" customFormat="1" ht="12.75" customHeight="1">
      <c r="A570" s="28"/>
      <c r="B570" s="8"/>
      <c r="C570" s="8"/>
      <c r="D570" s="8"/>
      <c r="E570" s="8"/>
      <c r="I570" s="2348"/>
      <c r="J570" s="2349"/>
      <c r="K570" s="2349"/>
      <c r="L570" s="2349"/>
      <c r="M570" s="2349"/>
      <c r="N570" s="2350"/>
      <c r="O570" s="2296">
        <v>0.4</v>
      </c>
      <c r="P570" s="2297"/>
      <c r="Q570" s="2309"/>
      <c r="R570" s="2310"/>
      <c r="S570" s="2316" t="s">
        <v>1638</v>
      </c>
      <c r="T570" s="2316"/>
      <c r="U570" s="2308">
        <v>20</v>
      </c>
      <c r="V570" s="2308"/>
      <c r="W570" s="2308">
        <v>30</v>
      </c>
      <c r="X570" s="2308"/>
      <c r="Y570" s="2308"/>
      <c r="Z570" s="2308"/>
      <c r="AA570" s="2308"/>
      <c r="AB570" s="2308"/>
      <c r="AC570" s="2308"/>
      <c r="AD570" s="2308"/>
      <c r="AE570" s="2311"/>
      <c r="AF570" s="2312"/>
      <c r="AN570" s="439"/>
      <c r="AP570" s="2465" t="s">
        <v>227</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47</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296">
        <v>0.35</v>
      </c>
      <c r="P571" s="2297"/>
      <c r="Q571" s="2309"/>
      <c r="R571" s="2310"/>
      <c r="S571" s="2316" t="s">
        <v>1930</v>
      </c>
      <c r="T571" s="2316"/>
      <c r="U571" s="2308">
        <v>17.5</v>
      </c>
      <c r="V571" s="2308"/>
      <c r="W571" s="2308">
        <v>26.3</v>
      </c>
      <c r="X571" s="2308"/>
      <c r="Y571" s="2308">
        <v>35</v>
      </c>
      <c r="Z571" s="2308"/>
      <c r="AA571" s="2308"/>
      <c r="AB571" s="2308"/>
      <c r="AC571" s="2308">
        <v>50</v>
      </c>
      <c r="AD571" s="2308"/>
      <c r="AE571" s="2311"/>
      <c r="AF571" s="2312"/>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296">
        <v>0.3</v>
      </c>
      <c r="P572" s="2297"/>
      <c r="Q572" s="2309"/>
      <c r="R572" s="2310"/>
      <c r="S572" s="2316" t="s">
        <v>1931</v>
      </c>
      <c r="T572" s="2316"/>
      <c r="U572" s="2308">
        <v>15</v>
      </c>
      <c r="V572" s="2308"/>
      <c r="W572" s="2308">
        <v>22.5</v>
      </c>
      <c r="X572" s="2308"/>
      <c r="Y572" s="2308">
        <v>30</v>
      </c>
      <c r="Z572" s="2308"/>
      <c r="AA572" s="2308">
        <v>37.5</v>
      </c>
      <c r="AB572" s="2308"/>
      <c r="AC572" s="2308">
        <v>45</v>
      </c>
      <c r="AD572" s="2308"/>
      <c r="AE572" s="2311"/>
      <c r="AF572" s="231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0">
        <v>5</v>
      </c>
      <c r="BK572" s="2422"/>
      <c r="BL572" s="2422"/>
      <c r="BM572" s="2422"/>
      <c r="BN572" s="1891"/>
      <c r="BO572" s="1890">
        <v>4</v>
      </c>
      <c r="BP572" s="2422"/>
      <c r="BQ572" s="2422"/>
      <c r="BR572" s="2422"/>
      <c r="BS572" s="1891"/>
      <c r="BT572" s="1890">
        <v>3</v>
      </c>
      <c r="BU572" s="2422"/>
      <c r="BV572" s="2422"/>
      <c r="BW572" s="2422"/>
      <c r="BX572" s="1891"/>
      <c r="BY572" s="1890">
        <v>2</v>
      </c>
      <c r="BZ572" s="2422"/>
      <c r="CA572" s="2422"/>
      <c r="CB572" s="2422"/>
      <c r="CC572" s="1891"/>
      <c r="CD572" s="1890">
        <v>1</v>
      </c>
      <c r="CE572" s="2422"/>
      <c r="CF572" s="2422"/>
      <c r="CG572" s="2422"/>
      <c r="CH572" s="1891"/>
      <c r="CI572" s="1890">
        <v>0</v>
      </c>
      <c r="CJ572" s="2422"/>
      <c r="CK572" s="2422"/>
      <c r="CL572" s="2422"/>
      <c r="CM572" s="1891"/>
      <c r="CN572" s="65"/>
      <c r="CO572" s="65"/>
      <c r="CP572" s="65"/>
      <c r="CQ572" s="65"/>
      <c r="CR572" s="65"/>
    </row>
    <row r="573" spans="1:96" s="46" customFormat="1" ht="12.75" customHeight="1">
      <c r="A573" s="28"/>
      <c r="B573" s="8"/>
      <c r="C573" s="8"/>
      <c r="D573" s="8"/>
      <c r="E573" s="8"/>
      <c r="I573" s="2348"/>
      <c r="J573" s="2349"/>
      <c r="K573" s="2349"/>
      <c r="L573" s="2349"/>
      <c r="M573" s="2349"/>
      <c r="N573" s="2350"/>
      <c r="O573" s="2296">
        <v>0.25</v>
      </c>
      <c r="P573" s="2297"/>
      <c r="Q573" s="2309"/>
      <c r="R573" s="2310"/>
      <c r="S573" s="2316" t="s">
        <v>1932</v>
      </c>
      <c r="T573" s="2316"/>
      <c r="U573" s="2308">
        <v>12.5</v>
      </c>
      <c r="V573" s="2308"/>
      <c r="W573" s="2308">
        <v>18.8</v>
      </c>
      <c r="X573" s="2308"/>
      <c r="Y573" s="2308">
        <v>25</v>
      </c>
      <c r="Z573" s="2308"/>
      <c r="AA573" s="2308">
        <v>31.3</v>
      </c>
      <c r="AB573" s="2308"/>
      <c r="AC573" s="2308">
        <v>37.5</v>
      </c>
      <c r="AD573" s="2308"/>
      <c r="AE573" s="2311">
        <v>50</v>
      </c>
      <c r="AF573" s="2312"/>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76">
        <f t="shared" ref="BE573:BE578" si="3">Y607</f>
        <v>0</v>
      </c>
      <c r="BF573" s="1877"/>
      <c r="BG573" s="1877"/>
      <c r="BH573" s="1877"/>
      <c r="BI573" s="1878"/>
      <c r="BJ573" s="1890">
        <f>IF(OR(AP583=0,BE573&gt;=0.1),0,1)</f>
        <v>0</v>
      </c>
      <c r="BK573" s="2422"/>
      <c r="BL573" s="2422"/>
      <c r="BM573" s="2422"/>
      <c r="BN573" s="1891"/>
      <c r="BO573" s="1890"/>
      <c r="BP573" s="2422"/>
      <c r="BQ573" s="2422"/>
      <c r="BR573" s="2422"/>
      <c r="BS573" s="1891"/>
      <c r="BT573" s="1890"/>
      <c r="BU573" s="2422"/>
      <c r="BV573" s="2422"/>
      <c r="BW573" s="2422"/>
      <c r="BX573" s="1891"/>
      <c r="BY573" s="1890"/>
      <c r="BZ573" s="2422"/>
      <c r="CA573" s="2422"/>
      <c r="CB573" s="2422"/>
      <c r="CC573" s="1891"/>
      <c r="CD573" s="1890"/>
      <c r="CE573" s="2422"/>
      <c r="CF573" s="2422"/>
      <c r="CG573" s="2422"/>
      <c r="CH573" s="1891"/>
      <c r="CI573" s="1890"/>
      <c r="CJ573" s="2422"/>
      <c r="CK573" s="2422"/>
      <c r="CL573" s="2422"/>
      <c r="CM573" s="1891"/>
      <c r="CN573" s="65"/>
      <c r="CO573" s="65"/>
      <c r="CP573" s="65"/>
      <c r="CQ573" s="65"/>
      <c r="CR573" s="65"/>
    </row>
    <row r="574" spans="1:96" s="46" customFormat="1" ht="12.75" customHeight="1">
      <c r="A574" s="195"/>
      <c r="B574" s="8"/>
      <c r="C574" s="8"/>
      <c r="D574" s="8"/>
      <c r="E574" s="8"/>
      <c r="I574" s="2348"/>
      <c r="J574" s="2349"/>
      <c r="K574" s="2349"/>
      <c r="L574" s="2349"/>
      <c r="M574" s="2349"/>
      <c r="N574" s="2350"/>
      <c r="O574" s="2296">
        <v>0.2</v>
      </c>
      <c r="P574" s="2297"/>
      <c r="Q574" s="2309"/>
      <c r="R574" s="2310"/>
      <c r="S574" s="2333" t="s">
        <v>1935</v>
      </c>
      <c r="T574" s="2333"/>
      <c r="U574" s="2308">
        <v>10</v>
      </c>
      <c r="V574" s="2308"/>
      <c r="W574" s="2308">
        <v>15</v>
      </c>
      <c r="X574" s="2308"/>
      <c r="Y574" s="2308">
        <v>20</v>
      </c>
      <c r="Z574" s="2308"/>
      <c r="AA574" s="2308">
        <v>25</v>
      </c>
      <c r="AB574" s="2308"/>
      <c r="AC574" s="2308">
        <v>30</v>
      </c>
      <c r="AD574" s="2308"/>
      <c r="AE574" s="2311">
        <v>40</v>
      </c>
      <c r="AF574" s="2312"/>
      <c r="AN574" s="439"/>
      <c r="AP574" s="2416" t="str">
        <f t="shared" si="0"/>
        <v>4 BR</v>
      </c>
      <c r="AQ574" s="2417"/>
      <c r="AR574" s="2417"/>
      <c r="AS574" s="2417"/>
      <c r="AT574" s="2418"/>
      <c r="AU574" s="2411">
        <f t="shared" si="1"/>
        <v>8</v>
      </c>
      <c r="AV574" s="2412"/>
      <c r="AW574" s="2412"/>
      <c r="AX574" s="2412"/>
      <c r="AY574" s="2413"/>
      <c r="AZ574" s="2411">
        <f t="shared" si="2"/>
        <v>1</v>
      </c>
      <c r="BA574" s="2412"/>
      <c r="BB574" s="2412"/>
      <c r="BC574" s="2412"/>
      <c r="BD574" s="2413"/>
      <c r="BE574" s="1876">
        <f t="shared" si="3"/>
        <v>0.125</v>
      </c>
      <c r="BF574" s="1877"/>
      <c r="BG574" s="1877"/>
      <c r="BH574" s="1877"/>
      <c r="BI574" s="1878"/>
      <c r="BJ574" s="1890"/>
      <c r="BK574" s="2422"/>
      <c r="BL574" s="2422"/>
      <c r="BM574" s="2422"/>
      <c r="BN574" s="1891"/>
      <c r="BO574" s="1890">
        <f>IF(AND(AND(AZ573=0,BJ573=0,AP584=1)),1,0)</f>
        <v>0</v>
      </c>
      <c r="BP574" s="2422"/>
      <c r="BQ574" s="2422"/>
      <c r="BR574" s="2422"/>
      <c r="BS574" s="1891"/>
      <c r="BT574" s="1890"/>
      <c r="BU574" s="2422"/>
      <c r="BV574" s="2422"/>
      <c r="BW574" s="2422"/>
      <c r="BX574" s="1891"/>
      <c r="BY574" s="1890"/>
      <c r="BZ574" s="2422"/>
      <c r="CA574" s="2422"/>
      <c r="CB574" s="2422"/>
      <c r="CC574" s="1891"/>
      <c r="CD574" s="1890"/>
      <c r="CE574" s="2422"/>
      <c r="CF574" s="2422"/>
      <c r="CG574" s="2422"/>
      <c r="CH574" s="1891"/>
      <c r="CI574" s="1890"/>
      <c r="CJ574" s="2422"/>
      <c r="CK574" s="2422"/>
      <c r="CL574" s="2422"/>
      <c r="CM574" s="1891"/>
      <c r="CN574" s="65"/>
      <c r="CO574" s="65"/>
      <c r="CP574" s="65"/>
      <c r="CQ574" s="65"/>
      <c r="CR574" s="65"/>
    </row>
    <row r="575" spans="1:96" s="46" customFormat="1" ht="12.75" customHeight="1">
      <c r="A575" s="195"/>
      <c r="B575" s="8"/>
      <c r="C575" s="8"/>
      <c r="D575" s="8"/>
      <c r="E575" s="8"/>
      <c r="I575" s="2348"/>
      <c r="J575" s="2349"/>
      <c r="K575" s="2349"/>
      <c r="L575" s="2349"/>
      <c r="M575" s="2349"/>
      <c r="N575" s="2350"/>
      <c r="O575" s="2296">
        <v>0.15</v>
      </c>
      <c r="P575" s="2297"/>
      <c r="Q575" s="2309"/>
      <c r="R575" s="2310"/>
      <c r="S575" s="2316" t="s">
        <v>1933</v>
      </c>
      <c r="T575" s="2316"/>
      <c r="U575" s="2308">
        <v>7.5</v>
      </c>
      <c r="V575" s="2308"/>
      <c r="W575" s="2308">
        <v>11.3</v>
      </c>
      <c r="X575" s="2308"/>
      <c r="Y575" s="2308">
        <v>15</v>
      </c>
      <c r="Z575" s="2308"/>
      <c r="AA575" s="2308">
        <v>18.8</v>
      </c>
      <c r="AB575" s="2308"/>
      <c r="AC575" s="2308">
        <v>22.5</v>
      </c>
      <c r="AD575" s="2308"/>
      <c r="AE575" s="2311">
        <v>30</v>
      </c>
      <c r="AF575" s="2312"/>
      <c r="AK575" s="153"/>
      <c r="AL575" s="153"/>
      <c r="AM575" s="153"/>
      <c r="AN575" s="439"/>
      <c r="AP575" s="2416" t="str">
        <f t="shared" si="0"/>
        <v>3 BR</v>
      </c>
      <c r="AQ575" s="2417"/>
      <c r="AR575" s="2417"/>
      <c r="AS575" s="2417"/>
      <c r="AT575" s="2418"/>
      <c r="AU575" s="2411">
        <f t="shared" si="1"/>
        <v>23</v>
      </c>
      <c r="AV575" s="2412"/>
      <c r="AW575" s="2412"/>
      <c r="AX575" s="2412"/>
      <c r="AY575" s="2413"/>
      <c r="AZ575" s="2411">
        <f t="shared" si="2"/>
        <v>3</v>
      </c>
      <c r="BA575" s="2412"/>
      <c r="BB575" s="2412"/>
      <c r="BC575" s="2412"/>
      <c r="BD575" s="2413"/>
      <c r="BE575" s="1876">
        <f t="shared" si="3"/>
        <v>0.13043478260869565</v>
      </c>
      <c r="BF575" s="1877"/>
      <c r="BG575" s="1877"/>
      <c r="BH575" s="1877"/>
      <c r="BI575" s="1878"/>
      <c r="BJ575" s="1890"/>
      <c r="BK575" s="2422"/>
      <c r="BL575" s="2422"/>
      <c r="BM575" s="2422"/>
      <c r="BN575" s="1891"/>
      <c r="BO575" s="1890"/>
      <c r="BP575" s="2422"/>
      <c r="BQ575" s="2422"/>
      <c r="BR575" s="2422"/>
      <c r="BS575" s="1891"/>
      <c r="BT575" s="1890">
        <f>IF(AND(AND(AZ573+AZ574=0,BJ573+BO574=0,AP585=1)),1,0)</f>
        <v>0</v>
      </c>
      <c r="BU575" s="2422"/>
      <c r="BV575" s="2422"/>
      <c r="BW575" s="2422"/>
      <c r="BX575" s="1891"/>
      <c r="BY575" s="1890"/>
      <c r="BZ575" s="2422"/>
      <c r="CA575" s="2422"/>
      <c r="CB575" s="2422"/>
      <c r="CC575" s="1891"/>
      <c r="CD575" s="1890"/>
      <c r="CE575" s="2422"/>
      <c r="CF575" s="2422"/>
      <c r="CG575" s="2422"/>
      <c r="CH575" s="1891"/>
      <c r="CI575" s="1890"/>
      <c r="CJ575" s="2422"/>
      <c r="CK575" s="2422"/>
      <c r="CL575" s="2422"/>
      <c r="CM575" s="1891"/>
      <c r="CN575" s="65"/>
      <c r="CO575" s="65"/>
      <c r="CP575" s="65"/>
      <c r="CQ575" s="65"/>
      <c r="CR575" s="65"/>
    </row>
    <row r="576" spans="1:96" s="46" customFormat="1" ht="12.75" customHeight="1" thickBot="1">
      <c r="B576" s="8"/>
      <c r="C576" s="8"/>
      <c r="D576" s="8"/>
      <c r="E576" s="8"/>
      <c r="I576" s="2351"/>
      <c r="J576" s="2352"/>
      <c r="K576" s="2352"/>
      <c r="L576" s="2352"/>
      <c r="M576" s="2352"/>
      <c r="N576" s="2353"/>
      <c r="O576" s="2296">
        <v>0.1</v>
      </c>
      <c r="P576" s="2297"/>
      <c r="Q576" s="2331"/>
      <c r="R576" s="2332"/>
      <c r="S576" s="2316" t="s">
        <v>1934</v>
      </c>
      <c r="T576" s="2316"/>
      <c r="U576" s="2410">
        <v>5</v>
      </c>
      <c r="V576" s="2410"/>
      <c r="W576" s="2410">
        <v>7.5</v>
      </c>
      <c r="X576" s="2410"/>
      <c r="Y576" s="2410">
        <v>10</v>
      </c>
      <c r="Z576" s="2410"/>
      <c r="AA576" s="2410">
        <v>12.5</v>
      </c>
      <c r="AB576" s="2410"/>
      <c r="AC576" s="2410">
        <v>15</v>
      </c>
      <c r="AD576" s="2410"/>
      <c r="AE576" s="2569">
        <v>20</v>
      </c>
      <c r="AF576" s="2570"/>
      <c r="AK576" s="252"/>
      <c r="AL576" s="252"/>
      <c r="AM576" s="8"/>
      <c r="AN576" s="439"/>
      <c r="AP576" s="2416" t="str">
        <f t="shared" si="0"/>
        <v>2 BR</v>
      </c>
      <c r="AQ576" s="2417"/>
      <c r="AR576" s="2417"/>
      <c r="AS576" s="2417"/>
      <c r="AT576" s="2418"/>
      <c r="AU576" s="2411">
        <f t="shared" si="1"/>
        <v>16</v>
      </c>
      <c r="AV576" s="2412"/>
      <c r="AW576" s="2412"/>
      <c r="AX576" s="2412"/>
      <c r="AY576" s="2413"/>
      <c r="AZ576" s="2411">
        <f t="shared" si="2"/>
        <v>1</v>
      </c>
      <c r="BA576" s="2412"/>
      <c r="BB576" s="2412"/>
      <c r="BC576" s="2412"/>
      <c r="BD576" s="2413"/>
      <c r="BE576" s="1876">
        <f t="shared" si="3"/>
        <v>6.25E-2</v>
      </c>
      <c r="BF576" s="1877"/>
      <c r="BG576" s="1877"/>
      <c r="BH576" s="1877"/>
      <c r="BI576" s="1878"/>
      <c r="BJ576" s="1890"/>
      <c r="BK576" s="2422"/>
      <c r="BL576" s="2422"/>
      <c r="BM576" s="2422"/>
      <c r="BN576" s="1891"/>
      <c r="BO576" s="1890"/>
      <c r="BP576" s="2422"/>
      <c r="BQ576" s="2422"/>
      <c r="BR576" s="2422"/>
      <c r="BS576" s="1891"/>
      <c r="BT576" s="1890"/>
      <c r="BU576" s="2422"/>
      <c r="BV576" s="2422"/>
      <c r="BW576" s="2422"/>
      <c r="BX576" s="1891"/>
      <c r="BY576" s="1890">
        <f>IF(AND(AND(AZ573+AZ574+AZ575=0,BO574+BT575+BJ573=0,AP586=1)),1,0)</f>
        <v>0</v>
      </c>
      <c r="BZ576" s="2422"/>
      <c r="CA576" s="2422"/>
      <c r="CB576" s="2422"/>
      <c r="CC576" s="1891"/>
      <c r="CD576" s="1890"/>
      <c r="CE576" s="2422"/>
      <c r="CF576" s="2422"/>
      <c r="CG576" s="2422"/>
      <c r="CH576" s="1891"/>
      <c r="CI576" s="1890"/>
      <c r="CJ576" s="2422"/>
      <c r="CK576" s="2422"/>
      <c r="CL576" s="2422"/>
      <c r="CM576" s="1891"/>
      <c r="CN576" s="65"/>
      <c r="CO576" s="65"/>
      <c r="CP576" s="65"/>
      <c r="CQ576" s="65"/>
      <c r="CR576" s="65"/>
    </row>
    <row r="577" spans="2:96" s="46" customFormat="1" ht="12.75" customHeight="1">
      <c r="B577" s="8"/>
      <c r="C577" s="8"/>
      <c r="D577" s="8"/>
      <c r="E577" s="1813" t="s">
        <v>1022</v>
      </c>
      <c r="F577" s="2157"/>
      <c r="G577" s="2157"/>
      <c r="H577" s="2157"/>
      <c r="I577" s="2157"/>
      <c r="J577" s="2157"/>
      <c r="K577" s="2157"/>
      <c r="L577" s="2157"/>
      <c r="M577" s="2157"/>
      <c r="N577" s="2157"/>
      <c r="O577" s="2157"/>
      <c r="P577" s="2157"/>
      <c r="Q577" s="2157"/>
      <c r="R577" s="2157"/>
      <c r="S577" s="2157"/>
      <c r="T577" s="2157"/>
      <c r="U577" s="2157"/>
      <c r="V577" s="2157"/>
      <c r="W577" s="2157"/>
      <c r="X577" s="2157"/>
      <c r="Y577" s="2157"/>
      <c r="Z577" s="2157"/>
      <c r="AA577" s="2157"/>
      <c r="AB577" s="2157"/>
      <c r="AC577" s="2157"/>
      <c r="AD577" s="2157"/>
      <c r="AE577" s="2157"/>
      <c r="AF577" s="2157"/>
      <c r="AG577" s="2157"/>
      <c r="AH577" s="2158"/>
      <c r="AK577" s="252"/>
      <c r="AL577" s="252"/>
      <c r="AM577" s="8"/>
      <c r="AN577" s="439"/>
      <c r="AP577" s="2416" t="str">
        <f t="shared" si="0"/>
        <v>1 BR</v>
      </c>
      <c r="AQ577" s="2417"/>
      <c r="AR577" s="2417"/>
      <c r="AS577" s="2417"/>
      <c r="AT577" s="2418"/>
      <c r="AU577" s="2411">
        <f t="shared" si="1"/>
        <v>0</v>
      </c>
      <c r="AV577" s="2412"/>
      <c r="AW577" s="2412"/>
      <c r="AX577" s="2412"/>
      <c r="AY577" s="2413"/>
      <c r="AZ577" s="2411">
        <f t="shared" si="2"/>
        <v>0</v>
      </c>
      <c r="BA577" s="2412"/>
      <c r="BB577" s="2412"/>
      <c r="BC577" s="2412"/>
      <c r="BD577" s="2413"/>
      <c r="BE577" s="1876">
        <f t="shared" si="3"/>
        <v>0</v>
      </c>
      <c r="BF577" s="1877"/>
      <c r="BG577" s="1877"/>
      <c r="BH577" s="1877"/>
      <c r="BI577" s="1878"/>
      <c r="BJ577" s="1890"/>
      <c r="BK577" s="2422"/>
      <c r="BL577" s="2422"/>
      <c r="BM577" s="2422"/>
      <c r="BN577" s="1891"/>
      <c r="BO577" s="1890"/>
      <c r="BP577" s="2422"/>
      <c r="BQ577" s="2422"/>
      <c r="BR577" s="2422"/>
      <c r="BS577" s="1891"/>
      <c r="BT577" s="1890"/>
      <c r="BU577" s="2422"/>
      <c r="BV577" s="2422"/>
      <c r="BW577" s="2422"/>
      <c r="BX577" s="1891"/>
      <c r="BY577" s="1890"/>
      <c r="BZ577" s="2422"/>
      <c r="CA577" s="2422"/>
      <c r="CB577" s="2422"/>
      <c r="CC577" s="1891"/>
      <c r="CD577" s="1890">
        <f>IF(AND(AND(BE574+BE575+BE576+BE573=0,BT575+BY576+BO574+BJ573=0,AP587=1)),1,0)</f>
        <v>0</v>
      </c>
      <c r="CE577" s="2422"/>
      <c r="CF577" s="2422"/>
      <c r="CG577" s="2422"/>
      <c r="CH577" s="1891"/>
      <c r="CI577" s="1890"/>
      <c r="CJ577" s="2422"/>
      <c r="CK577" s="2422"/>
      <c r="CL577" s="2422"/>
      <c r="CM577" s="1891"/>
      <c r="CN577" s="65"/>
      <c r="CO577" s="65"/>
      <c r="CP577" s="65"/>
      <c r="CQ577" s="65"/>
      <c r="CR577" s="65"/>
    </row>
    <row r="578" spans="2:96" s="46" customFormat="1" ht="12.75" customHeight="1">
      <c r="E578" s="2538"/>
      <c r="F578" s="2162"/>
      <c r="G578" s="2162"/>
      <c r="H578" s="2162"/>
      <c r="I578" s="2162"/>
      <c r="J578" s="2162"/>
      <c r="K578" s="2162"/>
      <c r="L578" s="2162"/>
      <c r="M578" s="2162"/>
      <c r="N578" s="2162"/>
      <c r="O578" s="2162"/>
      <c r="P578" s="2162"/>
      <c r="Q578" s="2162"/>
      <c r="R578" s="2162"/>
      <c r="S578" s="2162"/>
      <c r="T578" s="2162"/>
      <c r="U578" s="2162"/>
      <c r="V578" s="2162"/>
      <c r="W578" s="2162"/>
      <c r="X578" s="2162"/>
      <c r="Y578" s="2162"/>
      <c r="Z578" s="2162"/>
      <c r="AA578" s="2162"/>
      <c r="AB578" s="2162"/>
      <c r="AC578" s="2162"/>
      <c r="AD578" s="2162"/>
      <c r="AE578" s="2162"/>
      <c r="AF578" s="2162"/>
      <c r="AG578" s="2162"/>
      <c r="AH578" s="2539"/>
      <c r="AN578" s="439"/>
      <c r="AP578" s="2416" t="str">
        <f t="shared" si="0"/>
        <v>SRO</v>
      </c>
      <c r="AQ578" s="2417"/>
      <c r="AR578" s="2417"/>
      <c r="AS578" s="2417"/>
      <c r="AT578" s="2418"/>
      <c r="AU578" s="2411">
        <f t="shared" si="1"/>
        <v>0</v>
      </c>
      <c r="AV578" s="2412"/>
      <c r="AW578" s="2412"/>
      <c r="AX578" s="2412"/>
      <c r="AY578" s="2413"/>
      <c r="AZ578" s="2411">
        <f t="shared" si="2"/>
        <v>0</v>
      </c>
      <c r="BA578" s="2412"/>
      <c r="BB578" s="2412"/>
      <c r="BC578" s="2412"/>
      <c r="BD578" s="2413"/>
      <c r="BE578" s="1876">
        <f t="shared" si="3"/>
        <v>0</v>
      </c>
      <c r="BF578" s="1877"/>
      <c r="BG578" s="1877"/>
      <c r="BH578" s="1877"/>
      <c r="BI578" s="1878"/>
      <c r="BJ578" s="1890"/>
      <c r="BK578" s="2422"/>
      <c r="BL578" s="2422"/>
      <c r="BM578" s="2422"/>
      <c r="BN578" s="1891"/>
      <c r="BO578" s="1890"/>
      <c r="BP578" s="2422"/>
      <c r="BQ578" s="2422"/>
      <c r="BR578" s="2422"/>
      <c r="BS578" s="1891"/>
      <c r="BT578" s="1890"/>
      <c r="BU578" s="2422"/>
      <c r="BV578" s="2422"/>
      <c r="BW578" s="2422"/>
      <c r="BX578" s="1891"/>
      <c r="BY578" s="1890"/>
      <c r="BZ578" s="2422"/>
      <c r="CA578" s="2422"/>
      <c r="CB578" s="2422"/>
      <c r="CC578" s="1891"/>
      <c r="CD578" s="1890"/>
      <c r="CE578" s="2422"/>
      <c r="CF578" s="2422"/>
      <c r="CG578" s="2422"/>
      <c r="CH578" s="1891"/>
      <c r="CI578" s="1890">
        <f>IF(AND(AND(AZ575+AZ576+AZ577+AZ574+AZ573=0,BY576+CD577+BT575+BO574+BJ573=0,AP588=1)),1,0)</f>
        <v>0</v>
      </c>
      <c r="CJ578" s="2422"/>
      <c r="CK578" s="2422"/>
      <c r="CL578" s="2422"/>
      <c r="CM578" s="1891"/>
      <c r="CN578" s="65"/>
      <c r="CO578" s="65"/>
      <c r="CP578" s="65"/>
      <c r="CQ578" s="65"/>
      <c r="CR578" s="65"/>
    </row>
    <row r="579" spans="2:96" s="46" customFormat="1" ht="12.75" customHeight="1">
      <c r="E579" s="2571" t="s">
        <v>1645</v>
      </c>
      <c r="F579" s="2572"/>
      <c r="G579" s="2572"/>
      <c r="H579" s="2572"/>
      <c r="I579" s="2572"/>
      <c r="J579" s="2573"/>
      <c r="K579" s="2571" t="s">
        <v>1926</v>
      </c>
      <c r="L579" s="2572"/>
      <c r="M579" s="2572"/>
      <c r="N579" s="2572"/>
      <c r="O579" s="2572"/>
      <c r="P579" s="2573"/>
      <c r="Q579" s="2530" t="s">
        <v>1641</v>
      </c>
      <c r="R579" s="2531"/>
      <c r="S579" s="2531"/>
      <c r="T579" s="2531"/>
      <c r="U579" s="2531"/>
      <c r="V579" s="2532"/>
      <c r="W579" s="2530" t="str">
        <f>I568</f>
        <v>Percent of Low-Income Units (exclusive of manager’s units)</v>
      </c>
      <c r="X579" s="2531"/>
      <c r="Y579" s="2531"/>
      <c r="Z579" s="2531"/>
      <c r="AA579" s="2531"/>
      <c r="AB579" s="2532"/>
      <c r="AC579" s="2530" t="s">
        <v>1644</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890">
        <f>SUM(BJ573:BN578)</f>
        <v>0</v>
      </c>
      <c r="BK579" s="2422"/>
      <c r="BL579" s="2422"/>
      <c r="BM579" s="2422"/>
      <c r="BN579" s="1891"/>
      <c r="BO579" s="1890">
        <f>SUM(BO573:BS578)</f>
        <v>0</v>
      </c>
      <c r="BP579" s="2422"/>
      <c r="BQ579" s="2422"/>
      <c r="BR579" s="2422"/>
      <c r="BS579" s="1891"/>
      <c r="BT579" s="1890">
        <f>SUM(BT573:BX578)</f>
        <v>0</v>
      </c>
      <c r="BU579" s="2422"/>
      <c r="BV579" s="2422"/>
      <c r="BW579" s="2422"/>
      <c r="BX579" s="1891"/>
      <c r="BY579" s="1890">
        <f>SUM(BY573:CC578)</f>
        <v>0</v>
      </c>
      <c r="BZ579" s="2422"/>
      <c r="CA579" s="2422"/>
      <c r="CB579" s="2422"/>
      <c r="CC579" s="1891"/>
      <c r="CD579" s="1890">
        <f>SUM(CD573:CH578)</f>
        <v>0</v>
      </c>
      <c r="CE579" s="2422"/>
      <c r="CF579" s="2422"/>
      <c r="CG579" s="2422"/>
      <c r="CH579" s="1891"/>
      <c r="CI579" s="1890">
        <f>SUM(CI573:CM578)</f>
        <v>0</v>
      </c>
      <c r="CJ579" s="2422"/>
      <c r="CK579" s="2422"/>
      <c r="CL579" s="2422"/>
      <c r="CM579" s="1891"/>
      <c r="CN579" s="1890">
        <f>SUM(BJ579:CM579)</f>
        <v>0</v>
      </c>
      <c r="CO579" s="2422"/>
      <c r="CP579" s="2422"/>
      <c r="CQ579" s="2422"/>
      <c r="CR579" s="1891"/>
    </row>
    <row r="580" spans="2:96" s="46" customFormat="1" ht="12.75" customHeight="1">
      <c r="E580" s="2574"/>
      <c r="F580" s="2575"/>
      <c r="G580" s="2575"/>
      <c r="H580" s="2575"/>
      <c r="I580" s="2575"/>
      <c r="J580" s="2576"/>
      <c r="K580" s="2574"/>
      <c r="L580" s="2575"/>
      <c r="M580" s="2575"/>
      <c r="N580" s="2575"/>
      <c r="O580" s="2575"/>
      <c r="P580" s="2576"/>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574"/>
      <c r="F581" s="2575"/>
      <c r="G581" s="2575"/>
      <c r="H581" s="2575"/>
      <c r="I581" s="2575"/>
      <c r="J581" s="2576"/>
      <c r="K581" s="2574"/>
      <c r="L581" s="2575"/>
      <c r="M581" s="2575"/>
      <c r="N581" s="2575"/>
      <c r="O581" s="2575"/>
      <c r="P581" s="2576"/>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574"/>
      <c r="F582" s="2575"/>
      <c r="G582" s="2575"/>
      <c r="H582" s="2575"/>
      <c r="I582" s="2575"/>
      <c r="J582" s="2576"/>
      <c r="K582" s="2574"/>
      <c r="L582" s="2575"/>
      <c r="M582" s="2575"/>
      <c r="N582" s="2575"/>
      <c r="O582" s="2575"/>
      <c r="P582" s="2576"/>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1218</v>
      </c>
      <c r="BH582" s="63" t="s">
        <v>1219</v>
      </c>
    </row>
    <row r="583" spans="2:96" s="46" customFormat="1" ht="12.75" customHeight="1">
      <c r="E583" s="2302"/>
      <c r="F583" s="2303"/>
      <c r="G583" s="2303"/>
      <c r="H583" s="2303"/>
      <c r="I583" s="2303"/>
      <c r="J583" s="2304"/>
      <c r="K583" s="2299">
        <v>20</v>
      </c>
      <c r="L583" s="2300"/>
      <c r="M583" s="2300"/>
      <c r="N583" s="2300"/>
      <c r="O583" s="2300"/>
      <c r="P583" s="2301"/>
      <c r="Q583" s="2313">
        <f>IF(ISERROR(IF((((E583/$BJ$530)*100)&gt;100),"EXCESSIVE VALUE",(E583/$BJ$530)*100)),0,IF((((E583/$BJ$530)*100)&gt;100),"EXCESSIVE VALUE",(E583/$BJ$530)*100))</f>
        <v>0</v>
      </c>
      <c r="R583" s="2314"/>
      <c r="S583" s="2314"/>
      <c r="T583" s="2314"/>
      <c r="U583" s="2314"/>
      <c r="V583" s="2315"/>
      <c r="W583" s="2305">
        <f>IF(FLOOR(Q583,5)&gt;80,80,FLOOR(Q583,5))</f>
        <v>0</v>
      </c>
      <c r="X583" s="2306"/>
      <c r="Y583" s="2306"/>
      <c r="Z583" s="2306"/>
      <c r="AA583" s="2306"/>
      <c r="AB583" s="2307"/>
      <c r="AC583" s="2305">
        <f t="shared" ref="AC583:AC588" si="4">IF(W583&gt;0,INDEX($BI$509:$BP$523,MATCH(W583,$BH$509:$BH$523,0),MATCH(K583,$BI$508:$BP$508,0)),0)</f>
        <v>0</v>
      </c>
      <c r="AD583" s="2306"/>
      <c r="AE583" s="2306"/>
      <c r="AF583" s="2306"/>
      <c r="AG583" s="2306"/>
      <c r="AH583" s="2307"/>
      <c r="AN583" s="439"/>
      <c r="AO583" s="46">
        <v>5</v>
      </c>
      <c r="AP583" s="2435">
        <f t="shared" ref="AP583:AP588" si="5">IF(OR(BE573&gt;=0.1,BE573=0),0,1)</f>
        <v>0</v>
      </c>
      <c r="AQ583" s="2436"/>
      <c r="AR583" s="2436"/>
      <c r="AS583" s="2436"/>
      <c r="AT583" s="2437"/>
      <c r="AX583" s="2408" t="s">
        <v>862</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2">
        <v>5</v>
      </c>
      <c r="F584" s="2303"/>
      <c r="G584" s="2303"/>
      <c r="H584" s="2303"/>
      <c r="I584" s="2303"/>
      <c r="J584" s="2304"/>
      <c r="K584" s="2299">
        <v>30</v>
      </c>
      <c r="L584" s="2300"/>
      <c r="M584" s="2300"/>
      <c r="N584" s="2300"/>
      <c r="O584" s="2300"/>
      <c r="P584" s="2301"/>
      <c r="Q584" s="2313">
        <f t="shared" ref="Q584:Q591" si="6">IF(ISERROR(IF((((E584/$BJ$530)*100)&gt;100),"EXCESSIVE VALUE",(E584/$BJ$530)*100)),0,IF((((E584/$BJ$530)*100)&gt;100),"EXCESSIVE VALUE",(E584/$BJ$530)*100))</f>
        <v>10.638297872340425</v>
      </c>
      <c r="R584" s="2314"/>
      <c r="S584" s="2314"/>
      <c r="T584" s="2314"/>
      <c r="U584" s="2314"/>
      <c r="V584" s="2315"/>
      <c r="W584" s="2305">
        <f>IF(FLOOR(Q584,5)&gt;80,80,FLOOR(Q584,5))</f>
        <v>10</v>
      </c>
      <c r="X584" s="2306"/>
      <c r="Y584" s="2306"/>
      <c r="Z584" s="2306"/>
      <c r="AA584" s="2306"/>
      <c r="AB584" s="2307"/>
      <c r="AC584" s="2305">
        <f t="shared" si="4"/>
        <v>15</v>
      </c>
      <c r="AD584" s="2306"/>
      <c r="AE584" s="2306"/>
      <c r="AF584" s="2306"/>
      <c r="AG584" s="2306"/>
      <c r="AH584" s="2307"/>
      <c r="AN584" s="439"/>
      <c r="AO584" s="46">
        <v>4</v>
      </c>
      <c r="AP584" s="2435">
        <f t="shared" si="5"/>
        <v>0</v>
      </c>
      <c r="AQ584" s="2436"/>
      <c r="AR584" s="2436"/>
      <c r="AS584" s="2436"/>
      <c r="AT584" s="2437"/>
      <c r="AX584" s="2433" t="s">
        <v>677</v>
      </c>
      <c r="AY584" s="2434"/>
      <c r="AZ584" s="1806" t="s">
        <v>677</v>
      </c>
      <c r="BA584" s="1807"/>
      <c r="BB584" s="2433" t="s">
        <v>292</v>
      </c>
      <c r="BC584" s="2434"/>
      <c r="BD584" s="2423" t="s">
        <v>292</v>
      </c>
      <c r="BE584" s="2425"/>
      <c r="BF584" s="2433" t="s">
        <v>291</v>
      </c>
      <c r="BG584" s="2434"/>
      <c r="BH584" s="2423" t="s">
        <v>291</v>
      </c>
      <c r="BI584" s="2425"/>
      <c r="BJ584" s="2433" t="s">
        <v>290</v>
      </c>
      <c r="BK584" s="2434"/>
      <c r="BL584" s="2423" t="s">
        <v>290</v>
      </c>
      <c r="BM584" s="2425"/>
      <c r="BN584" s="2433" t="s">
        <v>676</v>
      </c>
      <c r="BO584" s="2434"/>
      <c r="BP584" s="2423" t="s">
        <v>676</v>
      </c>
      <c r="BQ584" s="2425"/>
    </row>
    <row r="585" spans="2:96" s="46" customFormat="1" ht="12.75" customHeight="1">
      <c r="E585" s="2302"/>
      <c r="F585" s="2303"/>
      <c r="G585" s="2303"/>
      <c r="H585" s="2303"/>
      <c r="I585" s="2303"/>
      <c r="J585" s="2304"/>
      <c r="K585" s="2299">
        <v>35</v>
      </c>
      <c r="L585" s="2300"/>
      <c r="M585" s="2300"/>
      <c r="N585" s="2300"/>
      <c r="O585" s="2300"/>
      <c r="P585" s="2301"/>
      <c r="Q585" s="2313">
        <f t="shared" si="6"/>
        <v>0</v>
      </c>
      <c r="R585" s="2314"/>
      <c r="S585" s="2314"/>
      <c r="T585" s="2314"/>
      <c r="U585" s="2314"/>
      <c r="V585" s="2315"/>
      <c r="W585" s="2305">
        <f t="shared" ref="W585:W591" si="7">IF(FLOOR(Q585,5)&gt;80,80,FLOOR(Q585,5))</f>
        <v>0</v>
      </c>
      <c r="X585" s="2306"/>
      <c r="Y585" s="2306"/>
      <c r="Z585" s="2306"/>
      <c r="AA585" s="2306"/>
      <c r="AB585" s="2307"/>
      <c r="AC585" s="2305">
        <f t="shared" si="4"/>
        <v>0</v>
      </c>
      <c r="AD585" s="2306"/>
      <c r="AE585" s="2306"/>
      <c r="AF585" s="2306"/>
      <c r="AG585" s="2306"/>
      <c r="AH585" s="2307"/>
      <c r="AN585" s="439"/>
      <c r="AO585" s="137">
        <v>3</v>
      </c>
      <c r="AP585" s="2299">
        <f t="shared" si="5"/>
        <v>0</v>
      </c>
      <c r="AQ585" s="2300"/>
      <c r="AR585" s="2300"/>
      <c r="AS585" s="2300"/>
      <c r="AT585" s="2301"/>
      <c r="AX585" s="2433">
        <f>IF(AP535=1,1,0)</f>
        <v>0</v>
      </c>
      <c r="AY585" s="2434"/>
      <c r="AZ585" s="2408"/>
      <c r="BA585" s="2409"/>
      <c r="BB585" s="2431"/>
      <c r="BC585" s="2432"/>
      <c r="BD585" s="2423">
        <f>IF(AND(T608&gt;0,AP535&gt;0),1,0)</f>
        <v>1</v>
      </c>
      <c r="BE585" s="2425"/>
      <c r="BF585" s="2431"/>
      <c r="BG585" s="2432"/>
      <c r="BH585" s="2423">
        <f>IF(AND(T608&gt;0,AP535&gt;0),1,0)</f>
        <v>1</v>
      </c>
      <c r="BI585" s="2425"/>
      <c r="BJ585" s="2431"/>
      <c r="BK585" s="2432"/>
      <c r="BL585" s="2423">
        <f>IF(AND(T608&gt;0,AP535&gt;0),1,0)</f>
        <v>1</v>
      </c>
      <c r="BM585" s="2425"/>
      <c r="BN585" s="2431"/>
      <c r="BO585" s="2432"/>
      <c r="BP585" s="2423">
        <f>IF(AND(T608&gt;0,AP535&gt;0),1,0)</f>
        <v>1</v>
      </c>
      <c r="BQ585" s="2425"/>
    </row>
    <row r="586" spans="2:96" s="46" customFormat="1" ht="12.75" customHeight="1">
      <c r="E586" s="2302">
        <v>8</v>
      </c>
      <c r="F586" s="2303"/>
      <c r="G586" s="2303"/>
      <c r="H586" s="2303"/>
      <c r="I586" s="2303"/>
      <c r="J586" s="2304"/>
      <c r="K586" s="2299">
        <v>40</v>
      </c>
      <c r="L586" s="2300"/>
      <c r="M586" s="2300"/>
      <c r="N586" s="2300"/>
      <c r="O586" s="2300"/>
      <c r="P586" s="2301"/>
      <c r="Q586" s="2313">
        <f t="shared" si="6"/>
        <v>17.021276595744681</v>
      </c>
      <c r="R586" s="2314"/>
      <c r="S586" s="2314"/>
      <c r="T586" s="2314"/>
      <c r="U586" s="2314"/>
      <c r="V586" s="2315"/>
      <c r="W586" s="2305">
        <f t="shared" si="7"/>
        <v>15</v>
      </c>
      <c r="X586" s="2306"/>
      <c r="Y586" s="2306"/>
      <c r="Z586" s="2306"/>
      <c r="AA586" s="2306"/>
      <c r="AB586" s="2307"/>
      <c r="AC586" s="2305">
        <f t="shared" si="4"/>
        <v>15</v>
      </c>
      <c r="AD586" s="2306"/>
      <c r="AE586" s="2306"/>
      <c r="AF586" s="2306"/>
      <c r="AG586" s="2306"/>
      <c r="AH586" s="2307"/>
      <c r="AN586" s="439"/>
      <c r="AO586" s="46">
        <v>2</v>
      </c>
      <c r="AP586" s="2435">
        <f t="shared" si="5"/>
        <v>1</v>
      </c>
      <c r="AQ586" s="2436"/>
      <c r="AR586" s="2436"/>
      <c r="AS586" s="2436"/>
      <c r="AT586" s="2437"/>
      <c r="AX586" s="2431"/>
      <c r="AY586" s="2432"/>
      <c r="AZ586" s="2408"/>
      <c r="BA586" s="2409"/>
      <c r="BB586" s="2433">
        <f>IF(AP536=1,1,0)</f>
        <v>1</v>
      </c>
      <c r="BC586" s="2434"/>
      <c r="BD586" s="2408"/>
      <c r="BE586" s="2409"/>
      <c r="BF586" s="2431"/>
      <c r="BG586" s="2432"/>
      <c r="BH586" s="2423">
        <f>IF(AND(T609&gt;0,AP536&gt;0),1,0)</f>
        <v>1</v>
      </c>
      <c r="BI586" s="2425"/>
      <c r="BJ586" s="2431"/>
      <c r="BK586" s="2432"/>
      <c r="BL586" s="2423">
        <f>IF(AND(T609&gt;0,AP536&gt;0),1,0)</f>
        <v>1</v>
      </c>
      <c r="BM586" s="2425"/>
      <c r="BN586" s="2431"/>
      <c r="BO586" s="2432"/>
      <c r="BP586" s="2423">
        <f>IF(AND(T609&gt;0,AP536&gt;0),1,0)</f>
        <v>1</v>
      </c>
      <c r="BQ586" s="2425"/>
    </row>
    <row r="587" spans="2:96" s="46" customFormat="1" ht="12.75" customHeight="1">
      <c r="E587" s="2302"/>
      <c r="F587" s="2303"/>
      <c r="G587" s="2303"/>
      <c r="H587" s="2303"/>
      <c r="I587" s="2303"/>
      <c r="J587" s="2304"/>
      <c r="K587" s="2299">
        <v>45</v>
      </c>
      <c r="L587" s="2300"/>
      <c r="M587" s="2300"/>
      <c r="N587" s="2300"/>
      <c r="O587" s="2300"/>
      <c r="P587" s="2301"/>
      <c r="Q587" s="2313">
        <f t="shared" si="6"/>
        <v>0</v>
      </c>
      <c r="R587" s="2314"/>
      <c r="S587" s="2314"/>
      <c r="T587" s="2314"/>
      <c r="U587" s="2314"/>
      <c r="V587" s="2315"/>
      <c r="W587" s="2305">
        <f>IF(FLOOR(Q587,5)&gt;65,65,FLOOR(Q587,5))</f>
        <v>0</v>
      </c>
      <c r="X587" s="2306"/>
      <c r="Y587" s="2306"/>
      <c r="Z587" s="2306"/>
      <c r="AA587" s="2306"/>
      <c r="AB587" s="2307"/>
      <c r="AC587" s="2305">
        <f t="shared" si="4"/>
        <v>0</v>
      </c>
      <c r="AD587" s="2306"/>
      <c r="AE587" s="2306"/>
      <c r="AF587" s="2306"/>
      <c r="AG587" s="2306"/>
      <c r="AH587" s="2307"/>
      <c r="AN587" s="439"/>
      <c r="AO587" s="46">
        <v>1</v>
      </c>
      <c r="AP587" s="2435">
        <f t="shared" si="5"/>
        <v>0</v>
      </c>
      <c r="AQ587" s="2436"/>
      <c r="AR587" s="2436"/>
      <c r="AS587" s="2436"/>
      <c r="AT587" s="2437"/>
      <c r="AX587" s="2431"/>
      <c r="AY587" s="2432"/>
      <c r="AZ587" s="2408"/>
      <c r="BA587" s="2409"/>
      <c r="BB587" s="2431"/>
      <c r="BC587" s="2432"/>
      <c r="BD587" s="2408"/>
      <c r="BE587" s="2409"/>
      <c r="BF587" s="2433">
        <f>IF(AP537=1,1,0)</f>
        <v>0</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2"/>
      <c r="F588" s="2303"/>
      <c r="G588" s="2303"/>
      <c r="H588" s="2303"/>
      <c r="I588" s="2303"/>
      <c r="J588" s="2304"/>
      <c r="K588" s="2299">
        <v>50</v>
      </c>
      <c r="L588" s="2300"/>
      <c r="M588" s="2300"/>
      <c r="N588" s="2300"/>
      <c r="O588" s="2300"/>
      <c r="P588" s="2301"/>
      <c r="Q588" s="2313">
        <f t="shared" si="6"/>
        <v>0</v>
      </c>
      <c r="R588" s="2314"/>
      <c r="S588" s="2314"/>
      <c r="T588" s="2314"/>
      <c r="U588" s="2314"/>
      <c r="V588" s="2315"/>
      <c r="W588" s="2305">
        <f>IF(FLOOR(Q588,5)&gt;40,40,FLOOR(Q588,5))</f>
        <v>0</v>
      </c>
      <c r="X588" s="2306"/>
      <c r="Y588" s="2306"/>
      <c r="Z588" s="2306"/>
      <c r="AA588" s="2306"/>
      <c r="AB588" s="2307"/>
      <c r="AC588" s="2305">
        <f t="shared" si="4"/>
        <v>0</v>
      </c>
      <c r="AD588" s="2306"/>
      <c r="AE588" s="2306"/>
      <c r="AF588" s="2306"/>
      <c r="AG588" s="2306"/>
      <c r="AH588" s="2307"/>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0</v>
      </c>
      <c r="BK588" s="2434"/>
      <c r="BL588" s="2431"/>
      <c r="BM588" s="2432"/>
      <c r="BN588" s="2431"/>
      <c r="BO588" s="2432"/>
      <c r="BP588" s="2423">
        <f>IF(AND(T611&gt;0,AP538&gt;0),1,0)</f>
        <v>0</v>
      </c>
      <c r="BQ588" s="2425"/>
    </row>
    <row r="589" spans="2:96" s="46" customFormat="1" ht="12.75" customHeight="1">
      <c r="E589" s="2400">
        <v>19</v>
      </c>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50</v>
      </c>
      <c r="L589" s="2397"/>
      <c r="M589" s="2398" t="s">
        <v>2027</v>
      </c>
      <c r="N589" s="2398"/>
      <c r="O589" s="2398"/>
      <c r="P589" s="2399"/>
      <c r="Q589" s="2313">
        <f t="shared" si="6"/>
        <v>40.425531914893611</v>
      </c>
      <c r="R589" s="2314"/>
      <c r="S589" s="2314"/>
      <c r="T589" s="2314"/>
      <c r="U589" s="2314"/>
      <c r="V589" s="2315"/>
      <c r="W589" s="2305">
        <f>IF(FLOOR(Q589,5)&gt;50,50,FLOOR(Q589,5))</f>
        <v>40</v>
      </c>
      <c r="X589" s="2306"/>
      <c r="Y589" s="2306"/>
      <c r="Z589" s="2306"/>
      <c r="AA589" s="2306"/>
      <c r="AB589" s="2307"/>
      <c r="AC589" s="2305">
        <f>IF(W589&gt;0,INDEX($AT$509:$BA$523,MATCH(W589,$AS$509:$AS$523,0),MATCH(K589,$AT$508:$BA$508,0)),0)</f>
        <v>20</v>
      </c>
      <c r="AD589" s="2306"/>
      <c r="AE589" s="2306"/>
      <c r="AF589" s="2306"/>
      <c r="AG589" s="2306"/>
      <c r="AH589" s="2307"/>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55</v>
      </c>
      <c r="L590" s="2397"/>
      <c r="M590" s="2398" t="s">
        <v>2027</v>
      </c>
      <c r="N590" s="2398"/>
      <c r="O590" s="2398"/>
      <c r="P590" s="2399"/>
      <c r="Q590" s="2313">
        <f t="shared" si="6"/>
        <v>0</v>
      </c>
      <c r="R590" s="2314"/>
      <c r="S590" s="2314"/>
      <c r="T590" s="2314"/>
      <c r="U590" s="2314"/>
      <c r="V590" s="2315"/>
      <c r="W590" s="2305">
        <f>IF(FLOOR(Q590,5)&gt;40,40,FLOOR(Q590,5))</f>
        <v>0</v>
      </c>
      <c r="X590" s="2306"/>
      <c r="Y590" s="2306"/>
      <c r="Z590" s="2306"/>
      <c r="AA590" s="2306"/>
      <c r="AB590" s="2307"/>
      <c r="AC590" s="2305">
        <f>IF(W590&gt;0,INDEX($AT$509:$BA$523,MATCH(W590,$AS$509:$AS$523,0),MATCH(K590,$AT$508:$BA$508,0)),0)</f>
        <v>0</v>
      </c>
      <c r="AD590" s="2306"/>
      <c r="AE590" s="2306"/>
      <c r="AF590" s="2306"/>
      <c r="AG590" s="2306"/>
      <c r="AH590" s="2307"/>
      <c r="AN590" s="439"/>
      <c r="AX590" s="2433">
        <f>SUM(AX585:AY589)</f>
        <v>0</v>
      </c>
      <c r="AY590" s="2434"/>
      <c r="AZ590" s="2423">
        <f>SUM(AZ586:BA589)</f>
        <v>0</v>
      </c>
      <c r="BA590" s="2425"/>
      <c r="BB590" s="2433">
        <f>SUM(BB586:BC589)</f>
        <v>1</v>
      </c>
      <c r="BC590" s="2434"/>
      <c r="BD590" s="2423">
        <f>SUM(BD585:BE589)</f>
        <v>1</v>
      </c>
      <c r="BE590" s="2425"/>
      <c r="BF590" s="2433">
        <f>SUM(BF587:BG589)</f>
        <v>0</v>
      </c>
      <c r="BG590" s="2434"/>
      <c r="BH590" s="2423">
        <f>SUM(BH585:BI589)</f>
        <v>2</v>
      </c>
      <c r="BI590" s="2425"/>
      <c r="BJ590" s="2433">
        <f>SUM(BJ585:BK589)</f>
        <v>0</v>
      </c>
      <c r="BK590" s="2434"/>
      <c r="BL590" s="2423">
        <f>SUM(BL585:BM589)</f>
        <v>3</v>
      </c>
      <c r="BM590" s="2425"/>
      <c r="BN590" s="2433">
        <f>SUM(BN585:BO589)</f>
        <v>0</v>
      </c>
      <c r="BO590" s="2434"/>
      <c r="BP590" s="2423">
        <f>SUM(BP585:BQ589)</f>
        <v>3</v>
      </c>
      <c r="BQ590" s="2425"/>
    </row>
    <row r="591" spans="2:96" s="46" customFormat="1" ht="12.75" customHeight="1">
      <c r="E591" s="2302">
        <v>15</v>
      </c>
      <c r="F591" s="2303"/>
      <c r="G591" s="2303"/>
      <c r="H591" s="2303"/>
      <c r="I591" s="2303"/>
      <c r="J591" s="2304"/>
      <c r="K591" s="2299" t="s">
        <v>2028</v>
      </c>
      <c r="L591" s="2300"/>
      <c r="M591" s="2300"/>
      <c r="N591" s="2300"/>
      <c r="O591" s="2300"/>
      <c r="P591" s="2301"/>
      <c r="Q591" s="2313">
        <f t="shared" si="6"/>
        <v>31.914893617021278</v>
      </c>
      <c r="R591" s="2314"/>
      <c r="S591" s="2314"/>
      <c r="T591" s="2314"/>
      <c r="U591" s="2314"/>
      <c r="V591" s="2315"/>
      <c r="W591" s="2305">
        <f t="shared" si="7"/>
        <v>30</v>
      </c>
      <c r="X591" s="2306"/>
      <c r="Y591" s="2306"/>
      <c r="Z591" s="2306"/>
      <c r="AA591" s="2306"/>
      <c r="AB591" s="2307"/>
      <c r="AC591" s="2305">
        <v>0</v>
      </c>
      <c r="AD591" s="2306"/>
      <c r="AE591" s="2306"/>
      <c r="AF591" s="2306"/>
      <c r="AG591" s="2306"/>
      <c r="AH591" s="2307"/>
      <c r="AN591" s="439"/>
      <c r="AX591" s="2428">
        <f>IF(AND(AX590=1,AZ590&gt;1),1,0)</f>
        <v>0</v>
      </c>
      <c r="AY591" s="2429"/>
      <c r="AZ591" s="2429"/>
      <c r="BA591" s="2430"/>
      <c r="BB591" s="2428">
        <f>IF(AND(BB590=1,BD590&gt;=1),1,0)</f>
        <v>1</v>
      </c>
      <c r="BC591" s="2429"/>
      <c r="BD591" s="2429"/>
      <c r="BE591" s="2430"/>
      <c r="BF591" s="2428">
        <f>IF(AND(BF590=1,BH590&gt;=1),1,0)</f>
        <v>0</v>
      </c>
      <c r="BG591" s="2429"/>
      <c r="BH591" s="2429"/>
      <c r="BI591" s="2430"/>
      <c r="BJ591" s="2428">
        <f>IF(AND(BJ590=1,BL590&gt;=1),1,0)</f>
        <v>0</v>
      </c>
      <c r="BK591" s="2429"/>
      <c r="BL591" s="2429"/>
      <c r="BM591" s="2430"/>
      <c r="BN591" s="2428">
        <f>IF(AND(BN590=1,BP590&gt;=1),1,0)</f>
        <v>0</v>
      </c>
      <c r="BO591" s="2429"/>
      <c r="BP591" s="2429"/>
      <c r="BQ591" s="2430"/>
    </row>
    <row r="592" spans="2:96" s="46" customFormat="1" ht="12.75" customHeight="1">
      <c r="E592" s="2543">
        <f>SUM(E583:J591)</f>
        <v>47</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666</v>
      </c>
      <c r="AC592" s="2540">
        <f>IF(SUM(AC583:AH591)&gt;0,SUM(AC583:AH591),0)</f>
        <v>50</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671</v>
      </c>
      <c r="BJ592" s="2428">
        <f>AX591+BB591+BF591+BJ591+BN591</f>
        <v>1</v>
      </c>
      <c r="BK592" s="2429"/>
      <c r="BL592" s="2429"/>
      <c r="BM592" s="243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0" t="s">
        <v>114</v>
      </c>
      <c r="AH595" s="2320"/>
      <c r="AI595" s="2320"/>
      <c r="AJ595" s="2320"/>
      <c r="AK595" s="8"/>
      <c r="AL595" s="8"/>
      <c r="AM595" s="8"/>
      <c r="AN595" s="439"/>
    </row>
    <row r="596" spans="1:69" s="46" customFormat="1" ht="12.75" customHeight="1">
      <c r="B596" s="2533" t="s">
        <v>2004</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084"/>
    </row>
    <row r="602" spans="1:69">
      <c r="E602" s="245"/>
      <c r="BD602" s="65"/>
      <c r="BE602" s="65"/>
      <c r="BF602" s="65"/>
      <c r="BG602" s="65"/>
      <c r="BH602" s="65"/>
    </row>
    <row r="603" spans="1:69" ht="12.75" customHeight="1">
      <c r="J603" s="2484" t="s">
        <v>863</v>
      </c>
      <c r="K603" s="2485"/>
      <c r="L603" s="2485"/>
      <c r="M603" s="2485"/>
      <c r="N603" s="2486"/>
      <c r="O603" s="2530" t="s">
        <v>1642</v>
      </c>
      <c r="P603" s="2531"/>
      <c r="Q603" s="2531"/>
      <c r="R603" s="2531"/>
      <c r="S603" s="2532"/>
      <c r="T603" s="2530" t="s">
        <v>1936</v>
      </c>
      <c r="U603" s="2531"/>
      <c r="V603" s="2531"/>
      <c r="W603" s="2531"/>
      <c r="X603" s="2532"/>
      <c r="Y603" s="2530" t="s">
        <v>1643</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487"/>
      <c r="K605" s="2488"/>
      <c r="L605" s="2488"/>
      <c r="M605" s="2488"/>
      <c r="N605" s="2489"/>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487"/>
      <c r="K606" s="2488"/>
      <c r="L606" s="2488"/>
      <c r="M606" s="2488"/>
      <c r="N606" s="2489"/>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383" t="s">
        <v>250</v>
      </c>
      <c r="K607" s="2384"/>
      <c r="L607" s="2384"/>
      <c r="M607" s="2384"/>
      <c r="N607" s="2385"/>
      <c r="O607" s="2299">
        <f>Application!CM627</f>
        <v>0</v>
      </c>
      <c r="P607" s="2300"/>
      <c r="Q607" s="2300"/>
      <c r="R607" s="2300"/>
      <c r="S607" s="2301"/>
      <c r="T607" s="2299">
        <f>Application!DR628</f>
        <v>0</v>
      </c>
      <c r="U607" s="2300"/>
      <c r="V607" s="2300"/>
      <c r="W607" s="2300"/>
      <c r="X607" s="2301"/>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299">
        <f>Application!CH627</f>
        <v>8</v>
      </c>
      <c r="P608" s="2300"/>
      <c r="Q608" s="2300"/>
      <c r="R608" s="2300"/>
      <c r="S608" s="2301"/>
      <c r="T608" s="2299">
        <f>Application!DM628</f>
        <v>1</v>
      </c>
      <c r="U608" s="2300"/>
      <c r="V608" s="2300"/>
      <c r="W608" s="2300"/>
      <c r="X608" s="2301"/>
      <c r="Y608" s="2386">
        <f t="shared" si="8"/>
        <v>0.125</v>
      </c>
      <c r="Z608" s="2387"/>
      <c r="AA608" s="2387"/>
      <c r="AB608" s="2387"/>
      <c r="AC608" s="2388"/>
      <c r="AD608" s="42"/>
      <c r="AF608" s="16"/>
      <c r="AG608" s="16"/>
      <c r="AH608" s="16"/>
      <c r="AI608" s="16"/>
      <c r="AJ608" s="16"/>
    </row>
    <row r="609" spans="1:60">
      <c r="D609" s="16"/>
      <c r="E609" s="16"/>
      <c r="F609" s="16"/>
      <c r="G609" s="16"/>
      <c r="H609" s="16"/>
      <c r="I609" s="16"/>
      <c r="J609" s="2383" t="s">
        <v>292</v>
      </c>
      <c r="K609" s="2384"/>
      <c r="L609" s="2384"/>
      <c r="M609" s="2384"/>
      <c r="N609" s="2385"/>
      <c r="O609" s="2299">
        <f>Application!CC627</f>
        <v>23</v>
      </c>
      <c r="P609" s="2300"/>
      <c r="Q609" s="2300"/>
      <c r="R609" s="2300"/>
      <c r="S609" s="2301"/>
      <c r="T609" s="2299">
        <f>Application!DH628</f>
        <v>3</v>
      </c>
      <c r="U609" s="2300"/>
      <c r="V609" s="2300"/>
      <c r="W609" s="2300"/>
      <c r="X609" s="2301"/>
      <c r="Y609" s="2386">
        <f t="shared" si="8"/>
        <v>0.13043478260869565</v>
      </c>
      <c r="Z609" s="2387"/>
      <c r="AA609" s="2387"/>
      <c r="AB609" s="2387"/>
      <c r="AC609" s="2388"/>
      <c r="AD609" s="16"/>
      <c r="AF609" s="16"/>
      <c r="AG609" s="16"/>
      <c r="AH609" s="16"/>
      <c r="AI609" s="16"/>
      <c r="AJ609" s="16"/>
      <c r="AN609" s="1100"/>
    </row>
    <row r="610" spans="1:60">
      <c r="D610" s="16"/>
      <c r="E610" s="16"/>
      <c r="F610" s="16"/>
      <c r="G610" s="16"/>
      <c r="H610" s="16"/>
      <c r="I610" s="16"/>
      <c r="J610" s="2383" t="s">
        <v>291</v>
      </c>
      <c r="K610" s="2384"/>
      <c r="L610" s="2384"/>
      <c r="M610" s="2384"/>
      <c r="N610" s="2385"/>
      <c r="O610" s="2299">
        <f>Application!BX627</f>
        <v>16</v>
      </c>
      <c r="P610" s="2300"/>
      <c r="Q610" s="2300"/>
      <c r="R610" s="2300"/>
      <c r="S610" s="2301"/>
      <c r="T610" s="2299">
        <f>Application!DC628</f>
        <v>1</v>
      </c>
      <c r="U610" s="2300"/>
      <c r="V610" s="2300"/>
      <c r="W610" s="2300"/>
      <c r="X610" s="2301"/>
      <c r="Y610" s="2386">
        <f t="shared" si="8"/>
        <v>6.25E-2</v>
      </c>
      <c r="Z610" s="2387"/>
      <c r="AA610" s="2387"/>
      <c r="AB610" s="2387"/>
      <c r="AC610" s="2388"/>
      <c r="AD610" s="16"/>
      <c r="AF610" s="16"/>
      <c r="AG610" s="16"/>
      <c r="AH610" s="16"/>
      <c r="AI610" s="16"/>
      <c r="AJ610" s="16"/>
      <c r="AN610" s="1100"/>
      <c r="AO610" s="46"/>
      <c r="AP610" s="30"/>
      <c r="AQ610" s="30"/>
      <c r="AR610" s="30"/>
      <c r="AS610" s="30"/>
      <c r="AT610" s="30"/>
    </row>
    <row r="611" spans="1:60">
      <c r="D611" s="16"/>
      <c r="E611" s="16"/>
      <c r="F611" s="16"/>
      <c r="G611" s="16"/>
      <c r="H611" s="16"/>
      <c r="I611" s="16"/>
      <c r="J611" s="2383" t="s">
        <v>290</v>
      </c>
      <c r="K611" s="2384"/>
      <c r="L611" s="2384"/>
      <c r="M611" s="2384"/>
      <c r="N611" s="2385"/>
      <c r="O611" s="2299">
        <f>Application!BS627</f>
        <v>0</v>
      </c>
      <c r="P611" s="2300"/>
      <c r="Q611" s="2300"/>
      <c r="R611" s="2300"/>
      <c r="S611" s="2301"/>
      <c r="T611" s="2299">
        <f>Application!CX628</f>
        <v>0</v>
      </c>
      <c r="U611" s="2300"/>
      <c r="V611" s="2300"/>
      <c r="W611" s="2300"/>
      <c r="X611" s="2301"/>
      <c r="Y611" s="2386">
        <f t="shared" si="8"/>
        <v>0</v>
      </c>
      <c r="Z611" s="2387"/>
      <c r="AA611" s="2387"/>
      <c r="AB611" s="2387"/>
      <c r="AC611" s="2388"/>
      <c r="AD611" s="16"/>
      <c r="AF611" s="16"/>
      <c r="AG611" s="16"/>
      <c r="AH611" s="16"/>
      <c r="AI611" s="16"/>
      <c r="AJ611" s="16"/>
      <c r="AN611" s="1100"/>
      <c r="AQ611" s="30"/>
      <c r="AR611" s="30"/>
      <c r="AS611" s="30"/>
      <c r="AT611" s="30"/>
    </row>
    <row r="612" spans="1:60">
      <c r="D612" s="16"/>
      <c r="E612" s="16"/>
      <c r="F612" s="16"/>
      <c r="G612" s="16"/>
      <c r="H612" s="16"/>
      <c r="I612" s="16"/>
      <c r="J612" s="2383" t="s">
        <v>676</v>
      </c>
      <c r="K612" s="2384"/>
      <c r="L612" s="2384"/>
      <c r="M612" s="2384"/>
      <c r="N612" s="2385"/>
      <c r="O612" s="2299">
        <f>Application!BN627</f>
        <v>0</v>
      </c>
      <c r="P612" s="2300"/>
      <c r="Q612" s="2300"/>
      <c r="R612" s="2300"/>
      <c r="S612" s="2301"/>
      <c r="T612" s="2299">
        <f>Application!CS628</f>
        <v>0</v>
      </c>
      <c r="U612" s="2300"/>
      <c r="V612" s="2300"/>
      <c r="W612" s="2300"/>
      <c r="X612" s="2301"/>
      <c r="Y612" s="2386">
        <f t="shared" si="8"/>
        <v>0</v>
      </c>
      <c r="Z612" s="2387"/>
      <c r="AA612" s="2387"/>
      <c r="AB612" s="2387"/>
      <c r="AC612" s="2388"/>
      <c r="AD612" s="16"/>
      <c r="AF612" s="16"/>
      <c r="AG612" s="16"/>
      <c r="AH612" s="16"/>
      <c r="AI612" s="16"/>
      <c r="AJ612" s="16"/>
      <c r="AN612" s="1100"/>
      <c r="AQ612" s="30"/>
      <c r="AR612" s="30"/>
      <c r="AS612" s="30"/>
      <c r="AT612" s="30"/>
    </row>
    <row r="613" spans="1:60" ht="13.1">
      <c r="D613" s="16"/>
      <c r="E613" s="16"/>
      <c r="F613" s="16"/>
      <c r="G613" s="16"/>
      <c r="H613" s="16"/>
      <c r="I613" s="16"/>
      <c r="J613" s="2527" t="s">
        <v>954</v>
      </c>
      <c r="K613" s="2528"/>
      <c r="L613" s="2528"/>
      <c r="M613" s="2528"/>
      <c r="N613" s="2529"/>
      <c r="O613" s="2524">
        <f>SUM(O607:S612)</f>
        <v>47</v>
      </c>
      <c r="P613" s="2525"/>
      <c r="Q613" s="2525"/>
      <c r="R613" s="2525"/>
      <c r="S613" s="2526"/>
      <c r="T613" s="2524">
        <f>SUM(T607:X612)</f>
        <v>5</v>
      </c>
      <c r="U613" s="2525"/>
      <c r="V613" s="2525"/>
      <c r="W613" s="2525"/>
      <c r="X613" s="2526"/>
      <c r="Y613" s="2480" t="s">
        <v>258</v>
      </c>
      <c r="Z613" s="2481"/>
      <c r="AA613" s="2481"/>
      <c r="AB613" s="2481"/>
      <c r="AC613" s="248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
      <c r="A616" s="1776" t="s">
        <v>1646</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16">
        <v>2</v>
      </c>
      <c r="AK616" s="251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
      <c r="A618" s="2343" t="s">
        <v>196</v>
      </c>
      <c r="B618" s="2343"/>
      <c r="C618" s="2343"/>
      <c r="D618" s="2343"/>
      <c r="E618" s="2343"/>
      <c r="F618" s="2343"/>
      <c r="G618" s="2343"/>
      <c r="H618" s="2343"/>
      <c r="I618" s="2343"/>
      <c r="J618" s="2343"/>
      <c r="K618" s="2343"/>
      <c r="L618" s="2343"/>
      <c r="M618" s="2343"/>
      <c r="N618" s="2343"/>
      <c r="O618" s="2343"/>
      <c r="P618" s="2343"/>
      <c r="Q618" s="2343"/>
      <c r="R618" s="2343"/>
      <c r="S618" s="2343"/>
      <c r="T618" s="2343"/>
      <c r="U618" s="2343"/>
      <c r="V618" s="2343"/>
      <c r="W618" s="2343"/>
      <c r="X618" s="2343"/>
      <c r="Y618" s="2343"/>
      <c r="Z618" s="2343"/>
      <c r="AA618" s="2343"/>
      <c r="AB618" s="2343"/>
      <c r="AC618" s="2343"/>
      <c r="AD618" s="2343"/>
      <c r="AE618" s="2343"/>
      <c r="AF618" s="2343"/>
      <c r="AG618" s="2343"/>
      <c r="AH618" s="2343"/>
      <c r="AI618" s="2343"/>
      <c r="AJ618" s="2343"/>
      <c r="AK618" s="2317">
        <f>IF($AC$592=0,0,$AC$592+$AJ$616)</f>
        <v>52</v>
      </c>
      <c r="AL618" s="2318"/>
      <c r="AM618" s="2319"/>
      <c r="AN618" s="1100"/>
      <c r="BD618" s="65"/>
      <c r="BE618" s="65"/>
      <c r="BF618" s="65"/>
      <c r="BG618" s="65"/>
      <c r="BH618" s="65"/>
    </row>
    <row r="619" spans="1:60" ht="13.1">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523" t="s">
        <v>1647</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00"/>
      <c r="AO622" s="66"/>
      <c r="AP622" s="30"/>
      <c r="AQ622" s="30"/>
      <c r="AR622" s="30"/>
      <c r="AS622" s="30"/>
      <c r="AT622" s="30"/>
    </row>
    <row r="623" spans="1:60" ht="22.7"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00"/>
      <c r="AS623" s="30"/>
      <c r="AT623" s="30"/>
    </row>
    <row r="624" spans="1:60" ht="13.1">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658" t="s">
        <v>119</v>
      </c>
      <c r="D626" s="1658"/>
      <c r="E626" s="293"/>
      <c r="F626" s="2490" t="s">
        <v>2239</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1021</v>
      </c>
      <c r="AH626" s="2483"/>
      <c r="AI626" s="2483"/>
      <c r="AJ626" s="2483"/>
      <c r="AK626" s="153"/>
      <c r="AL626" s="153"/>
      <c r="AM626" s="153"/>
      <c r="AN626" s="1100"/>
      <c r="AO626" s="46"/>
      <c r="AS626" s="30"/>
      <c r="AT626" s="30"/>
    </row>
    <row r="627" spans="1:46" ht="13.75"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100"/>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523" t="s">
        <v>2007</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75"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75"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75"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75"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5"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5"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5"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5"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7">
        <f>IF($C$626="yes",10,0)</f>
        <v>10</v>
      </c>
      <c r="AL643" s="2318"/>
      <c r="AM643" s="2319"/>
      <c r="AN643" s="124"/>
      <c r="AO643" s="65"/>
      <c r="AQ643" s="30"/>
      <c r="AR643" s="30"/>
    </row>
    <row r="644" spans="1:60" ht="13.1"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 thickTop="1">
      <c r="AN645" s="124"/>
      <c r="AO645" s="46"/>
    </row>
    <row r="646" spans="1:60" ht="13.1">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
      <c r="C648" s="1658" t="s">
        <v>119</v>
      </c>
      <c r="D648" s="1658"/>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ht="13.1">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
      <c r="A653" s="28"/>
      <c r="B653" s="27"/>
      <c r="C653" s="1658" t="s">
        <v>135</v>
      </c>
      <c r="D653" s="1658"/>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
      <c r="A657" s="28"/>
      <c r="B657" s="27"/>
      <c r="C657" s="1658" t="s">
        <v>135</v>
      </c>
      <c r="D657" s="1658"/>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
      <c r="A661" s="28"/>
      <c r="B661" s="27"/>
      <c r="C661" s="1658" t="s">
        <v>135</v>
      </c>
      <c r="D661" s="1658"/>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
      <c r="A663" s="28"/>
      <c r="B663" s="27"/>
      <c r="C663" s="1658" t="s">
        <v>135</v>
      </c>
      <c r="D663" s="1658"/>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135</v>
      </c>
      <c r="D668" s="1658"/>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7">
        <f>$AO$654</f>
        <v>2</v>
      </c>
      <c r="AL671" s="2318"/>
      <c r="AM671" s="2319"/>
      <c r="AN671" s="124"/>
      <c r="AO671" s="65"/>
    </row>
    <row r="672" spans="1:41" ht="13.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784</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28"/>
      <c r="AP675" s="728"/>
      <c r="AQ675" s="728"/>
    </row>
    <row r="676" spans="1:43" ht="13.1">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
      <c r="A677" s="2395" t="s">
        <v>2149</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32"/>
      <c r="AQ677" s="728"/>
    </row>
    <row r="678" spans="1:43" ht="13.1">
      <c r="A678" s="2395" t="s">
        <v>2150</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33">
        <f>SUM(AO679:AO680)</f>
        <v>25</v>
      </c>
      <c r="AQ678" s="728"/>
    </row>
    <row r="679" spans="1:43" ht="13.1">
      <c r="A679" s="438"/>
      <c r="B679" s="342"/>
      <c r="C679" s="342"/>
      <c r="D679" s="342"/>
      <c r="E679" s="342"/>
      <c r="F679" s="342"/>
      <c r="G679" s="342"/>
      <c r="H679" s="342"/>
      <c r="I679" s="342"/>
      <c r="J679" s="342"/>
      <c r="K679" s="342"/>
      <c r="L679" s="342"/>
      <c r="M679" s="342"/>
      <c r="N679" s="342"/>
      <c r="O679" s="342"/>
      <c r="P679" s="342"/>
      <c r="Q679" s="342"/>
      <c r="R679" s="342"/>
      <c r="S679" s="1036"/>
      <c r="T679" s="2380" t="s">
        <v>260</v>
      </c>
      <c r="U679" s="2066"/>
      <c r="V679" s="2066"/>
      <c r="W679" s="2066"/>
      <c r="X679" s="2066"/>
      <c r="Y679" s="2067"/>
      <c r="Z679" s="2380" t="s">
        <v>259</v>
      </c>
      <c r="AA679" s="2066"/>
      <c r="AB679" s="2066"/>
      <c r="AC679" s="2066"/>
      <c r="AD679" s="2066"/>
      <c r="AE679" s="2067"/>
      <c r="AF679" s="2380" t="s">
        <v>261</v>
      </c>
      <c r="AG679" s="2066"/>
      <c r="AH679" s="2066"/>
      <c r="AI679" s="2066"/>
      <c r="AJ679" s="2066"/>
      <c r="AK679" s="2067"/>
      <c r="AL679" s="1259"/>
      <c r="AM679" s="458"/>
      <c r="AO679" s="728">
        <f>IF(T686&gt;15,15,T686)</f>
        <v>15</v>
      </c>
      <c r="AP679" s="728"/>
      <c r="AQ679" s="728"/>
    </row>
    <row r="680" spans="1:43" ht="13.1">
      <c r="A680" s="354"/>
      <c r="B680" s="257"/>
      <c r="C680" s="257"/>
      <c r="D680" s="257"/>
      <c r="E680" s="257"/>
      <c r="F680" s="257"/>
      <c r="G680" s="257"/>
      <c r="H680" s="257"/>
      <c r="I680" s="257"/>
      <c r="J680" s="257"/>
      <c r="K680" s="257"/>
      <c r="L680" s="257"/>
      <c r="M680" s="257"/>
      <c r="N680" s="257"/>
      <c r="O680" s="257"/>
      <c r="P680" s="257"/>
      <c r="Q680" s="257"/>
      <c r="R680" s="257"/>
      <c r="S680" s="259"/>
      <c r="T680" s="2381"/>
      <c r="U680" s="2068"/>
      <c r="V680" s="2068"/>
      <c r="W680" s="2068"/>
      <c r="X680" s="2068"/>
      <c r="Y680" s="2069"/>
      <c r="Z680" s="2381"/>
      <c r="AA680" s="2068"/>
      <c r="AB680" s="2068"/>
      <c r="AC680" s="2068"/>
      <c r="AD680" s="2068"/>
      <c r="AE680" s="2069"/>
      <c r="AF680" s="2381"/>
      <c r="AG680" s="2068"/>
      <c r="AH680" s="2068"/>
      <c r="AI680" s="2068"/>
      <c r="AJ680" s="2068"/>
      <c r="AK680" s="2069"/>
      <c r="AL680" s="1259"/>
      <c r="AM680" s="458"/>
      <c r="AO680" s="728">
        <f>IF(T687&gt;10,10,T687)</f>
        <v>10</v>
      </c>
      <c r="AP680" s="728"/>
      <c r="AQ680" s="728"/>
    </row>
    <row r="681" spans="1:43" ht="13.1">
      <c r="A681" s="935" t="s">
        <v>714</v>
      </c>
      <c r="B681" s="2376" t="s">
        <v>297</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788">
        <v>10</v>
      </c>
      <c r="AA681" s="1788"/>
      <c r="AB681" s="1788"/>
      <c r="AC681" s="1788"/>
      <c r="AD681" s="1788"/>
      <c r="AE681" s="1788"/>
      <c r="AF681" s="1788">
        <f>IF(T681&gt;Z681,Z681,T681)</f>
        <v>10</v>
      </c>
      <c r="AG681" s="1788"/>
      <c r="AH681" s="1788"/>
      <c r="AI681" s="1788"/>
      <c r="AJ681" s="1788"/>
      <c r="AK681" s="1788"/>
      <c r="AL681" s="1259"/>
      <c r="AM681" s="458"/>
    </row>
    <row r="682" spans="1:43" ht="13.1">
      <c r="A682" s="937"/>
      <c r="B682" s="938"/>
      <c r="C682" s="946"/>
      <c r="D682" s="936" t="s">
        <v>232</v>
      </c>
      <c r="E682" s="2378" t="s">
        <v>262</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259"/>
      <c r="AM682" s="458"/>
    </row>
    <row r="683" spans="1:43" ht="13.1">
      <c r="A683" s="940"/>
      <c r="B683" s="938"/>
      <c r="C683" s="939"/>
      <c r="D683" s="936" t="s">
        <v>473</v>
      </c>
      <c r="E683" s="2378" t="s">
        <v>263</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259"/>
      <c r="AM683" s="458"/>
      <c r="AO683" s="46">
        <f>IF(T690&gt;50,50,T690)</f>
        <v>50</v>
      </c>
    </row>
    <row r="684" spans="1:43" ht="13.1">
      <c r="A684" s="935" t="s">
        <v>8</v>
      </c>
      <c r="B684" s="2376" t="s">
        <v>298</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788">
        <v>10</v>
      </c>
      <c r="AA684" s="1788"/>
      <c r="AB684" s="1788"/>
      <c r="AC684" s="1788"/>
      <c r="AD684" s="1788"/>
      <c r="AE684" s="1788"/>
      <c r="AF684" s="1788">
        <f>IF(T684&gt;Z684,Z684,T684)</f>
        <v>10</v>
      </c>
      <c r="AG684" s="1788"/>
      <c r="AH684" s="1788"/>
      <c r="AI684" s="1788"/>
      <c r="AJ684" s="1788"/>
      <c r="AK684" s="1788"/>
      <c r="AL684" s="1259"/>
      <c r="AM684" s="458"/>
    </row>
    <row r="685" spans="1:43" ht="13.1">
      <c r="A685" s="935" t="s">
        <v>130</v>
      </c>
      <c r="B685" s="2376" t="s">
        <v>299</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ht="13.1">
      <c r="A686" s="935"/>
      <c r="B686" s="938"/>
      <c r="C686" s="939"/>
      <c r="D686" s="936" t="s">
        <v>1599</v>
      </c>
      <c r="E686" s="2378" t="s">
        <v>323</v>
      </c>
      <c r="F686" s="2378"/>
      <c r="G686" s="2378"/>
      <c r="H686" s="2378"/>
      <c r="I686" s="2378"/>
      <c r="J686" s="2378"/>
      <c r="K686" s="2378"/>
      <c r="L686" s="2378"/>
      <c r="M686" s="2378"/>
      <c r="N686" s="2378"/>
      <c r="O686" s="2378"/>
      <c r="P686" s="2378"/>
      <c r="Q686" s="2378"/>
      <c r="R686" s="2378"/>
      <c r="S686" s="2379"/>
      <c r="T686" s="2382">
        <f>AK285</f>
        <v>30</v>
      </c>
      <c r="U686" s="2382"/>
      <c r="V686" s="2382"/>
      <c r="W686" s="2382"/>
      <c r="X686" s="2382"/>
      <c r="Y686" s="2382"/>
      <c r="Z686" s="2407">
        <v>15</v>
      </c>
      <c r="AA686" s="2407"/>
      <c r="AB686" s="2407"/>
      <c r="AC686" s="2407"/>
      <c r="AD686" s="2407"/>
      <c r="AE686" s="2407"/>
      <c r="AF686" s="2509"/>
      <c r="AG686" s="2509"/>
      <c r="AH686" s="2509"/>
      <c r="AI686" s="2509"/>
      <c r="AJ686" s="2509"/>
      <c r="AK686" s="2509"/>
      <c r="AL686" s="1259"/>
      <c r="AM686" s="458"/>
    </row>
    <row r="687" spans="1:43" ht="13.1">
      <c r="A687" s="941"/>
      <c r="B687" s="942"/>
      <c r="C687" s="943"/>
      <c r="D687" s="944" t="s">
        <v>1600</v>
      </c>
      <c r="E687" s="2378" t="s">
        <v>324</v>
      </c>
      <c r="F687" s="2378"/>
      <c r="G687" s="2378"/>
      <c r="H687" s="2378"/>
      <c r="I687" s="2378"/>
      <c r="J687" s="2378"/>
      <c r="K687" s="2378"/>
      <c r="L687" s="2378"/>
      <c r="M687" s="2378"/>
      <c r="N687" s="2378"/>
      <c r="O687" s="2378"/>
      <c r="P687" s="2378"/>
      <c r="Q687" s="2378"/>
      <c r="R687" s="2378"/>
      <c r="S687" s="2379"/>
      <c r="T687" s="2382">
        <f>AK476</f>
        <v>10</v>
      </c>
      <c r="U687" s="2382"/>
      <c r="V687" s="2382"/>
      <c r="W687" s="2382"/>
      <c r="X687" s="2382"/>
      <c r="Y687" s="2382"/>
      <c r="Z687" s="2407">
        <v>10</v>
      </c>
      <c r="AA687" s="2407"/>
      <c r="AB687" s="2407"/>
      <c r="AC687" s="2407"/>
      <c r="AD687" s="2407"/>
      <c r="AE687" s="2407"/>
      <c r="AF687" s="2509"/>
      <c r="AG687" s="2509"/>
      <c r="AH687" s="2509"/>
      <c r="AI687" s="2509"/>
      <c r="AJ687" s="2509"/>
      <c r="AK687" s="2509"/>
      <c r="AL687" s="1259"/>
      <c r="AM687" s="458"/>
    </row>
    <row r="688" spans="1:43" ht="13.1" hidden="1">
      <c r="A688" s="935" t="s">
        <v>133</v>
      </c>
      <c r="B688" s="2376" t="s">
        <v>595</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788"/>
      <c r="AA688" s="1788"/>
      <c r="AB688" s="1788"/>
      <c r="AC688" s="1788"/>
      <c r="AD688" s="1788"/>
      <c r="AE688" s="1788"/>
      <c r="AF688" s="1788"/>
      <c r="AG688" s="1788"/>
      <c r="AH688" s="1788"/>
      <c r="AI688" s="1788"/>
      <c r="AJ688" s="1788"/>
      <c r="AK688" s="1788"/>
      <c r="AL688" s="1259"/>
      <c r="AM688" s="458"/>
    </row>
    <row r="689" spans="1:39" ht="13.1">
      <c r="A689" s="1342" t="s">
        <v>133</v>
      </c>
      <c r="B689" s="2376" t="s">
        <v>596</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259"/>
      <c r="AM689" s="458"/>
    </row>
    <row r="690" spans="1:39" ht="13.1">
      <c r="A690" s="945"/>
      <c r="B690" s="947"/>
      <c r="C690" s="948"/>
      <c r="D690" s="949" t="s">
        <v>1601</v>
      </c>
      <c r="E690" s="2378" t="s">
        <v>199</v>
      </c>
      <c r="F690" s="2378"/>
      <c r="G690" s="2378"/>
      <c r="H690" s="2378"/>
      <c r="I690" s="2378"/>
      <c r="J690" s="2378"/>
      <c r="K690" s="2378"/>
      <c r="L690" s="2378"/>
      <c r="M690" s="2378"/>
      <c r="N690" s="2378"/>
      <c r="O690" s="2378"/>
      <c r="P690" s="2378"/>
      <c r="Q690" s="2378"/>
      <c r="R690" s="2378"/>
      <c r="S690" s="2379"/>
      <c r="T690" s="2404">
        <f>AC592</f>
        <v>50</v>
      </c>
      <c r="U690" s="2405"/>
      <c r="V690" s="2405"/>
      <c r="W690" s="2405"/>
      <c r="X690" s="2405"/>
      <c r="Y690" s="2406"/>
      <c r="Z690" s="2404">
        <v>50</v>
      </c>
      <c r="AA690" s="2405"/>
      <c r="AB690" s="2405"/>
      <c r="AC690" s="2405"/>
      <c r="AD690" s="2405"/>
      <c r="AE690" s="2406"/>
      <c r="AF690" s="2504"/>
      <c r="AG690" s="2505"/>
      <c r="AH690" s="2505"/>
      <c r="AI690" s="2505"/>
      <c r="AJ690" s="2505"/>
      <c r="AK690" s="2506"/>
      <c r="AL690" s="1259"/>
      <c r="AM690" s="46"/>
    </row>
    <row r="691" spans="1:39" ht="13.1">
      <c r="A691" s="950"/>
      <c r="B691" s="938"/>
      <c r="C691" s="939"/>
      <c r="D691" s="936" t="s">
        <v>1602</v>
      </c>
      <c r="E691" s="2378" t="s">
        <v>296</v>
      </c>
      <c r="F691" s="2378"/>
      <c r="G691" s="2378"/>
      <c r="H691" s="2378"/>
      <c r="I691" s="2378"/>
      <c r="J691" s="2378"/>
      <c r="K691" s="2378"/>
      <c r="L691" s="2378"/>
      <c r="M691" s="2378"/>
      <c r="N691" s="2378"/>
      <c r="O691" s="2378"/>
      <c r="P691" s="2378"/>
      <c r="Q691" s="2378"/>
      <c r="R691" s="2378"/>
      <c r="S691" s="2379"/>
      <c r="T691" s="2340">
        <f>IF(AJ616&gt;0,2,0)</f>
        <v>2</v>
      </c>
      <c r="U691" s="2341"/>
      <c r="V691" s="2341"/>
      <c r="W691" s="2341"/>
      <c r="X691" s="2341"/>
      <c r="Y691" s="2342"/>
      <c r="Z691" s="2317">
        <v>2</v>
      </c>
      <c r="AA691" s="2318"/>
      <c r="AB691" s="2318"/>
      <c r="AC691" s="2318"/>
      <c r="AD691" s="2318"/>
      <c r="AE691" s="2319"/>
      <c r="AF691" s="2520"/>
      <c r="AG691" s="2521"/>
      <c r="AH691" s="2521"/>
      <c r="AI691" s="2521"/>
      <c r="AJ691" s="2521"/>
      <c r="AK691" s="2522"/>
      <c r="AL691" s="1259"/>
      <c r="AM691" s="46"/>
    </row>
    <row r="692" spans="1:39" ht="13.1">
      <c r="A692" s="945" t="s">
        <v>134</v>
      </c>
      <c r="B692" s="2376" t="s">
        <v>597</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788">
        <v>10</v>
      </c>
      <c r="AA692" s="1788"/>
      <c r="AB692" s="1788"/>
      <c r="AC692" s="1788"/>
      <c r="AD692" s="1788"/>
      <c r="AE692" s="1788"/>
      <c r="AF692" s="2080">
        <f>IF(T692&gt;Z692,Z692,T692)</f>
        <v>10</v>
      </c>
      <c r="AG692" s="1994"/>
      <c r="AH692" s="1994"/>
      <c r="AI692" s="1994"/>
      <c r="AJ692" s="1994"/>
      <c r="AK692" s="1995"/>
      <c r="AL692" s="1259"/>
      <c r="AM692" s="205"/>
    </row>
    <row r="693" spans="1:39" ht="13.1">
      <c r="A693" s="945" t="s">
        <v>136</v>
      </c>
      <c r="B693" s="2376" t="s">
        <v>1068</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80">
        <v>2</v>
      </c>
      <c r="AA693" s="1994"/>
      <c r="AB693" s="1994"/>
      <c r="AC693" s="1994"/>
      <c r="AD693" s="1994"/>
      <c r="AE693" s="1995"/>
      <c r="AF693" s="2080">
        <f>IF(T693&gt;Z693,Z693,T693)</f>
        <v>2</v>
      </c>
      <c r="AG693" s="2518"/>
      <c r="AH693" s="2518"/>
      <c r="AI693" s="2518"/>
      <c r="AJ693" s="2518"/>
      <c r="AK693" s="2519"/>
      <c r="AL693" s="358"/>
      <c r="AM693" s="205"/>
    </row>
    <row r="694" spans="1:39" ht="13.1">
      <c r="A694" s="2375" t="s">
        <v>326</v>
      </c>
      <c r="B694" s="2376"/>
      <c r="C694" s="2376"/>
      <c r="D694" s="2376"/>
      <c r="E694" s="2376"/>
      <c r="F694" s="2376"/>
      <c r="G694" s="2376"/>
      <c r="H694" s="2376"/>
      <c r="I694" s="2376"/>
      <c r="J694" s="2376"/>
      <c r="K694" s="2376"/>
      <c r="L694" s="2376"/>
      <c r="M694" s="2376"/>
      <c r="N694" s="2376"/>
      <c r="O694" s="2376"/>
      <c r="P694" s="2376"/>
      <c r="Q694" s="2376"/>
      <c r="R694" s="2376"/>
      <c r="S694" s="2377"/>
      <c r="T694" s="2009"/>
      <c r="U694" s="2009"/>
      <c r="V694" s="2009"/>
      <c r="W694" s="2009"/>
      <c r="X694" s="2009"/>
      <c r="Y694" s="2009"/>
      <c r="Z694" s="2407" t="s">
        <v>325</v>
      </c>
      <c r="AA694" s="2407"/>
      <c r="AB694" s="2407"/>
      <c r="AC694" s="2407"/>
      <c r="AD694" s="2407"/>
      <c r="AE694" s="2407"/>
      <c r="AF694" s="2080">
        <f>IF(T694&gt;0,T694,0)</f>
        <v>0</v>
      </c>
      <c r="AG694" s="1994"/>
      <c r="AH694" s="1994"/>
      <c r="AI694" s="1994"/>
      <c r="AJ694" s="1994"/>
      <c r="AK694" s="1995"/>
      <c r="AL694" s="1250"/>
      <c r="AM694" s="205"/>
    </row>
    <row r="695" spans="1:39" ht="15.65">
      <c r="A695" s="2389" t="s">
        <v>783</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260"/>
      <c r="AM695" s="46"/>
    </row>
    <row r="696" spans="1:39" ht="15.65">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260"/>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68"/>
    </row>
    <row r="698" spans="1:39" ht="12.5"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68"/>
    </row>
    <row r="699" spans="1:39" ht="56.3"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68"/>
    </row>
    <row r="700" spans="1:39" ht="12.5"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68"/>
    </row>
    <row r="701" spans="1:39" ht="12.5"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68"/>
    </row>
    <row r="702" spans="1:39" ht="12.5"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U17" sqref="U17:Y17"/>
    </sheetView>
  </sheetViews>
  <sheetFormatPr defaultColWidth="0" defaultRowHeight="12.6"/>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90" t="s">
        <v>2261</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ht="13.1">
      <c r="A3" s="1461"/>
      <c r="B3" s="1461"/>
      <c r="E3" s="1462"/>
      <c r="I3" s="1464"/>
      <c r="K3" s="1465"/>
    </row>
    <row r="4" spans="1:57" ht="14.25" customHeight="1">
      <c r="A4" s="2589" t="s">
        <v>2262</v>
      </c>
      <c r="B4" s="2589"/>
      <c r="C4" s="2589"/>
      <c r="D4" s="2589"/>
      <c r="E4" s="2589"/>
      <c r="F4" s="2589"/>
      <c r="G4" s="2589"/>
      <c r="H4" s="2589"/>
      <c r="I4" s="2589"/>
      <c r="J4" s="2589"/>
      <c r="K4" s="2589"/>
      <c r="L4" s="2589"/>
      <c r="M4" s="2589"/>
      <c r="N4" s="2589"/>
      <c r="O4" s="2589"/>
      <c r="P4" s="2589"/>
      <c r="Q4" s="2589"/>
      <c r="R4" s="2589"/>
      <c r="S4" s="2589"/>
      <c r="T4" s="2589"/>
      <c r="U4" s="2589"/>
      <c r="V4" s="2589"/>
      <c r="W4" s="2589"/>
      <c r="X4" s="2589"/>
      <c r="Y4" s="2589"/>
      <c r="Z4" s="2589"/>
      <c r="AA4" s="2589"/>
      <c r="AB4" s="2589"/>
      <c r="AC4" s="2589"/>
      <c r="AD4" s="2589"/>
      <c r="AE4" s="2589"/>
      <c r="AF4" s="2589"/>
      <c r="AG4" s="2589"/>
      <c r="AH4" s="2589"/>
      <c r="AI4" s="2589"/>
      <c r="AJ4" s="2589"/>
      <c r="AK4" s="2589"/>
      <c r="AL4" s="2589"/>
      <c r="AM4" s="2589"/>
      <c r="AN4" s="2589"/>
      <c r="AO4" s="2589"/>
      <c r="AP4" s="2589"/>
      <c r="AQ4" s="2589"/>
    </row>
    <row r="5" spans="1:57" ht="13.1">
      <c r="A5" s="1461"/>
      <c r="B5" s="1461"/>
      <c r="E5" s="1462"/>
      <c r="I5" s="1464"/>
      <c r="K5" s="1465"/>
    </row>
    <row r="6" spans="1:57" ht="13.1">
      <c r="A6" s="1461"/>
      <c r="B6" s="1461"/>
      <c r="D6" s="1459" t="s">
        <v>2265</v>
      </c>
      <c r="I6" s="1464"/>
      <c r="K6" s="1465"/>
      <c r="U6" s="2588"/>
      <c r="V6" s="2588"/>
      <c r="W6" s="2588"/>
      <c r="BC6" s="1459" t="s">
        <v>2263</v>
      </c>
    </row>
    <row r="7" spans="1:57" ht="13.1">
      <c r="A7" s="1461"/>
      <c r="B7" s="1461"/>
      <c r="D7" s="1466" t="s">
        <v>2266</v>
      </c>
      <c r="E7" s="1462"/>
      <c r="I7" s="1464"/>
      <c r="K7" s="1465"/>
      <c r="BC7" s="1459" t="s">
        <v>2264</v>
      </c>
    </row>
    <row r="8" spans="1:57" ht="13.1">
      <c r="A8" s="1461"/>
      <c r="B8" s="1461"/>
      <c r="D8" s="1466"/>
      <c r="E8" s="1459" t="s">
        <v>2279</v>
      </c>
      <c r="BC8" s="1459" t="s">
        <v>2267</v>
      </c>
    </row>
    <row r="9" spans="1:57" ht="13.1">
      <c r="A9" s="1461"/>
      <c r="B9" s="1461"/>
      <c r="E9" s="1462" t="s">
        <v>2278</v>
      </c>
      <c r="I9" s="1464"/>
      <c r="K9" s="1465"/>
      <c r="P9" s="2596"/>
      <c r="Q9" s="2596"/>
      <c r="R9" s="2596"/>
      <c r="S9" s="2596"/>
      <c r="T9" s="2596"/>
    </row>
    <row r="10" spans="1:57" ht="13.1">
      <c r="A10" s="1461"/>
      <c r="B10" s="1461"/>
      <c r="E10" s="1462"/>
      <c r="I10" s="1464"/>
      <c r="K10" s="1465"/>
    </row>
    <row r="11" spans="1:57" ht="13.1">
      <c r="A11" s="2589" t="s">
        <v>2268</v>
      </c>
      <c r="B11" s="2589"/>
      <c r="C11" s="2589"/>
      <c r="D11" s="2589"/>
      <c r="E11" s="2589"/>
      <c r="F11" s="2589"/>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c r="AO11" s="2589"/>
      <c r="AP11" s="2589"/>
      <c r="AQ11" s="2589"/>
      <c r="BC11" s="1459" t="s">
        <v>119</v>
      </c>
    </row>
    <row r="12" spans="1:57" ht="13.1">
      <c r="A12" s="1461"/>
      <c r="B12" s="1461"/>
      <c r="E12" s="1462"/>
      <c r="I12" s="1464"/>
      <c r="K12" s="1465"/>
      <c r="BC12" s="1459" t="s">
        <v>527</v>
      </c>
    </row>
    <row r="13" spans="1:57" ht="13.1">
      <c r="A13" s="1461"/>
      <c r="B13" s="1461"/>
      <c r="D13" s="1459" t="s">
        <v>2269</v>
      </c>
      <c r="E13" s="1462"/>
      <c r="I13" s="1464"/>
      <c r="K13" s="1465"/>
      <c r="T13" s="2588"/>
      <c r="U13" s="2588"/>
      <c r="V13" s="2588"/>
    </row>
    <row r="14" spans="1:57" ht="13.1">
      <c r="A14" s="1461"/>
      <c r="B14" s="1461"/>
      <c r="E14" s="1462" t="s">
        <v>2276</v>
      </c>
      <c r="I14" s="1464"/>
      <c r="K14" s="1465"/>
      <c r="N14" s="2594"/>
      <c r="O14" s="2594"/>
      <c r="P14" s="2594"/>
      <c r="Q14" s="2594"/>
      <c r="R14" s="2594"/>
      <c r="S14" s="2594"/>
      <c r="T14" s="2594"/>
      <c r="U14" s="2594"/>
      <c r="V14" s="2594"/>
      <c r="W14" s="2594"/>
      <c r="X14" s="2594"/>
      <c r="Y14" s="2594"/>
      <c r="Z14" s="2594"/>
      <c r="AA14" s="2594"/>
      <c r="AB14" s="2594"/>
      <c r="AC14" s="2594"/>
      <c r="AD14" s="2594"/>
      <c r="AE14" s="2594"/>
    </row>
    <row r="15" spans="1:57" ht="13.1">
      <c r="A15" s="1461"/>
      <c r="B15" s="1461"/>
      <c r="E15" s="1462" t="s">
        <v>2270</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2280</v>
      </c>
      <c r="BE15" s="1459">
        <f>'Basis &amp; Credits'!AB55</f>
        <v>1742754</v>
      </c>
    </row>
    <row r="16" spans="1:57" ht="13.1">
      <c r="A16" s="1461"/>
      <c r="B16" s="1461"/>
      <c r="BC16" s="1459" t="s">
        <v>2281</v>
      </c>
      <c r="BE16" s="1459">
        <f>'Basis &amp; Credits'!T11+'Basis &amp; Credits'!AD11</f>
        <v>23783934</v>
      </c>
    </row>
    <row r="17" spans="1:43" ht="13.1">
      <c r="A17" s="1461"/>
      <c r="B17" s="1461"/>
      <c r="D17" s="1459" t="s">
        <v>2271</v>
      </c>
      <c r="E17" s="1462"/>
      <c r="I17" s="1464"/>
      <c r="K17" s="1465"/>
      <c r="U17" s="2595" t="str">
        <f>IF(T13="yes",(BE15/BE16)," ")</f>
        <v xml:space="preserve"> </v>
      </c>
      <c r="V17" s="2595"/>
      <c r="W17" s="2595"/>
      <c r="X17" s="2595"/>
      <c r="Y17" s="2595"/>
    </row>
    <row r="18" spans="1:43" ht="13.1">
      <c r="A18" s="1461"/>
      <c r="B18" s="1461"/>
      <c r="E18" s="1462"/>
      <c r="I18" s="1464"/>
      <c r="K18" s="1465"/>
    </row>
    <row r="19" spans="1:43" ht="13.1">
      <c r="A19" s="2589" t="s">
        <v>2273</v>
      </c>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2589"/>
      <c r="AL19" s="2589"/>
      <c r="AM19" s="2589"/>
      <c r="AN19" s="2589"/>
      <c r="AO19" s="2589"/>
      <c r="AP19" s="2589"/>
      <c r="AQ19" s="2589"/>
    </row>
    <row r="20" spans="1:43" ht="13.1">
      <c r="C20" s="1461"/>
      <c r="D20" s="1461"/>
      <c r="F20" s="1459"/>
      <c r="G20" s="1462"/>
      <c r="J20" s="1463"/>
      <c r="K20" s="1464"/>
      <c r="M20" s="1465"/>
    </row>
    <row r="21" spans="1:43" ht="13.1">
      <c r="C21" s="1461"/>
      <c r="D21" s="1461"/>
      <c r="F21" s="1459"/>
      <c r="G21" s="1462"/>
      <c r="J21" s="1463"/>
      <c r="K21" s="1464"/>
      <c r="M21" s="1465"/>
    </row>
    <row r="22" spans="1:43">
      <c r="C22" s="1467" t="s">
        <v>790</v>
      </c>
      <c r="D22" s="1467"/>
      <c r="E22" s="1459" t="s">
        <v>2274</v>
      </c>
      <c r="F22" s="1459"/>
      <c r="H22" s="1468"/>
      <c r="J22" s="1463"/>
      <c r="K22" s="1459"/>
      <c r="M22" s="1469"/>
      <c r="Q22" s="2597">
        <f>ROUND('Basis &amp; Credits'!AB55,0)</f>
        <v>1742754</v>
      </c>
      <c r="R22" s="2597"/>
      <c r="S22" s="2597"/>
      <c r="T22" s="2597"/>
      <c r="U22" s="2597"/>
      <c r="V22" s="2597"/>
      <c r="W22" s="2597"/>
      <c r="X22" s="2597"/>
      <c r="Y22" s="1489"/>
    </row>
    <row r="23" spans="1:43" ht="13.1">
      <c r="C23" s="1461"/>
      <c r="D23" s="1461"/>
      <c r="F23" s="1459"/>
      <c r="G23" s="1470"/>
      <c r="H23" s="1471"/>
      <c r="I23" s="1472"/>
      <c r="J23" s="1473"/>
      <c r="K23" s="1470"/>
      <c r="M23" s="1460"/>
    </row>
    <row r="24" spans="1:43" s="1476" customFormat="1" ht="13.1">
      <c r="C24" s="1474"/>
      <c r="D24" s="1474"/>
      <c r="E24" s="1475"/>
      <c r="J24" s="1473"/>
      <c r="L24" s="2600" t="s">
        <v>2251</v>
      </c>
      <c r="M24" s="2600"/>
      <c r="N24" s="2600"/>
      <c r="P24" s="2585" t="s">
        <v>2252</v>
      </c>
      <c r="Q24" s="2585"/>
      <c r="R24" s="2585"/>
      <c r="S24" s="2585"/>
      <c r="T24" s="2585"/>
      <c r="V24" s="2585" t="s">
        <v>2253</v>
      </c>
      <c r="W24" s="2585"/>
      <c r="X24" s="2585"/>
      <c r="AC24" s="1459"/>
      <c r="AD24" s="1459"/>
      <c r="AE24" s="1459"/>
      <c r="AF24" s="1459"/>
      <c r="AG24" s="1459"/>
      <c r="AH24" s="1459"/>
    </row>
    <row r="25" spans="1:43">
      <c r="C25" s="1467" t="s">
        <v>206</v>
      </c>
      <c r="D25" s="1467"/>
      <c r="E25" s="1459" t="s">
        <v>1069</v>
      </c>
      <c r="F25" s="1459"/>
      <c r="J25" s="1473"/>
      <c r="L25" s="2586" t="s">
        <v>2254</v>
      </c>
      <c r="M25" s="2586"/>
      <c r="N25" s="2586"/>
      <c r="P25" s="2586" t="s">
        <v>2255</v>
      </c>
      <c r="Q25" s="2586"/>
      <c r="R25" s="2586"/>
      <c r="S25" s="2586"/>
      <c r="T25" s="2586"/>
      <c r="V25" s="2586" t="s">
        <v>2254</v>
      </c>
      <c r="W25" s="2586"/>
      <c r="X25" s="2586"/>
    </row>
    <row r="26" spans="1:43" ht="13.1">
      <c r="C26" s="1461"/>
      <c r="D26" s="1461"/>
      <c r="E26" s="1477" t="s">
        <v>2256</v>
      </c>
      <c r="F26" s="1477"/>
      <c r="J26" s="1478"/>
      <c r="L26" s="2601">
        <f>Application!BN627</f>
        <v>0</v>
      </c>
      <c r="M26" s="2601"/>
      <c r="N26" s="2601"/>
      <c r="P26" s="2587">
        <v>0.9</v>
      </c>
      <c r="Q26" s="2587"/>
      <c r="R26" s="2587"/>
      <c r="S26" s="2587"/>
      <c r="T26" s="2587"/>
      <c r="V26" s="2587">
        <f>L26*P26</f>
        <v>0</v>
      </c>
      <c r="W26" s="2587"/>
      <c r="X26" s="2587"/>
    </row>
    <row r="27" spans="1:43" ht="13.1">
      <c r="C27" s="1461"/>
      <c r="D27" s="1461"/>
      <c r="E27" s="1476" t="s">
        <v>2257</v>
      </c>
      <c r="F27" s="1476"/>
      <c r="J27" s="1478"/>
      <c r="L27" s="2577">
        <f>Application!BS627</f>
        <v>0</v>
      </c>
      <c r="M27" s="2577">
        <f>Application!BS635+Application!BS644+Application!CX658</f>
        <v>0</v>
      </c>
      <c r="N27" s="2577"/>
      <c r="P27" s="2582">
        <v>1</v>
      </c>
      <c r="Q27" s="2582"/>
      <c r="R27" s="2582"/>
      <c r="S27" s="2582"/>
      <c r="T27" s="2582"/>
      <c r="V27" s="2583">
        <f t="shared" ref="V27:V29" si="0">L27*P27</f>
        <v>0</v>
      </c>
      <c r="W27" s="2583"/>
      <c r="X27" s="2583"/>
    </row>
    <row r="28" spans="1:43" ht="13.1">
      <c r="C28" s="1461"/>
      <c r="D28" s="1461"/>
      <c r="E28" s="1476" t="s">
        <v>2258</v>
      </c>
      <c r="F28" s="1476"/>
      <c r="J28" s="1478"/>
      <c r="L28" s="2577">
        <f>Application!BX627</f>
        <v>16</v>
      </c>
      <c r="M28" s="2577">
        <f>Application!BX635+Application!BX644+Application!DC658</f>
        <v>0</v>
      </c>
      <c r="N28" s="2577"/>
      <c r="P28" s="2582">
        <v>1.25</v>
      </c>
      <c r="Q28" s="2582"/>
      <c r="R28" s="2582"/>
      <c r="S28" s="2582"/>
      <c r="T28" s="2582"/>
      <c r="V28" s="2583">
        <f t="shared" si="0"/>
        <v>20</v>
      </c>
      <c r="W28" s="2583"/>
      <c r="X28" s="2583"/>
    </row>
    <row r="29" spans="1:43" ht="13.1">
      <c r="C29" s="1461"/>
      <c r="D29" s="1461"/>
      <c r="E29" s="1476" t="s">
        <v>2259</v>
      </c>
      <c r="F29" s="1476"/>
      <c r="J29" s="1478"/>
      <c r="L29" s="2577">
        <f>Application!CC627</f>
        <v>23</v>
      </c>
      <c r="M29" s="2577">
        <f>Application!CC635+Application!CC644+Application!DH658</f>
        <v>0</v>
      </c>
      <c r="N29" s="2577"/>
      <c r="P29" s="2582">
        <v>1.5</v>
      </c>
      <c r="Q29" s="2582"/>
      <c r="R29" s="2582"/>
      <c r="S29" s="2582"/>
      <c r="T29" s="2582"/>
      <c r="V29" s="2583">
        <f t="shared" si="0"/>
        <v>34.5</v>
      </c>
      <c r="W29" s="2583"/>
      <c r="X29" s="2583"/>
    </row>
    <row r="30" spans="1:43" ht="13.1">
      <c r="C30" s="1461"/>
      <c r="D30" s="1461"/>
      <c r="E30" s="1476" t="s">
        <v>2260</v>
      </c>
      <c r="F30" s="1476"/>
      <c r="J30" s="1478"/>
      <c r="L30" s="2578">
        <f>Application!CH627+Application!CM627</f>
        <v>8</v>
      </c>
      <c r="M30" s="2578"/>
      <c r="N30" s="2578"/>
      <c r="P30" s="2582">
        <v>1.75</v>
      </c>
      <c r="Q30" s="2582"/>
      <c r="R30" s="2582">
        <f>1.75+0.25*0</f>
        <v>1.75</v>
      </c>
      <c r="S30" s="2582"/>
      <c r="T30" s="2582"/>
      <c r="V30" s="2584">
        <f>L30*P30</f>
        <v>14</v>
      </c>
      <c r="W30" s="2584"/>
      <c r="X30" s="2584"/>
    </row>
    <row r="31" spans="1:43" ht="13.1">
      <c r="C31" s="1461"/>
      <c r="D31" s="1461"/>
      <c r="F31" s="1459"/>
      <c r="J31" s="1463"/>
      <c r="L31" s="2598">
        <f>SUM(L26:N30)</f>
        <v>47</v>
      </c>
      <c r="M31" s="2599"/>
      <c r="N31" s="2599"/>
      <c r="V31" s="2587">
        <f>SUM(V26:X30)</f>
        <v>68.5</v>
      </c>
      <c r="W31" s="2587"/>
      <c r="X31" s="2587"/>
      <c r="AA31" s="1462"/>
    </row>
    <row r="32" spans="1:43" ht="13.1">
      <c r="C32" s="1461"/>
      <c r="D32" s="1461"/>
      <c r="F32" s="1459"/>
      <c r="G32" s="1462"/>
      <c r="J32" s="1463"/>
      <c r="K32" s="1479"/>
      <c r="N32" s="1463"/>
    </row>
    <row r="33" spans="1:27" ht="13.1">
      <c r="C33" s="1467" t="s">
        <v>207</v>
      </c>
      <c r="D33" s="1467"/>
      <c r="E33" s="1480" t="s">
        <v>2275</v>
      </c>
      <c r="H33" s="1481"/>
      <c r="I33" s="1482"/>
      <c r="J33" s="1483"/>
      <c r="K33" s="1479"/>
      <c r="M33" s="1460"/>
      <c r="V33" s="2579">
        <f>IF(V31&gt;0,V31/Q22," ")</f>
        <v>3.9305604807104156E-5</v>
      </c>
      <c r="W33" s="2580"/>
      <c r="X33" s="2580"/>
      <c r="Y33" s="2580"/>
      <c r="Z33" s="2580"/>
      <c r="AA33" s="2581"/>
    </row>
    <row r="34" spans="1:27">
      <c r="F34" s="1459"/>
      <c r="J34" s="1463"/>
      <c r="K34" s="1459"/>
      <c r="M34" s="1460"/>
    </row>
    <row r="35" spans="1:27" ht="13.1">
      <c r="E35" s="1461" t="s">
        <v>2282</v>
      </c>
      <c r="F35" s="1461"/>
      <c r="G35" s="1461"/>
      <c r="H35" s="1480"/>
      <c r="I35" s="1461"/>
      <c r="J35" s="1480"/>
      <c r="K35" s="1461"/>
      <c r="L35" s="1461"/>
      <c r="M35" s="1491"/>
      <c r="N35" s="1461"/>
      <c r="O35" s="1461"/>
      <c r="P35" s="1461"/>
      <c r="Q35" s="1461"/>
      <c r="R35" s="1461"/>
      <c r="V35" s="2591">
        <f>IF(V31&gt;0,1/V33," ")</f>
        <v>25441.664233576645</v>
      </c>
      <c r="W35" s="2592"/>
      <c r="X35" s="2592"/>
      <c r="Y35" s="2592"/>
      <c r="Z35" s="2592"/>
      <c r="AA35" s="2593"/>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Normal="100" zoomScaleSheetLayoutView="90" workbookViewId="0">
      <selection activeCell="B43" sqref="B43"/>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38" t="s">
        <v>2054</v>
      </c>
      <c r="B1" s="2638"/>
      <c r="C1" s="2638"/>
      <c r="D1" s="2638"/>
      <c r="E1" s="2638"/>
      <c r="F1" s="2638"/>
      <c r="G1" s="2638"/>
      <c r="H1" s="2638"/>
      <c r="I1" s="2638"/>
      <c r="J1" s="2638"/>
      <c r="K1" s="2638"/>
      <c r="L1" s="2638"/>
      <c r="M1" s="2638"/>
      <c r="N1" s="2638"/>
      <c r="O1" s="2638"/>
      <c r="P1" s="2638"/>
      <c r="Q1" s="2638"/>
      <c r="R1" s="2638"/>
      <c r="S1" s="2638"/>
    </row>
    <row r="2" spans="1:19" ht="15" customHeight="1">
      <c r="A2" s="2638"/>
      <c r="B2" s="2638"/>
      <c r="C2" s="2638"/>
      <c r="D2" s="2638"/>
      <c r="E2" s="2638"/>
      <c r="F2" s="2638"/>
      <c r="G2" s="2638"/>
      <c r="H2" s="2638"/>
      <c r="I2" s="2638"/>
      <c r="J2" s="2638"/>
      <c r="K2" s="2638"/>
      <c r="L2" s="2638"/>
      <c r="M2" s="2638"/>
      <c r="N2" s="2638"/>
      <c r="O2" s="2638"/>
      <c r="P2" s="2638"/>
      <c r="Q2" s="2638"/>
      <c r="R2" s="2638"/>
      <c r="S2" s="263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9" t="s">
        <v>1781</v>
      </c>
      <c r="C4" s="2639"/>
      <c r="D4" s="2639"/>
      <c r="E4" s="2639"/>
      <c r="F4" s="2639"/>
      <c r="G4" s="2639"/>
      <c r="H4" s="2639"/>
      <c r="I4" s="2639"/>
      <c r="J4" s="2639"/>
      <c r="K4" s="2639"/>
      <c r="L4" s="2639"/>
      <c r="M4" s="2639"/>
      <c r="N4" s="2639"/>
      <c r="O4" s="2639"/>
      <c r="P4" s="2639"/>
      <c r="Q4" s="2639"/>
      <c r="R4" s="2639"/>
      <c r="S4" s="792"/>
    </row>
    <row r="5" spans="1:19" ht="15" customHeight="1">
      <c r="A5" s="791"/>
      <c r="B5" s="2639"/>
      <c r="C5" s="2639"/>
      <c r="D5" s="2639"/>
      <c r="E5" s="2639"/>
      <c r="F5" s="2639"/>
      <c r="G5" s="2639"/>
      <c r="H5" s="2639"/>
      <c r="I5" s="2639"/>
      <c r="J5" s="2639"/>
      <c r="K5" s="2639"/>
      <c r="L5" s="2639"/>
      <c r="M5" s="2639"/>
      <c r="N5" s="2639"/>
      <c r="O5" s="2639"/>
      <c r="P5" s="2639"/>
      <c r="Q5" s="2639"/>
      <c r="R5" s="2639"/>
      <c r="S5" s="792"/>
    </row>
    <row r="6" spans="1:19" ht="15" customHeight="1">
      <c r="A6" s="791"/>
      <c r="B6" s="2639"/>
      <c r="C6" s="2639"/>
      <c r="D6" s="2639"/>
      <c r="E6" s="2639"/>
      <c r="F6" s="2639"/>
      <c r="G6" s="2639"/>
      <c r="H6" s="2639"/>
      <c r="I6" s="2639"/>
      <c r="J6" s="2639"/>
      <c r="K6" s="2639"/>
      <c r="L6" s="2639"/>
      <c r="M6" s="2639"/>
      <c r="N6" s="2639"/>
      <c r="O6" s="2639"/>
      <c r="P6" s="2639"/>
      <c r="Q6" s="2639"/>
      <c r="R6" s="263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9" t="s">
        <v>1856</v>
      </c>
      <c r="C8" s="2639"/>
      <c r="D8" s="2639"/>
      <c r="E8" s="2639"/>
      <c r="F8" s="2639"/>
      <c r="G8" s="2639"/>
      <c r="H8" s="2639"/>
      <c r="I8" s="2639"/>
      <c r="J8" s="2639"/>
      <c r="K8" s="2639"/>
      <c r="L8" s="2639"/>
      <c r="M8" s="2639"/>
      <c r="N8" s="2639"/>
      <c r="O8" s="2639"/>
      <c r="P8" s="2639"/>
      <c r="Q8" s="2639"/>
      <c r="R8" s="263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0" t="s">
        <v>1857</v>
      </c>
      <c r="C10" s="2640"/>
      <c r="D10" s="2640"/>
      <c r="E10" s="2640"/>
      <c r="F10" s="2640"/>
      <c r="G10" s="2640"/>
      <c r="H10" s="2640"/>
      <c r="I10" s="2640"/>
      <c r="J10" s="2640"/>
      <c r="K10" s="2640"/>
      <c r="L10" s="2640"/>
      <c r="M10" s="2640"/>
      <c r="N10" s="2640"/>
      <c r="O10" s="2640"/>
      <c r="P10" s="2640"/>
      <c r="Q10" s="2640"/>
      <c r="R10" s="2640"/>
      <c r="S10" s="792"/>
    </row>
    <row r="11" spans="1:19" ht="15" customHeight="1">
      <c r="A11" s="791"/>
      <c r="B11" s="2640"/>
      <c r="C11" s="2640"/>
      <c r="D11" s="2640"/>
      <c r="E11" s="2640"/>
      <c r="F11" s="2640"/>
      <c r="G11" s="2640"/>
      <c r="H11" s="2640"/>
      <c r="I11" s="2640"/>
      <c r="J11" s="2640"/>
      <c r="K11" s="2640"/>
      <c r="L11" s="2640"/>
      <c r="M11" s="2640"/>
      <c r="N11" s="2640"/>
      <c r="O11" s="2640"/>
      <c r="P11" s="2640"/>
      <c r="Q11" s="2640"/>
      <c r="R11" s="264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0" t="s">
        <v>2148</v>
      </c>
      <c r="C13" s="2640"/>
      <c r="D13" s="2640"/>
      <c r="E13" s="2640"/>
      <c r="F13" s="2640"/>
      <c r="G13" s="2640"/>
      <c r="H13" s="2640"/>
      <c r="I13" s="2640"/>
      <c r="J13" s="2640"/>
      <c r="K13" s="2640"/>
      <c r="L13" s="2640"/>
      <c r="M13" s="2640"/>
      <c r="N13" s="2640"/>
      <c r="O13" s="2640"/>
      <c r="P13" s="2640"/>
      <c r="Q13" s="2640"/>
      <c r="R13" s="2640"/>
      <c r="S13" s="792"/>
    </row>
    <row r="14" spans="1:19" ht="15" customHeight="1">
      <c r="A14" s="791"/>
      <c r="B14" s="2640"/>
      <c r="C14" s="2640"/>
      <c r="D14" s="2640"/>
      <c r="E14" s="2640"/>
      <c r="F14" s="2640"/>
      <c r="G14" s="2640"/>
      <c r="H14" s="2640"/>
      <c r="I14" s="2640"/>
      <c r="J14" s="2640"/>
      <c r="K14" s="2640"/>
      <c r="L14" s="2640"/>
      <c r="M14" s="2640"/>
      <c r="N14" s="2640"/>
      <c r="O14" s="2640"/>
      <c r="P14" s="2640"/>
      <c r="Q14" s="2640"/>
      <c r="R14" s="2640"/>
      <c r="S14" s="792"/>
    </row>
    <row r="15" spans="1:19" ht="15" customHeight="1">
      <c r="A15" s="791"/>
      <c r="B15" s="2640"/>
      <c r="C15" s="2640"/>
      <c r="D15" s="2640"/>
      <c r="E15" s="2640"/>
      <c r="F15" s="2640"/>
      <c r="G15" s="2640"/>
      <c r="H15" s="2640"/>
      <c r="I15" s="2640"/>
      <c r="J15" s="2640"/>
      <c r="K15" s="2640"/>
      <c r="L15" s="2640"/>
      <c r="M15" s="2640"/>
      <c r="N15" s="2640"/>
      <c r="O15" s="2640"/>
      <c r="P15" s="2640"/>
      <c r="Q15" s="2640"/>
      <c r="R15" s="2640"/>
      <c r="S15" s="792"/>
    </row>
    <row r="16" spans="1:19" ht="15" customHeight="1">
      <c r="A16" s="791"/>
      <c r="B16" s="2640"/>
      <c r="C16" s="2640"/>
      <c r="D16" s="2640"/>
      <c r="E16" s="2640"/>
      <c r="F16" s="2640"/>
      <c r="G16" s="2640"/>
      <c r="H16" s="2640"/>
      <c r="I16" s="2640"/>
      <c r="J16" s="2640"/>
      <c r="K16" s="2640"/>
      <c r="L16" s="2640"/>
      <c r="M16" s="2640"/>
      <c r="N16" s="2640"/>
      <c r="O16" s="2640"/>
      <c r="P16" s="2640"/>
      <c r="Q16" s="2640"/>
      <c r="R16" s="2640"/>
      <c r="S16" s="792"/>
    </row>
    <row r="17" spans="1:19" ht="15" customHeight="1">
      <c r="A17" s="791"/>
      <c r="B17" s="2640"/>
      <c r="C17" s="2640"/>
      <c r="D17" s="2640"/>
      <c r="E17" s="2640"/>
      <c r="F17" s="2640"/>
      <c r="G17" s="2640"/>
      <c r="H17" s="2640"/>
      <c r="I17" s="2640"/>
      <c r="J17" s="2640"/>
      <c r="K17" s="2640"/>
      <c r="L17" s="2640"/>
      <c r="M17" s="2640"/>
      <c r="N17" s="2640"/>
      <c r="O17" s="2640"/>
      <c r="P17" s="2640"/>
      <c r="Q17" s="2640"/>
      <c r="R17" s="264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1" t="s">
        <v>1971</v>
      </c>
      <c r="C19" s="2641"/>
      <c r="D19" s="2641"/>
      <c r="E19" s="2641"/>
      <c r="F19" s="2641"/>
      <c r="G19" s="2641"/>
      <c r="H19" s="2641"/>
      <c r="I19" s="2641"/>
      <c r="J19" s="2641"/>
      <c r="K19" s="2641"/>
      <c r="L19" s="2641"/>
      <c r="M19" s="2641"/>
      <c r="N19" s="2641"/>
      <c r="O19" s="2641"/>
      <c r="P19" s="2641"/>
      <c r="Q19" s="2641"/>
      <c r="R19" s="2641"/>
      <c r="S19" s="792"/>
    </row>
    <row r="20" spans="1:19" ht="15" customHeight="1">
      <c r="A20" s="791"/>
      <c r="B20" s="2641"/>
      <c r="C20" s="2641"/>
      <c r="D20" s="2641"/>
      <c r="E20" s="2641"/>
      <c r="F20" s="2641"/>
      <c r="G20" s="2641"/>
      <c r="H20" s="2641"/>
      <c r="I20" s="2641"/>
      <c r="J20" s="2641"/>
      <c r="K20" s="2641"/>
      <c r="L20" s="2641"/>
      <c r="M20" s="2641"/>
      <c r="N20" s="2641"/>
      <c r="O20" s="2641"/>
      <c r="P20" s="2641"/>
      <c r="Q20" s="2641"/>
      <c r="R20" s="2641"/>
      <c r="S20" s="792"/>
    </row>
    <row r="21" spans="1:19" ht="15" customHeight="1">
      <c r="A21" s="791"/>
      <c r="B21" s="2641"/>
      <c r="C21" s="2641"/>
      <c r="D21" s="2641"/>
      <c r="E21" s="2641"/>
      <c r="F21" s="2641"/>
      <c r="G21" s="2641"/>
      <c r="H21" s="2641"/>
      <c r="I21" s="2641"/>
      <c r="J21" s="2641"/>
      <c r="K21" s="2641"/>
      <c r="L21" s="2641"/>
      <c r="M21" s="2641"/>
      <c r="N21" s="2641"/>
      <c r="O21" s="2641"/>
      <c r="P21" s="2641"/>
      <c r="Q21" s="2641"/>
      <c r="R21" s="264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1" t="s">
        <v>1972</v>
      </c>
      <c r="C23" s="2641"/>
      <c r="D23" s="2641"/>
      <c r="E23" s="2641"/>
      <c r="F23" s="2641"/>
      <c r="G23" s="2641"/>
      <c r="H23" s="2641"/>
      <c r="I23" s="2641"/>
      <c r="J23" s="2641"/>
      <c r="K23" s="2641"/>
      <c r="L23" s="2641"/>
      <c r="M23" s="2641"/>
      <c r="N23" s="2641"/>
      <c r="O23" s="2641"/>
      <c r="P23" s="2641"/>
      <c r="Q23" s="2641"/>
      <c r="R23" s="2641"/>
      <c r="S23" s="792"/>
    </row>
    <row r="24" spans="1:19" ht="15" customHeight="1">
      <c r="A24" s="793"/>
      <c r="B24" s="2641"/>
      <c r="C24" s="2641"/>
      <c r="D24" s="2641"/>
      <c r="E24" s="2641"/>
      <c r="F24" s="2641"/>
      <c r="G24" s="2641"/>
      <c r="H24" s="2641"/>
      <c r="I24" s="2641"/>
      <c r="J24" s="2641"/>
      <c r="K24" s="2641"/>
      <c r="L24" s="2641"/>
      <c r="M24" s="2641"/>
      <c r="N24" s="2641"/>
      <c r="O24" s="2641"/>
      <c r="P24" s="2641"/>
      <c r="Q24" s="2641"/>
      <c r="R24" s="264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9" t="s">
        <v>1855</v>
      </c>
      <c r="C26" s="2639"/>
      <c r="D26" s="2639"/>
      <c r="E26" s="2639"/>
      <c r="F26" s="2639"/>
      <c r="G26" s="2639"/>
      <c r="H26" s="2639"/>
      <c r="I26" s="2639"/>
      <c r="J26" s="2639"/>
      <c r="K26" s="2639"/>
      <c r="L26" s="2639"/>
      <c r="M26" s="2639"/>
      <c r="N26" s="2639"/>
      <c r="O26" s="2639"/>
      <c r="P26" s="2639"/>
      <c r="Q26" s="2639"/>
      <c r="R26" s="263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6" t="s">
        <v>1760</v>
      </c>
      <c r="C29" s="2646"/>
      <c r="D29" s="2646"/>
      <c r="E29" s="2646"/>
      <c r="F29" s="2646"/>
      <c r="G29" s="2646"/>
      <c r="H29" s="795"/>
      <c r="I29" s="795"/>
      <c r="J29" s="795"/>
      <c r="K29" s="795"/>
      <c r="L29" s="795"/>
      <c r="M29" s="795"/>
      <c r="N29" s="795"/>
      <c r="O29" s="2644" t="s">
        <v>1769</v>
      </c>
      <c r="P29" s="793"/>
      <c r="Q29" s="793"/>
      <c r="R29" s="793"/>
      <c r="S29" s="793"/>
    </row>
    <row r="30" spans="1:19" ht="15" customHeight="1">
      <c r="A30" s="793"/>
      <c r="B30" s="2646"/>
      <c r="C30" s="2646"/>
      <c r="D30" s="2646"/>
      <c r="E30" s="2646"/>
      <c r="F30" s="2646"/>
      <c r="G30" s="2646"/>
      <c r="H30" s="795"/>
      <c r="I30" s="795"/>
      <c r="J30" s="795"/>
      <c r="K30" s="795"/>
      <c r="L30" s="795"/>
      <c r="M30" s="795"/>
      <c r="N30" s="795"/>
      <c r="O30" s="2644"/>
      <c r="P30" s="793"/>
      <c r="Q30" s="793"/>
      <c r="R30" s="793"/>
      <c r="S30" s="793"/>
    </row>
    <row r="31" spans="1:19" ht="15" customHeight="1">
      <c r="A31" s="793"/>
      <c r="B31" s="2646"/>
      <c r="C31" s="2646"/>
      <c r="D31" s="2646"/>
      <c r="E31" s="2646"/>
      <c r="F31" s="2646"/>
      <c r="G31" s="2646"/>
      <c r="H31" s="795"/>
      <c r="I31" s="795"/>
      <c r="J31" s="795"/>
      <c r="K31" s="795"/>
      <c r="L31" s="795"/>
      <c r="M31" s="795"/>
      <c r="N31" s="795"/>
      <c r="O31" s="2644"/>
      <c r="P31" s="793"/>
      <c r="Q31" s="793"/>
      <c r="R31" s="793"/>
      <c r="S31" s="793"/>
    </row>
    <row r="32" spans="1:19" ht="15" customHeight="1">
      <c r="A32" s="793"/>
      <c r="B32" s="2647"/>
      <c r="C32" s="2647"/>
      <c r="D32" s="2647"/>
      <c r="E32" s="2647"/>
      <c r="F32" s="2647"/>
      <c r="G32" s="2647"/>
      <c r="H32" s="793"/>
      <c r="I32" s="2613" t="s">
        <v>154</v>
      </c>
      <c r="J32" s="2605" t="s">
        <v>1075</v>
      </c>
      <c r="K32" s="2648">
        <v>1</v>
      </c>
      <c r="L32" s="793"/>
      <c r="M32" s="796"/>
      <c r="N32" s="793"/>
      <c r="O32" s="2645"/>
      <c r="P32" s="2605" t="s">
        <v>2146</v>
      </c>
      <c r="Q32" s="793"/>
      <c r="R32" s="793"/>
      <c r="S32" s="793"/>
    </row>
    <row r="33" spans="1:19" ht="15" customHeight="1">
      <c r="A33" s="793"/>
      <c r="B33" s="2603" t="s">
        <v>1764</v>
      </c>
      <c r="C33" s="2603"/>
      <c r="D33" s="2603"/>
      <c r="E33" s="2603"/>
      <c r="F33" s="2603"/>
      <c r="G33" s="2603"/>
      <c r="H33" s="793"/>
      <c r="I33" s="2613"/>
      <c r="J33" s="2605"/>
      <c r="K33" s="2648"/>
      <c r="L33" s="793"/>
      <c r="M33" s="797"/>
      <c r="N33" s="793"/>
      <c r="O33" s="2603" t="s">
        <v>1764</v>
      </c>
      <c r="P33" s="2605"/>
      <c r="Q33" s="793"/>
      <c r="R33" s="793"/>
      <c r="S33" s="793"/>
    </row>
    <row r="34" spans="1:19" ht="15" customHeight="1">
      <c r="A34" s="793"/>
      <c r="B34" s="2604"/>
      <c r="C34" s="2604"/>
      <c r="D34" s="2604"/>
      <c r="E34" s="2604"/>
      <c r="F34" s="2604"/>
      <c r="G34" s="2604"/>
      <c r="H34" s="793"/>
      <c r="I34" s="1025"/>
      <c r="J34" s="1024"/>
      <c r="K34" s="1026"/>
      <c r="L34" s="793"/>
      <c r="M34" s="797"/>
      <c r="N34" s="793"/>
      <c r="O34" s="260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1752</v>
      </c>
      <c r="C37" s="2627"/>
      <c r="D37" s="2627"/>
      <c r="E37" s="2627"/>
      <c r="F37" s="804"/>
      <c r="G37" s="804"/>
      <c r="H37" s="805"/>
      <c r="I37" s="806"/>
      <c r="J37" s="806"/>
      <c r="P37" s="793"/>
      <c r="Q37" s="807"/>
      <c r="R37" s="807"/>
      <c r="S37" s="793"/>
    </row>
    <row r="38" spans="1:19" ht="15" customHeight="1">
      <c r="A38" s="793"/>
      <c r="B38" s="2632" t="s">
        <v>1770</v>
      </c>
      <c r="C38" s="2632"/>
      <c r="D38" s="2632"/>
      <c r="E38" s="2632"/>
      <c r="F38" s="1020"/>
      <c r="G38" s="808">
        <f>D110</f>
        <v>0</v>
      </c>
      <c r="H38" s="809"/>
      <c r="I38" s="810"/>
      <c r="J38" s="809"/>
      <c r="L38" s="1275"/>
      <c r="M38" s="1275"/>
      <c r="N38" s="1275"/>
      <c r="O38" s="1275"/>
      <c r="P38" s="759"/>
      <c r="Q38" s="2602"/>
      <c r="R38" s="2602"/>
      <c r="S38" s="759"/>
    </row>
    <row r="39" spans="1:19" ht="15" customHeight="1">
      <c r="A39" s="579"/>
      <c r="B39" s="2633" t="s">
        <v>1386</v>
      </c>
      <c r="C39" s="2633"/>
      <c r="D39" s="2633"/>
      <c r="E39" s="2633"/>
      <c r="F39" s="1020"/>
      <c r="G39" s="977"/>
      <c r="H39" s="809"/>
      <c r="I39" s="810"/>
      <c r="J39" s="809"/>
      <c r="L39" s="809"/>
      <c r="M39" s="807"/>
      <c r="N39" s="807"/>
      <c r="O39" s="807"/>
      <c r="P39" s="759"/>
      <c r="Q39" s="1132"/>
      <c r="R39" s="1132"/>
      <c r="S39" s="759"/>
    </row>
    <row r="40" spans="1:19" ht="15" customHeight="1">
      <c r="A40" s="579"/>
      <c r="B40" s="2633" t="s">
        <v>1387</v>
      </c>
      <c r="C40" s="2633"/>
      <c r="D40" s="2633"/>
      <c r="E40" s="2633"/>
      <c r="F40" s="1020"/>
      <c r="G40" s="977"/>
      <c r="H40" s="809"/>
      <c r="I40" s="810"/>
      <c r="J40" s="809"/>
      <c r="K40" s="2637"/>
      <c r="L40" s="2637"/>
      <c r="M40" s="2637"/>
      <c r="N40" s="2637"/>
      <c r="O40" s="2637"/>
      <c r="P40" s="1049"/>
      <c r="Q40" s="2602"/>
      <c r="R40" s="2602"/>
      <c r="S40" s="793"/>
    </row>
    <row r="41" spans="1:19" ht="15" customHeight="1">
      <c r="A41" s="579"/>
      <c r="B41" s="2634" t="s">
        <v>1765</v>
      </c>
      <c r="C41" s="2634"/>
      <c r="D41" s="2634"/>
      <c r="E41" s="2634"/>
      <c r="F41" s="1020"/>
      <c r="G41" s="809"/>
      <c r="H41" s="809"/>
      <c r="I41" s="810"/>
      <c r="J41" s="809"/>
      <c r="K41" s="809"/>
      <c r="L41" s="809"/>
      <c r="M41" s="807"/>
      <c r="N41" s="807"/>
      <c r="O41" s="807"/>
      <c r="P41" s="759"/>
      <c r="Q41" s="811"/>
      <c r="R41" s="811"/>
      <c r="S41" s="793"/>
    </row>
    <row r="42" spans="1:19" ht="15" customHeight="1">
      <c r="A42" s="579"/>
      <c r="B42" s="979" t="s">
        <v>2459</v>
      </c>
      <c r="C42" s="979"/>
      <c r="D42" s="972"/>
      <c r="E42" s="1023">
        <v>8650000</v>
      </c>
      <c r="F42" s="1020"/>
      <c r="G42" s="809"/>
      <c r="H42" s="809"/>
      <c r="I42" s="810"/>
      <c r="J42" s="809"/>
      <c r="K42" s="2637"/>
      <c r="L42" s="2637"/>
      <c r="M42" s="2637"/>
      <c r="N42" s="2637"/>
      <c r="O42" s="2637"/>
      <c r="P42" s="1049"/>
      <c r="Q42" s="2602"/>
      <c r="R42" s="2602"/>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2"/>
      <c r="R44" s="2602"/>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08" t="s">
        <v>2032</v>
      </c>
      <c r="L46" s="2608"/>
      <c r="M46" s="2608"/>
      <c r="N46" s="2608"/>
      <c r="O46" s="2608"/>
      <c r="P46" s="793"/>
      <c r="Q46" s="2606"/>
      <c r="R46" s="2606"/>
      <c r="S46" s="793"/>
    </row>
    <row r="47" spans="1:19" ht="15" customHeight="1">
      <c r="A47" s="579"/>
      <c r="B47" s="979"/>
      <c r="C47" s="979"/>
      <c r="D47" s="788"/>
      <c r="E47" s="1023"/>
      <c r="F47" s="1020"/>
      <c r="G47" s="809"/>
      <c r="H47" s="809"/>
      <c r="I47" s="810"/>
      <c r="J47" s="809"/>
      <c r="K47" s="2607" t="s">
        <v>2033</v>
      </c>
      <c r="L47" s="2607"/>
      <c r="M47" s="2607"/>
      <c r="N47" s="2607"/>
      <c r="O47" s="2607"/>
      <c r="P47" s="793"/>
      <c r="Q47" s="2643"/>
      <c r="R47" s="2643"/>
      <c r="S47" s="793"/>
    </row>
    <row r="48" spans="1:19" ht="15" customHeight="1">
      <c r="A48" s="579"/>
      <c r="B48" s="979"/>
      <c r="C48" s="979"/>
      <c r="D48" s="788"/>
      <c r="E48" s="1023"/>
      <c r="F48" s="1020"/>
      <c r="G48" s="809"/>
      <c r="H48" s="809"/>
      <c r="I48" s="810"/>
      <c r="J48" s="809"/>
      <c r="K48" s="2642" t="s">
        <v>2034</v>
      </c>
      <c r="L48" s="2642"/>
      <c r="M48" s="2642"/>
      <c r="N48" s="2642"/>
      <c r="O48" s="264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32" t="s">
        <v>1761</v>
      </c>
      <c r="C52" s="2632"/>
      <c r="D52" s="2632"/>
      <c r="E52" s="2632"/>
      <c r="F52" s="1020"/>
      <c r="G52" s="808">
        <f>SUM(E42:E49)-ABS(E50)-ABS(E51)</f>
        <v>8650000</v>
      </c>
      <c r="H52" s="809"/>
      <c r="I52" s="810"/>
      <c r="J52" s="809"/>
    </row>
    <row r="53" spans="1:29" ht="15" customHeight="1">
      <c r="A53" s="579"/>
      <c r="B53" s="793"/>
      <c r="C53" s="814"/>
      <c r="D53" s="814" t="s">
        <v>953</v>
      </c>
      <c r="E53" s="815"/>
      <c r="F53" s="815"/>
      <c r="G53" s="816">
        <f>SUM(G38:G40)+G52</f>
        <v>8650000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5" t="s">
        <v>1365</v>
      </c>
      <c r="C56" s="2635"/>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36" t="s">
        <v>1755</v>
      </c>
      <c r="C57" s="2636"/>
      <c r="D57" s="2636"/>
      <c r="E57" s="2636"/>
      <c r="F57" s="2636"/>
      <c r="G57" s="2636"/>
      <c r="H57" s="2636"/>
      <c r="I57" s="2636"/>
      <c r="J57" s="2636"/>
      <c r="K57" s="2636"/>
      <c r="L57" s="2636"/>
      <c r="M57" s="2636"/>
      <c r="N57" s="2636"/>
      <c r="O57" s="2636"/>
      <c r="P57" s="1020"/>
      <c r="Q57" s="793"/>
      <c r="R57" s="793"/>
      <c r="S57" s="793"/>
      <c r="U57" s="1209" t="s">
        <v>1966</v>
      </c>
      <c r="AC57" s="1263">
        <v>0.1</v>
      </c>
    </row>
    <row r="58" spans="1:29" ht="15" customHeight="1">
      <c r="A58" s="793"/>
      <c r="B58" s="2627" t="s">
        <v>1754</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1967</v>
      </c>
      <c r="AC58" s="1263">
        <v>0.1</v>
      </c>
    </row>
    <row r="59" spans="1:29" ht="15" customHeight="1">
      <c r="A59" s="793"/>
      <c r="B59" s="2617" t="s">
        <v>1970</v>
      </c>
      <c r="C59" s="2617"/>
      <c r="D59" s="2617"/>
      <c r="E59" s="2617"/>
      <c r="F59" s="2617"/>
      <c r="G59" s="2617"/>
      <c r="H59" s="2617"/>
      <c r="I59" s="2617"/>
      <c r="J59" s="2617"/>
      <c r="K59" s="2617"/>
      <c r="L59" s="2617"/>
      <c r="M59" s="2617"/>
      <c r="N59" s="2617"/>
      <c r="O59" s="2617"/>
      <c r="P59" s="820"/>
      <c r="Q59" s="793"/>
      <c r="R59" s="793"/>
      <c r="S59" s="793"/>
      <c r="U59" s="1209" t="s">
        <v>1968</v>
      </c>
      <c r="AC59" s="1263">
        <v>0.05</v>
      </c>
    </row>
    <row r="60" spans="1:29" ht="15" customHeight="1" thickBot="1">
      <c r="A60" s="793"/>
      <c r="B60" s="2617"/>
      <c r="C60" s="2617"/>
      <c r="D60" s="2617"/>
      <c r="E60" s="2617"/>
      <c r="F60" s="2617"/>
      <c r="G60" s="2617"/>
      <c r="H60" s="2617"/>
      <c r="I60" s="2617"/>
      <c r="J60" s="2617"/>
      <c r="K60" s="2617"/>
      <c r="L60" s="2617"/>
      <c r="M60" s="2617"/>
      <c r="N60" s="2617"/>
      <c r="O60" s="2617"/>
      <c r="P60" s="820"/>
      <c r="Q60" s="793"/>
      <c r="R60" s="793"/>
      <c r="S60" s="793"/>
      <c r="U60" s="1210"/>
      <c r="AC60" s="1211"/>
    </row>
    <row r="61" spans="1:29" ht="15" customHeight="1">
      <c r="A61" s="793"/>
      <c r="B61" s="2618" t="s">
        <v>1756</v>
      </c>
      <c r="C61" s="2618"/>
      <c r="D61" s="2618"/>
      <c r="E61" s="2618"/>
      <c r="F61" s="2618"/>
      <c r="G61" s="2618"/>
      <c r="H61" s="2618"/>
      <c r="I61" s="2618"/>
      <c r="J61" s="2618"/>
      <c r="K61" s="2618"/>
      <c r="L61" s="2618"/>
      <c r="M61" s="2618"/>
      <c r="N61" s="2618"/>
      <c r="O61" s="2618"/>
      <c r="P61" s="820"/>
      <c r="Q61" s="793"/>
      <c r="R61" s="793"/>
      <c r="S61" s="793"/>
      <c r="U61" s="264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0"/>
    </row>
    <row r="63" spans="1:29" ht="15" customHeight="1">
      <c r="A63" s="793"/>
      <c r="B63" s="807"/>
      <c r="C63" s="807"/>
      <c r="D63" s="807"/>
      <c r="E63" s="1281"/>
      <c r="F63" s="807"/>
      <c r="G63" s="807"/>
      <c r="H63" s="807"/>
      <c r="I63" s="1219"/>
      <c r="J63" s="2623" t="s">
        <v>2147</v>
      </c>
      <c r="K63" s="2624"/>
      <c r="L63" s="2624"/>
      <c r="M63" s="2624"/>
      <c r="N63" s="2624"/>
      <c r="O63" s="2624"/>
      <c r="P63" s="2624"/>
      <c r="Q63" s="2624"/>
      <c r="R63" s="2624"/>
      <c r="S63" s="793"/>
      <c r="U63" s="2649">
        <f>IF(J67="Non-rural project, Census Tract is High Resource (10 percentage points)",AC57,0)</f>
        <v>0</v>
      </c>
    </row>
    <row r="64" spans="1:29" ht="15" customHeight="1" thickBot="1">
      <c r="A64" s="793"/>
      <c r="B64" s="2619" t="s">
        <v>1766</v>
      </c>
      <c r="C64" s="2619"/>
      <c r="D64" s="807"/>
      <c r="F64" s="807"/>
      <c r="G64" s="1283" t="s">
        <v>2035</v>
      </c>
      <c r="H64" s="807"/>
      <c r="I64" s="1220"/>
      <c r="J64" s="2625"/>
      <c r="K64" s="2626"/>
      <c r="L64" s="2626"/>
      <c r="M64" s="2626"/>
      <c r="N64" s="2626"/>
      <c r="O64" s="2626"/>
      <c r="P64" s="2626"/>
      <c r="Q64" s="2626"/>
      <c r="R64" s="2626"/>
      <c r="S64" s="793"/>
      <c r="U64" s="2650"/>
    </row>
    <row r="65" spans="1:22" ht="15" customHeight="1">
      <c r="A65" s="793"/>
      <c r="B65" s="822" t="s">
        <v>1759</v>
      </c>
      <c r="C65" s="985" t="str">
        <f>IF(Application!M349="Yes","Yes","No")</f>
        <v>Yes</v>
      </c>
      <c r="E65" s="1284"/>
      <c r="F65" s="1284"/>
      <c r="G65" s="1285" t="s">
        <v>2037</v>
      </c>
      <c r="H65" s="807"/>
      <c r="I65" s="1220"/>
      <c r="J65" s="2625"/>
      <c r="K65" s="2626"/>
      <c r="L65" s="2626"/>
      <c r="M65" s="2626"/>
      <c r="N65" s="2626"/>
      <c r="O65" s="2626"/>
      <c r="P65" s="2626"/>
      <c r="Q65" s="2626"/>
      <c r="R65" s="2626"/>
      <c r="S65" s="793"/>
      <c r="U65" s="2649">
        <f>IF(J67="Rural project, Census Tract is Highest Resource (10 percentage points)",AC58,0)</f>
        <v>0</v>
      </c>
    </row>
    <row r="66" spans="1:22" ht="15" customHeight="1" thickBot="1">
      <c r="A66" s="793"/>
      <c r="B66" s="823" t="s">
        <v>1842</v>
      </c>
      <c r="C66" s="986">
        <f>Application!AG430-Application!AG431</f>
        <v>48</v>
      </c>
      <c r="D66" s="1284"/>
      <c r="E66" s="823" t="s">
        <v>2038</v>
      </c>
      <c r="F66" s="1284"/>
      <c r="G66" s="1033"/>
      <c r="H66" s="824"/>
      <c r="I66" s="1221"/>
      <c r="J66" s="2625"/>
      <c r="K66" s="2626"/>
      <c r="L66" s="2626"/>
      <c r="M66" s="2626"/>
      <c r="N66" s="2626"/>
      <c r="O66" s="2626"/>
      <c r="P66" s="2626"/>
      <c r="Q66" s="2626"/>
      <c r="R66" s="2626"/>
      <c r="S66" s="793"/>
      <c r="U66" s="2650"/>
    </row>
    <row r="67" spans="1:22" ht="15" customHeight="1">
      <c r="A67" s="793"/>
      <c r="B67" s="823" t="s">
        <v>1753</v>
      </c>
      <c r="C67" s="987">
        <f>MIN(IF(AND(C65="Yes",G67&gt;=50),(0.75+(G67/200)),1),1.5)</f>
        <v>1</v>
      </c>
      <c r="D67" s="824"/>
      <c r="E67" s="823" t="s">
        <v>1843</v>
      </c>
      <c r="G67" s="986">
        <f>C66+G66</f>
        <v>48</v>
      </c>
      <c r="H67" s="824"/>
      <c r="I67" s="1221"/>
      <c r="J67" s="2622" t="s">
        <v>1968</v>
      </c>
      <c r="K67" s="2622"/>
      <c r="L67" s="2622"/>
      <c r="M67" s="2622"/>
      <c r="N67" s="2622"/>
      <c r="O67" s="2622"/>
      <c r="P67" s="2622"/>
      <c r="Q67" s="2622"/>
      <c r="R67" s="2622"/>
      <c r="S67" s="793"/>
      <c r="U67" s="2649">
        <f>IF(J67="Rural project, Census Tract is High Resource (5 percentage points)",AC59,0)</f>
        <v>0.05</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3">
        <f>SUM(U61:U68)</f>
        <v>0.05</v>
      </c>
    </row>
    <row r="70" spans="1:22" ht="15" customHeight="1" thickBot="1">
      <c r="A70" s="793"/>
      <c r="B70" s="2620" t="s">
        <v>1763</v>
      </c>
      <c r="C70" s="2620"/>
      <c r="D70" s="794"/>
      <c r="E70" s="794"/>
      <c r="F70" s="794"/>
      <c r="G70" s="794"/>
      <c r="H70" s="793"/>
      <c r="I70" s="793"/>
      <c r="J70" s="793"/>
      <c r="K70" s="793"/>
      <c r="L70" s="793"/>
      <c r="M70" s="793"/>
      <c r="N70" s="793"/>
      <c r="O70" s="793"/>
      <c r="P70" s="793"/>
      <c r="Q70" s="793"/>
      <c r="R70" s="793"/>
      <c r="S70" s="793"/>
      <c r="U70" s="2654"/>
      <c r="V70" s="620" t="s">
        <v>1969</v>
      </c>
    </row>
    <row r="71" spans="1:22" ht="15" customHeight="1">
      <c r="A71" s="793"/>
      <c r="B71" s="2621" t="s">
        <v>1767</v>
      </c>
      <c r="C71" s="2621"/>
      <c r="D71" s="2621"/>
      <c r="E71" s="794"/>
      <c r="F71" s="794"/>
      <c r="G71" s="808">
        <f>G53*(1-J58)</f>
        <v>8650000</v>
      </c>
      <c r="H71" s="793"/>
      <c r="I71" s="793"/>
      <c r="J71" s="826"/>
      <c r="K71" s="1117" t="s">
        <v>1769</v>
      </c>
      <c r="L71" s="1117"/>
      <c r="M71" s="1117"/>
      <c r="N71" s="1117"/>
      <c r="O71" s="1117"/>
      <c r="P71" s="793"/>
      <c r="Q71" s="2608">
        <f>'Basis &amp; Credits'!T23+'Basis &amp; Credits'!Y23+'Basis &amp; Credits'!AD23+'Basis &amp; Credits'!AI23</f>
        <v>19363934</v>
      </c>
      <c r="R71" s="2608"/>
      <c r="S71" s="793"/>
    </row>
    <row r="72" spans="1:22" ht="15" customHeight="1">
      <c r="A72" s="793"/>
      <c r="B72" s="2610" t="s">
        <v>1768</v>
      </c>
      <c r="C72" s="2610"/>
      <c r="D72" s="2610"/>
      <c r="E72" s="794"/>
      <c r="F72" s="794"/>
      <c r="G72" s="808">
        <f>G71*C67</f>
        <v>8650000</v>
      </c>
      <c r="H72" s="793"/>
      <c r="I72" s="793"/>
      <c r="J72" s="826"/>
      <c r="K72" s="1223"/>
      <c r="L72" s="1223"/>
      <c r="M72" s="1223"/>
      <c r="N72" s="1223"/>
      <c r="O72" s="1223"/>
      <c r="P72" s="793"/>
      <c r="Q72" s="2602"/>
      <c r="R72" s="2602"/>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1">
        <f>$G$72</f>
        <v>8650000</v>
      </c>
      <c r="C75" s="2612"/>
      <c r="D75" s="2612"/>
      <c r="E75" s="2612"/>
      <c r="F75" s="2612"/>
      <c r="G75" s="2612"/>
      <c r="H75" s="827"/>
      <c r="I75" s="2613" t="s">
        <v>154</v>
      </c>
      <c r="J75" s="2605" t="s">
        <v>1075</v>
      </c>
      <c r="K75" s="2613">
        <v>1</v>
      </c>
      <c r="L75" s="793"/>
      <c r="M75" s="799"/>
      <c r="N75" s="825"/>
      <c r="O75" s="1035">
        <f>$Q$71</f>
        <v>19363934</v>
      </c>
      <c r="P75" s="2605" t="s">
        <v>2146</v>
      </c>
      <c r="Q75" s="2614" t="s">
        <v>153</v>
      </c>
      <c r="R75" s="2651">
        <f>((B75/B76)+((1-(O75/O76))/2))+U69</f>
        <v>0.50820160544990733</v>
      </c>
    </row>
    <row r="76" spans="1:22" ht="15" customHeight="1" thickBot="1">
      <c r="A76" s="793"/>
      <c r="B76" s="2615">
        <f>'Sources and Uses Budget'!$C$104+$Q$46-($E$50+$E$51)*(1-$J$58)</f>
        <v>24689154</v>
      </c>
      <c r="C76" s="2616"/>
      <c r="D76" s="2616"/>
      <c r="E76" s="2616"/>
      <c r="F76" s="2616"/>
      <c r="G76" s="2615"/>
      <c r="H76" s="793"/>
      <c r="I76" s="2613"/>
      <c r="J76" s="2605"/>
      <c r="K76" s="2613"/>
      <c r="L76" s="793"/>
      <c r="M76" s="1016"/>
      <c r="N76" s="793"/>
      <c r="O76" s="1034">
        <f>B76</f>
        <v>24689154</v>
      </c>
      <c r="P76" s="2605"/>
      <c r="Q76" s="2614"/>
      <c r="R76" s="265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1776</v>
      </c>
      <c r="L84" s="1113"/>
      <c r="M84" s="1113"/>
      <c r="N84" s="1113"/>
      <c r="O84" s="1113"/>
      <c r="P84" s="1113"/>
      <c r="Q84" s="2606"/>
      <c r="R84" s="2606"/>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1973</v>
      </c>
      <c r="F88" s="1227"/>
      <c r="G88" s="1227" t="s">
        <v>1076</v>
      </c>
      <c r="H88" s="793"/>
      <c r="I88" s="810"/>
      <c r="J88" s="793"/>
      <c r="K88" s="1213" t="s">
        <v>1775</v>
      </c>
      <c r="L88" s="1113"/>
      <c r="M88" s="1113"/>
      <c r="N88" s="1113"/>
      <c r="O88" s="1113"/>
      <c r="P88" s="1113"/>
      <c r="Q88" s="793"/>
      <c r="R88" s="579"/>
      <c r="S88" s="793"/>
    </row>
    <row r="89" spans="1:19" ht="15" customHeight="1">
      <c r="A89" s="793"/>
      <c r="B89" s="828" t="s">
        <v>1069</v>
      </c>
      <c r="C89" s="829" t="s">
        <v>1070</v>
      </c>
      <c r="D89" s="1241" t="s">
        <v>1976</v>
      </c>
      <c r="E89" s="1241" t="s">
        <v>2053</v>
      </c>
      <c r="F89" s="830"/>
      <c r="G89" s="830" t="s">
        <v>1977</v>
      </c>
      <c r="H89" s="793"/>
      <c r="I89" s="810"/>
      <c r="J89" s="793"/>
      <c r="K89" s="1213" t="s">
        <v>1777</v>
      </c>
      <c r="L89" s="1114"/>
      <c r="M89" s="1114"/>
      <c r="N89" s="1114"/>
      <c r="O89" s="1114"/>
      <c r="P89" s="1114"/>
      <c r="Q89" s="2606"/>
      <c r="R89" s="2606"/>
      <c r="S89" s="793"/>
    </row>
    <row r="90" spans="1:19" ht="15" customHeight="1">
      <c r="A90" s="579"/>
      <c r="B90" s="771" t="s">
        <v>676</v>
      </c>
      <c r="C90" s="772"/>
      <c r="D90" s="773"/>
      <c r="E90" s="774"/>
      <c r="F90" s="838"/>
      <c r="G90" s="831">
        <f>MAX(($E90-$D90)*$C90*12,0)</f>
        <v>0</v>
      </c>
      <c r="H90" s="793"/>
      <c r="I90" s="810"/>
      <c r="J90" s="793"/>
      <c r="K90" s="1213" t="s">
        <v>1778</v>
      </c>
      <c r="L90" s="1114"/>
      <c r="M90" s="1114"/>
      <c r="N90" s="1114"/>
      <c r="O90" s="1114"/>
      <c r="P90" s="1114"/>
      <c r="Q90" s="2609"/>
      <c r="R90" s="2609"/>
      <c r="S90" s="793"/>
    </row>
    <row r="91" spans="1:19" ht="15" customHeight="1">
      <c r="A91" s="579"/>
      <c r="B91" s="771" t="s">
        <v>676</v>
      </c>
      <c r="C91" s="772"/>
      <c r="D91" s="773"/>
      <c r="E91" s="774"/>
      <c r="F91" s="838"/>
      <c r="G91" s="831">
        <f t="shared" ref="G91:G97" si="0">MAX(($E91-$D91)*$C91*12,0)</f>
        <v>0</v>
      </c>
      <c r="H91" s="793"/>
      <c r="I91" s="810"/>
      <c r="J91" s="793"/>
      <c r="K91" s="1213" t="s">
        <v>1782</v>
      </c>
      <c r="L91" s="1114"/>
      <c r="M91" s="1114"/>
      <c r="N91" s="1114"/>
      <c r="O91" s="1114"/>
      <c r="P91" s="1114"/>
      <c r="Q91" s="2607">
        <f>IFERROR(Q89/Q90,0)</f>
        <v>0</v>
      </c>
      <c r="R91" s="2607"/>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1783</v>
      </c>
      <c r="L93" s="1112"/>
      <c r="M93" s="1112"/>
      <c r="N93" s="1112"/>
      <c r="O93" s="1112"/>
      <c r="P93" s="1112"/>
      <c r="Q93" s="2608">
        <f>MAX(Q84,Q91)</f>
        <v>0</v>
      </c>
      <c r="R93" s="2608"/>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1">
      <c r="A4" s="592" t="s">
        <v>1161</v>
      </c>
      <c r="B4" s="592"/>
      <c r="C4" s="616">
        <v>1.0249999999999999</v>
      </c>
      <c r="D4" s="592"/>
      <c r="E4" s="592">
        <f>Application!Y779</f>
        <v>415056</v>
      </c>
      <c r="F4" s="592"/>
      <c r="G4" s="592">
        <f>E4*$C$4</f>
        <v>425432.39999999997</v>
      </c>
      <c r="H4" s="592"/>
      <c r="I4" s="592">
        <f>G4*$C$4</f>
        <v>436068.2099999999</v>
      </c>
      <c r="J4" s="592"/>
      <c r="K4" s="592">
        <f>I4*$C$4</f>
        <v>446969.91524999985</v>
      </c>
      <c r="L4" s="592"/>
      <c r="M4" s="592">
        <f>K4*$C$4</f>
        <v>458144.16313124978</v>
      </c>
      <c r="N4" s="592"/>
      <c r="O4" s="592">
        <f>M4*$C$4</f>
        <v>469597.76720953098</v>
      </c>
      <c r="P4" s="592"/>
      <c r="Q4" s="592">
        <f>O4*$C$4</f>
        <v>481337.71138976922</v>
      </c>
      <c r="R4" s="592"/>
      <c r="S4" s="592">
        <f>Q4*$C$4</f>
        <v>493371.15417451342</v>
      </c>
      <c r="T4" s="592"/>
      <c r="U4" s="592">
        <f>S4*$C$4</f>
        <v>505705.4330288762</v>
      </c>
      <c r="V4" s="592"/>
      <c r="W4" s="592">
        <f>U4*$C$4</f>
        <v>518348.06885459804</v>
      </c>
      <c r="X4" s="592"/>
      <c r="Y4" s="592">
        <f>W4*$C$4</f>
        <v>531306.77057596296</v>
      </c>
      <c r="Z4" s="592"/>
      <c r="AA4" s="592">
        <f>Y4*$C$4</f>
        <v>544589.43984036194</v>
      </c>
      <c r="AB4" s="592"/>
      <c r="AC4" s="592">
        <f>AA4*$C$4</f>
        <v>558204.17583637091</v>
      </c>
      <c r="AD4" s="592"/>
      <c r="AE4" s="592">
        <f>AC4*$C$4</f>
        <v>572159.28023228014</v>
      </c>
      <c r="AF4" s="592"/>
      <c r="AG4" s="592">
        <f>AE4*$C$4</f>
        <v>586463.26223808713</v>
      </c>
      <c r="AH4" s="592"/>
    </row>
    <row r="5" spans="1:34" ht="14.1">
      <c r="A5" s="582"/>
      <c r="B5" s="582" t="s">
        <v>1071</v>
      </c>
      <c r="C5" s="617">
        <f>IF(Application!$D$214="Special Needs",0.1,0.05)</f>
        <v>0.05</v>
      </c>
      <c r="D5" s="582"/>
      <c r="E5" s="594">
        <f>-E4*$C$5</f>
        <v>-20752.800000000003</v>
      </c>
      <c r="F5" s="594"/>
      <c r="G5" s="594">
        <f>-G4*$C$5</f>
        <v>-21271.62</v>
      </c>
      <c r="H5" s="594"/>
      <c r="I5" s="594">
        <f>-I4*$C$5</f>
        <v>-21803.410499999998</v>
      </c>
      <c r="J5" s="594"/>
      <c r="K5" s="594">
        <f>-K4*$C$5</f>
        <v>-22348.495762499995</v>
      </c>
      <c r="L5" s="594"/>
      <c r="M5" s="594">
        <f>-M4*$C$5</f>
        <v>-22907.20815656249</v>
      </c>
      <c r="N5" s="594"/>
      <c r="O5" s="594">
        <f>-O4*$C$5</f>
        <v>-23479.888360476551</v>
      </c>
      <c r="P5" s="594"/>
      <c r="Q5" s="594">
        <f>-Q4*$C$5</f>
        <v>-24066.885569488462</v>
      </c>
      <c r="R5" s="594"/>
      <c r="S5" s="594">
        <f>-S4*$C$5</f>
        <v>-24668.557708725672</v>
      </c>
      <c r="T5" s="594"/>
      <c r="U5" s="594">
        <f>-U4*$C$5</f>
        <v>-25285.271651443811</v>
      </c>
      <c r="V5" s="594"/>
      <c r="W5" s="594">
        <f>-W4*$C$5</f>
        <v>-25917.403442729905</v>
      </c>
      <c r="X5" s="594"/>
      <c r="Y5" s="594">
        <f>-Y4*$C$5</f>
        <v>-26565.338528798151</v>
      </c>
      <c r="Z5" s="594"/>
      <c r="AA5" s="594">
        <f>-AA4*$C$5</f>
        <v>-27229.471992018098</v>
      </c>
      <c r="AB5" s="594"/>
      <c r="AC5" s="594">
        <f>-AC4*$C$5</f>
        <v>-27910.208791818546</v>
      </c>
      <c r="AD5" s="594"/>
      <c r="AE5" s="594">
        <f>-AE4*$C$5</f>
        <v>-28607.964011614007</v>
      </c>
      <c r="AF5" s="594"/>
      <c r="AG5" s="594">
        <f>-AG4*$C$5</f>
        <v>-29323.16311190436</v>
      </c>
      <c r="AH5" s="582"/>
    </row>
    <row r="6" spans="1:34" ht="14.1">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1">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1">
      <c r="A8" s="582" t="s">
        <v>288</v>
      </c>
      <c r="B8" s="582"/>
      <c r="C8" s="616">
        <v>1.0249999999999999</v>
      </c>
      <c r="D8" s="582"/>
      <c r="E8" s="595">
        <f>Application!Z795</f>
        <v>7200</v>
      </c>
      <c r="F8" s="595"/>
      <c r="G8" s="595">
        <f>E8*$C$8</f>
        <v>7379.9999999999991</v>
      </c>
      <c r="H8" s="595"/>
      <c r="I8" s="595">
        <f>G8*$C$8</f>
        <v>7564.4999999999982</v>
      </c>
      <c r="J8" s="595"/>
      <c r="K8" s="595">
        <f>I8*$C$8</f>
        <v>7753.6124999999975</v>
      </c>
      <c r="L8" s="595"/>
      <c r="M8" s="595">
        <f>K8*$C$8</f>
        <v>7947.452812499997</v>
      </c>
      <c r="N8" s="595"/>
      <c r="O8" s="595">
        <f>M8*$C$8</f>
        <v>8146.1391328124964</v>
      </c>
      <c r="P8" s="595"/>
      <c r="Q8" s="595">
        <f>O8*$C$8</f>
        <v>8349.7926111328088</v>
      </c>
      <c r="R8" s="595"/>
      <c r="S8" s="595">
        <f>Q8*$C$8</f>
        <v>8558.5374264111288</v>
      </c>
      <c r="T8" s="595"/>
      <c r="U8" s="595">
        <f>S8*$C$8</f>
        <v>8772.500862071407</v>
      </c>
      <c r="V8" s="595"/>
      <c r="W8" s="595">
        <f>U8*$C$8</f>
        <v>8991.8133836231918</v>
      </c>
      <c r="X8" s="595"/>
      <c r="Y8" s="595">
        <f>W8*$C$8</f>
        <v>9216.6087182137708</v>
      </c>
      <c r="Z8" s="595"/>
      <c r="AA8" s="595">
        <f>Y8*$C$8</f>
        <v>9447.0239361691147</v>
      </c>
      <c r="AB8" s="595"/>
      <c r="AC8" s="595">
        <f>AA8*$C$8</f>
        <v>9683.1995345733412</v>
      </c>
      <c r="AD8" s="595"/>
      <c r="AE8" s="595">
        <f>AC8*$C$8</f>
        <v>9925.2795229376734</v>
      </c>
      <c r="AF8" s="595"/>
      <c r="AG8" s="595">
        <f>AE8*$C$8</f>
        <v>10173.411511011114</v>
      </c>
      <c r="AH8" s="582"/>
    </row>
    <row r="9" spans="1:34" ht="14.1">
      <c r="A9" s="582"/>
      <c r="B9" s="582" t="s">
        <v>1071</v>
      </c>
      <c r="C9" s="617">
        <f>IF(Application!$D$214="Special Needs",0.1,0.05)</f>
        <v>0.05</v>
      </c>
      <c r="D9" s="582"/>
      <c r="E9" s="614">
        <f>-E8*$C$9</f>
        <v>-360</v>
      </c>
      <c r="F9" s="594"/>
      <c r="G9" s="614">
        <f>-G8*$C$9</f>
        <v>-369</v>
      </c>
      <c r="H9" s="594"/>
      <c r="I9" s="614">
        <f>-I8*$C$9</f>
        <v>-378.22499999999991</v>
      </c>
      <c r="J9" s="594"/>
      <c r="K9" s="614">
        <f>-K8*$C$9</f>
        <v>-387.68062499999991</v>
      </c>
      <c r="L9" s="594"/>
      <c r="M9" s="614">
        <f>-M8*$C$9</f>
        <v>-397.37264062499986</v>
      </c>
      <c r="N9" s="594"/>
      <c r="O9" s="614">
        <f>-O8*$C$9</f>
        <v>-407.30695664062483</v>
      </c>
      <c r="P9" s="594"/>
      <c r="Q9" s="614">
        <f>-Q8*$C$9</f>
        <v>-417.48963055664046</v>
      </c>
      <c r="R9" s="594"/>
      <c r="S9" s="614">
        <f>-S8*$C$9</f>
        <v>-427.92687132055647</v>
      </c>
      <c r="T9" s="594"/>
      <c r="U9" s="614">
        <f>-U8*$C$9</f>
        <v>-438.62504310357036</v>
      </c>
      <c r="V9" s="594"/>
      <c r="W9" s="614">
        <f>-W8*$C$9</f>
        <v>-449.59066918115963</v>
      </c>
      <c r="X9" s="594"/>
      <c r="Y9" s="614">
        <f>-Y8*$C$9</f>
        <v>-460.83043591068855</v>
      </c>
      <c r="Z9" s="594"/>
      <c r="AA9" s="614">
        <f>-AA8*$C$9</f>
        <v>-472.35119680845577</v>
      </c>
      <c r="AB9" s="594"/>
      <c r="AC9" s="614">
        <f>-AC8*$C$9</f>
        <v>-484.15997672866706</v>
      </c>
      <c r="AD9" s="594"/>
      <c r="AE9" s="614">
        <f>-AE8*$C$9</f>
        <v>-496.26397614688369</v>
      </c>
      <c r="AF9" s="594"/>
      <c r="AG9" s="614">
        <f>-AG8*$C$9</f>
        <v>-508.67057555055572</v>
      </c>
      <c r="AH9" s="582"/>
    </row>
    <row r="10" spans="1:34" ht="14.1">
      <c r="A10" s="596" t="s">
        <v>1163</v>
      </c>
      <c r="B10" s="596"/>
      <c r="C10" s="587"/>
      <c r="D10" s="596"/>
      <c r="E10" s="596">
        <f>SUM(E4:E9)</f>
        <v>401143.2</v>
      </c>
      <c r="F10" s="596"/>
      <c r="G10" s="596">
        <f>SUM(G4:G9)</f>
        <v>411171.77999999997</v>
      </c>
      <c r="H10" s="596"/>
      <c r="I10" s="596">
        <f>SUM(I4:I9)</f>
        <v>421451.07449999993</v>
      </c>
      <c r="J10" s="596"/>
      <c r="K10" s="596">
        <f>SUM(K4:K9)</f>
        <v>431987.35136249987</v>
      </c>
      <c r="L10" s="596"/>
      <c r="M10" s="596">
        <f>SUM(M4:M9)</f>
        <v>442787.03514656232</v>
      </c>
      <c r="N10" s="596"/>
      <c r="O10" s="596">
        <f>SUM(O4:O9)</f>
        <v>453856.71102522634</v>
      </c>
      <c r="P10" s="596"/>
      <c r="Q10" s="596">
        <f>SUM(Q4:Q9)</f>
        <v>465203.12880085688</v>
      </c>
      <c r="R10" s="596"/>
      <c r="S10" s="596">
        <f>SUM(S4:S9)</f>
        <v>476833.20702087827</v>
      </c>
      <c r="T10" s="596"/>
      <c r="U10" s="596">
        <f>SUM(U4:U9)</f>
        <v>488754.03719640023</v>
      </c>
      <c r="V10" s="596"/>
      <c r="W10" s="596">
        <f>SUM(W4:W9)</f>
        <v>500972.88812631019</v>
      </c>
      <c r="X10" s="596"/>
      <c r="Y10" s="596">
        <f>SUM(Y4:Y9)</f>
        <v>513497.21032946795</v>
      </c>
      <c r="Z10" s="596"/>
      <c r="AA10" s="596">
        <f>SUM(AA4:AA9)</f>
        <v>526334.64058770449</v>
      </c>
      <c r="AB10" s="596"/>
      <c r="AC10" s="596">
        <f>SUM(AC4:AC9)</f>
        <v>539493.00660239707</v>
      </c>
      <c r="AD10" s="596"/>
      <c r="AE10" s="596">
        <f>SUM(AE4:AE9)</f>
        <v>552980.33176745696</v>
      </c>
      <c r="AF10" s="596"/>
      <c r="AG10" s="596">
        <f>SUM(AG4:AG9)</f>
        <v>566804.84006164328</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1">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1">
      <c r="A14" s="592" t="s">
        <v>1166</v>
      </c>
      <c r="B14" s="592"/>
      <c r="C14" s="607"/>
      <c r="D14" s="592"/>
      <c r="E14" s="592">
        <f>Application!W825</f>
        <v>12930</v>
      </c>
      <c r="F14" s="592"/>
      <c r="G14" s="592">
        <f t="shared" ref="G14:G20" si="0">E14*$C$13</f>
        <v>13382.55</v>
      </c>
      <c r="H14" s="592"/>
      <c r="I14" s="592">
        <f t="shared" ref="I14:I20" si="1">G14*$C$13</f>
        <v>13850.939249999998</v>
      </c>
      <c r="J14" s="592"/>
      <c r="K14" s="592">
        <f t="shared" ref="K14:K20" si="2">I14*$C$13</f>
        <v>14335.722123749996</v>
      </c>
      <c r="L14" s="592"/>
      <c r="M14" s="592">
        <f t="shared" ref="M14:M20" si="3">K14*$C$13</f>
        <v>14837.472398081245</v>
      </c>
      <c r="N14" s="592"/>
      <c r="O14" s="592">
        <f t="shared" ref="O14:O20" si="4">M14*$C$13</f>
        <v>15356.783932014087</v>
      </c>
      <c r="P14" s="592"/>
      <c r="Q14" s="592">
        <f t="shared" ref="Q14:Q20" si="5">O14*$C$13</f>
        <v>15894.271369634578</v>
      </c>
      <c r="R14" s="592"/>
      <c r="S14" s="592">
        <f t="shared" ref="S14:S20" si="6">Q14*$C$13</f>
        <v>16450.570867571787</v>
      </c>
      <c r="T14" s="592"/>
      <c r="U14" s="592">
        <f t="shared" ref="U14:U20" si="7">S14*$C$13</f>
        <v>17026.340847936797</v>
      </c>
      <c r="V14" s="592"/>
      <c r="W14" s="592">
        <f t="shared" ref="W14:W20" si="8">U14*$C$13</f>
        <v>17622.262777614586</v>
      </c>
      <c r="X14" s="592"/>
      <c r="Y14" s="592">
        <f t="shared" ref="Y14:Y20" si="9">W14*$C$13</f>
        <v>18239.041974831096</v>
      </c>
      <c r="Z14" s="592"/>
      <c r="AA14" s="592">
        <f t="shared" ref="AA14:AA20" si="10">Y14*$C$13</f>
        <v>18877.408443950182</v>
      </c>
      <c r="AB14" s="592"/>
      <c r="AC14" s="592">
        <f t="shared" ref="AC14:AC20" si="11">AA14*$C$13</f>
        <v>19538.117739488436</v>
      </c>
      <c r="AD14" s="592"/>
      <c r="AE14" s="592">
        <f t="shared" ref="AE14:AE20" si="12">AC14*$C$13</f>
        <v>20221.951860370529</v>
      </c>
      <c r="AF14" s="592"/>
      <c r="AG14" s="592">
        <f t="shared" ref="AG14:AG20" si="13">AE14*$C$13</f>
        <v>20929.720175483497</v>
      </c>
      <c r="AH14" s="592"/>
    </row>
    <row r="15" spans="1:34" ht="14.1">
      <c r="A15" s="582" t="s">
        <v>513</v>
      </c>
      <c r="B15" s="582"/>
      <c r="C15" s="606"/>
      <c r="D15" s="582"/>
      <c r="E15" s="595">
        <f>Application!W827</f>
        <v>24100</v>
      </c>
      <c r="F15" s="595"/>
      <c r="G15" s="595">
        <f t="shared" si="0"/>
        <v>24943.499999999996</v>
      </c>
      <c r="H15" s="595"/>
      <c r="I15" s="595">
        <f t="shared" si="1"/>
        <v>25816.522499999995</v>
      </c>
      <c r="J15" s="595"/>
      <c r="K15" s="595">
        <f t="shared" si="2"/>
        <v>26720.100787499992</v>
      </c>
      <c r="L15" s="595"/>
      <c r="M15" s="595">
        <f t="shared" si="3"/>
        <v>27655.304315062491</v>
      </c>
      <c r="N15" s="595"/>
      <c r="O15" s="595">
        <f t="shared" si="4"/>
        <v>28623.239966089677</v>
      </c>
      <c r="P15" s="595"/>
      <c r="Q15" s="595">
        <f t="shared" si="5"/>
        <v>29625.053364902815</v>
      </c>
      <c r="R15" s="595"/>
      <c r="S15" s="595">
        <f t="shared" si="6"/>
        <v>30661.930232674411</v>
      </c>
      <c r="T15" s="595"/>
      <c r="U15" s="595">
        <f t="shared" si="7"/>
        <v>31735.097790818014</v>
      </c>
      <c r="V15" s="595"/>
      <c r="W15" s="595">
        <f t="shared" si="8"/>
        <v>32845.826213496643</v>
      </c>
      <c r="X15" s="595"/>
      <c r="Y15" s="595">
        <f t="shared" si="9"/>
        <v>33995.43013096902</v>
      </c>
      <c r="Z15" s="595"/>
      <c r="AA15" s="595">
        <f t="shared" si="10"/>
        <v>35185.27018555293</v>
      </c>
      <c r="AB15" s="595"/>
      <c r="AC15" s="595">
        <f t="shared" si="11"/>
        <v>36416.754642047279</v>
      </c>
      <c r="AD15" s="595"/>
      <c r="AE15" s="595">
        <f t="shared" si="12"/>
        <v>37691.341054518933</v>
      </c>
      <c r="AF15" s="595"/>
      <c r="AG15" s="595">
        <f t="shared" si="13"/>
        <v>39010.537991427089</v>
      </c>
      <c r="AH15" s="582"/>
    </row>
    <row r="16" spans="1:34" ht="14.1">
      <c r="A16" s="582" t="s">
        <v>796</v>
      </c>
      <c r="B16" s="582"/>
      <c r="C16" s="606"/>
      <c r="D16" s="582"/>
      <c r="E16" s="595">
        <f>Application!W833</f>
        <v>30600</v>
      </c>
      <c r="F16" s="595"/>
      <c r="G16" s="595">
        <f t="shared" si="0"/>
        <v>31670.999999999996</v>
      </c>
      <c r="H16" s="595"/>
      <c r="I16" s="595">
        <f t="shared" si="1"/>
        <v>32779.484999999993</v>
      </c>
      <c r="J16" s="595"/>
      <c r="K16" s="595">
        <f t="shared" si="2"/>
        <v>33926.766974999991</v>
      </c>
      <c r="L16" s="595"/>
      <c r="M16" s="595">
        <f t="shared" si="3"/>
        <v>35114.203819124989</v>
      </c>
      <c r="N16" s="595"/>
      <c r="O16" s="595">
        <f t="shared" si="4"/>
        <v>36343.200952794359</v>
      </c>
      <c r="P16" s="595"/>
      <c r="Q16" s="595">
        <f t="shared" si="5"/>
        <v>37615.212986142156</v>
      </c>
      <c r="R16" s="595"/>
      <c r="S16" s="595">
        <f t="shared" si="6"/>
        <v>38931.745440657127</v>
      </c>
      <c r="T16" s="595"/>
      <c r="U16" s="595">
        <f t="shared" si="7"/>
        <v>40294.35653108012</v>
      </c>
      <c r="V16" s="595"/>
      <c r="W16" s="595">
        <f t="shared" si="8"/>
        <v>41704.659009667921</v>
      </c>
      <c r="X16" s="595"/>
      <c r="Y16" s="595">
        <f t="shared" si="9"/>
        <v>43164.322075006297</v>
      </c>
      <c r="Z16" s="595"/>
      <c r="AA16" s="595">
        <f t="shared" si="10"/>
        <v>44675.073347631514</v>
      </c>
      <c r="AB16" s="595"/>
      <c r="AC16" s="595">
        <f t="shared" si="11"/>
        <v>46238.700914798617</v>
      </c>
      <c r="AD16" s="595"/>
      <c r="AE16" s="595">
        <f t="shared" si="12"/>
        <v>47857.055446816565</v>
      </c>
      <c r="AF16" s="595"/>
      <c r="AG16" s="595">
        <f t="shared" si="13"/>
        <v>49532.052387455144</v>
      </c>
      <c r="AH16" s="582"/>
    </row>
    <row r="17" spans="1:33" ht="14.1">
      <c r="A17" s="582" t="s">
        <v>1167</v>
      </c>
      <c r="B17" s="582"/>
      <c r="C17" s="606"/>
      <c r="D17" s="582"/>
      <c r="E17" s="595">
        <f>Application!W840</f>
        <v>50840</v>
      </c>
      <c r="F17" s="595"/>
      <c r="G17" s="595">
        <f t="shared" si="0"/>
        <v>52619.399999999994</v>
      </c>
      <c r="H17" s="595"/>
      <c r="I17" s="595">
        <f t="shared" si="1"/>
        <v>54461.078999999991</v>
      </c>
      <c r="J17" s="595"/>
      <c r="K17" s="595">
        <f t="shared" si="2"/>
        <v>56367.216764999983</v>
      </c>
      <c r="L17" s="595"/>
      <c r="M17" s="595">
        <f t="shared" si="3"/>
        <v>58340.069351774975</v>
      </c>
      <c r="N17" s="595"/>
      <c r="O17" s="595">
        <f t="shared" si="4"/>
        <v>60381.971779087093</v>
      </c>
      <c r="P17" s="595"/>
      <c r="Q17" s="595">
        <f t="shared" si="5"/>
        <v>62495.340791355135</v>
      </c>
      <c r="R17" s="595"/>
      <c r="S17" s="595">
        <f t="shared" si="6"/>
        <v>64682.677719052561</v>
      </c>
      <c r="T17" s="595"/>
      <c r="U17" s="595">
        <f t="shared" si="7"/>
        <v>66946.571439219391</v>
      </c>
      <c r="V17" s="595"/>
      <c r="W17" s="595">
        <f t="shared" si="8"/>
        <v>69289.701439592071</v>
      </c>
      <c r="X17" s="595"/>
      <c r="Y17" s="595">
        <f t="shared" si="9"/>
        <v>71714.840989977791</v>
      </c>
      <c r="Z17" s="595"/>
      <c r="AA17" s="595">
        <f t="shared" si="10"/>
        <v>74224.860424627012</v>
      </c>
      <c r="AB17" s="595"/>
      <c r="AC17" s="595">
        <f t="shared" si="11"/>
        <v>76822.730539488955</v>
      </c>
      <c r="AD17" s="595"/>
      <c r="AE17" s="595">
        <f t="shared" si="12"/>
        <v>79511.526108371065</v>
      </c>
      <c r="AF17" s="595"/>
      <c r="AG17" s="595">
        <f t="shared" si="13"/>
        <v>82294.42952216405</v>
      </c>
    </row>
    <row r="18" spans="1:33" ht="14.1">
      <c r="A18" s="582" t="s">
        <v>1014</v>
      </c>
      <c r="B18" s="582"/>
      <c r="C18" s="606"/>
      <c r="D18" s="582"/>
      <c r="E18" s="595">
        <f>Application!W841</f>
        <v>24000</v>
      </c>
      <c r="F18" s="595"/>
      <c r="G18" s="595">
        <f t="shared" si="0"/>
        <v>24839.999999999996</v>
      </c>
      <c r="H18" s="595"/>
      <c r="I18" s="595">
        <f t="shared" si="1"/>
        <v>25709.399999999994</v>
      </c>
      <c r="J18" s="595"/>
      <c r="K18" s="595">
        <f t="shared" si="2"/>
        <v>26609.228999999992</v>
      </c>
      <c r="L18" s="595"/>
      <c r="M18" s="595">
        <f t="shared" si="3"/>
        <v>27540.55201499999</v>
      </c>
      <c r="N18" s="595"/>
      <c r="O18" s="595">
        <f t="shared" si="4"/>
        <v>28504.471335524988</v>
      </c>
      <c r="P18" s="595"/>
      <c r="Q18" s="595">
        <f t="shared" si="5"/>
        <v>29502.127832268361</v>
      </c>
      <c r="R18" s="595"/>
      <c r="S18" s="595">
        <f t="shared" si="6"/>
        <v>30534.70230639775</v>
      </c>
      <c r="T18" s="595"/>
      <c r="U18" s="595">
        <f t="shared" si="7"/>
        <v>31603.416887121668</v>
      </c>
      <c r="V18" s="595"/>
      <c r="W18" s="595">
        <f t="shared" si="8"/>
        <v>32709.536478170925</v>
      </c>
      <c r="X18" s="595"/>
      <c r="Y18" s="595">
        <f t="shared" si="9"/>
        <v>33854.370254906906</v>
      </c>
      <c r="Z18" s="595"/>
      <c r="AA18" s="595">
        <f t="shared" si="10"/>
        <v>35039.273213828645</v>
      </c>
      <c r="AB18" s="595"/>
      <c r="AC18" s="595">
        <f t="shared" si="11"/>
        <v>36265.647776312646</v>
      </c>
      <c r="AD18" s="595"/>
      <c r="AE18" s="595">
        <f t="shared" si="12"/>
        <v>37534.945448483588</v>
      </c>
      <c r="AF18" s="595"/>
      <c r="AG18" s="595">
        <f t="shared" si="13"/>
        <v>38848.668539180508</v>
      </c>
    </row>
    <row r="19" spans="1:33" ht="14.1">
      <c r="A19" s="582" t="s">
        <v>60</v>
      </c>
      <c r="B19" s="582"/>
      <c r="C19" s="606"/>
      <c r="D19" s="582"/>
      <c r="E19" s="595">
        <f>Application!W850</f>
        <v>87200</v>
      </c>
      <c r="F19" s="595"/>
      <c r="G19" s="595">
        <f t="shared" si="0"/>
        <v>90252</v>
      </c>
      <c r="H19" s="595"/>
      <c r="I19" s="595">
        <f t="shared" si="1"/>
        <v>93410.819999999992</v>
      </c>
      <c r="J19" s="595"/>
      <c r="K19" s="595">
        <f t="shared" si="2"/>
        <v>96680.198699999979</v>
      </c>
      <c r="L19" s="595"/>
      <c r="M19" s="595">
        <f t="shared" si="3"/>
        <v>100064.00565449997</v>
      </c>
      <c r="N19" s="595"/>
      <c r="O19" s="595">
        <f t="shared" si="4"/>
        <v>103566.24585240746</v>
      </c>
      <c r="P19" s="595"/>
      <c r="Q19" s="595">
        <f t="shared" si="5"/>
        <v>107191.06445724171</v>
      </c>
      <c r="R19" s="595"/>
      <c r="S19" s="595">
        <f t="shared" si="6"/>
        <v>110942.75171324516</v>
      </c>
      <c r="T19" s="595"/>
      <c r="U19" s="595">
        <f t="shared" si="7"/>
        <v>114825.74802320874</v>
      </c>
      <c r="V19" s="595"/>
      <c r="W19" s="595">
        <f t="shared" si="8"/>
        <v>118844.64920402104</v>
      </c>
      <c r="X19" s="595"/>
      <c r="Y19" s="595">
        <f t="shared" si="9"/>
        <v>123004.21192616178</v>
      </c>
      <c r="Z19" s="595"/>
      <c r="AA19" s="595">
        <f t="shared" si="10"/>
        <v>127309.35934357742</v>
      </c>
      <c r="AB19" s="595"/>
      <c r="AC19" s="595">
        <f t="shared" si="11"/>
        <v>131765.18692060263</v>
      </c>
      <c r="AD19" s="595"/>
      <c r="AE19" s="595">
        <f t="shared" si="12"/>
        <v>136376.96846282372</v>
      </c>
      <c r="AF19" s="595"/>
      <c r="AG19" s="595">
        <f t="shared" si="13"/>
        <v>141150.16235902254</v>
      </c>
    </row>
    <row r="20" spans="1:33" ht="14.1">
      <c r="A20" s="746" t="s">
        <v>2458</v>
      </c>
      <c r="B20" s="746"/>
      <c r="C20" s="606"/>
      <c r="D20" s="582"/>
      <c r="E20" s="605">
        <f>Application!W857</f>
        <v>1150</v>
      </c>
      <c r="F20" s="595"/>
      <c r="G20" s="605">
        <f t="shared" si="0"/>
        <v>1190.25</v>
      </c>
      <c r="H20" s="595"/>
      <c r="I20" s="605">
        <f t="shared" si="1"/>
        <v>1231.9087499999998</v>
      </c>
      <c r="J20" s="595"/>
      <c r="K20" s="605">
        <f t="shared" si="2"/>
        <v>1275.0255562499997</v>
      </c>
      <c r="L20" s="595"/>
      <c r="M20" s="605">
        <f t="shared" si="3"/>
        <v>1319.6514507187496</v>
      </c>
      <c r="N20" s="595"/>
      <c r="O20" s="605">
        <f t="shared" si="4"/>
        <v>1365.8392514939057</v>
      </c>
      <c r="P20" s="595"/>
      <c r="Q20" s="605">
        <f t="shared" si="5"/>
        <v>1413.6436252961923</v>
      </c>
      <c r="R20" s="595"/>
      <c r="S20" s="605">
        <f t="shared" si="6"/>
        <v>1463.121152181559</v>
      </c>
      <c r="T20" s="595"/>
      <c r="U20" s="605">
        <f t="shared" si="7"/>
        <v>1514.3303925079133</v>
      </c>
      <c r="V20" s="595"/>
      <c r="W20" s="605">
        <f t="shared" si="8"/>
        <v>1567.3319562456902</v>
      </c>
      <c r="X20" s="595"/>
      <c r="Y20" s="605">
        <f t="shared" si="9"/>
        <v>1622.1885747142892</v>
      </c>
      <c r="Z20" s="595"/>
      <c r="AA20" s="605">
        <f t="shared" si="10"/>
        <v>1678.9651748292893</v>
      </c>
      <c r="AB20" s="595"/>
      <c r="AC20" s="605">
        <f t="shared" si="11"/>
        <v>1737.7289559483143</v>
      </c>
      <c r="AD20" s="595"/>
      <c r="AE20" s="605">
        <f t="shared" si="12"/>
        <v>1798.5494694065051</v>
      </c>
      <c r="AF20" s="595"/>
      <c r="AG20" s="605">
        <f t="shared" si="13"/>
        <v>1861.4987008357325</v>
      </c>
    </row>
    <row r="21" spans="1:33" ht="14.1">
      <c r="A21" s="596" t="s">
        <v>1168</v>
      </c>
      <c r="B21" s="596"/>
      <c r="C21" s="606"/>
      <c r="D21" s="596"/>
      <c r="E21" s="596">
        <f>SUM(E14:E20)</f>
        <v>230820</v>
      </c>
      <c r="F21" s="596"/>
      <c r="G21" s="596">
        <f>SUM(G14:G20)</f>
        <v>238898.69999999998</v>
      </c>
      <c r="H21" s="596"/>
      <c r="I21" s="596">
        <f>SUM(I14:I20)</f>
        <v>247260.15449999995</v>
      </c>
      <c r="J21" s="596"/>
      <c r="K21" s="596">
        <f>SUM(K14:K20)</f>
        <v>255914.25990749995</v>
      </c>
      <c r="L21" s="596"/>
      <c r="M21" s="596">
        <f>SUM(M14:M20)</f>
        <v>264871.25900426239</v>
      </c>
      <c r="N21" s="596"/>
      <c r="O21" s="596">
        <f>SUM(O14:O20)</f>
        <v>274141.75306941156</v>
      </c>
      <c r="P21" s="596"/>
      <c r="Q21" s="596">
        <f>SUM(Q14:Q20)</f>
        <v>283736.71442684095</v>
      </c>
      <c r="R21" s="596"/>
      <c r="S21" s="596">
        <f>SUM(S14:S20)</f>
        <v>293667.49943178036</v>
      </c>
      <c r="T21" s="596"/>
      <c r="U21" s="596">
        <f>SUM(U14:U20)</f>
        <v>303945.86191189266</v>
      </c>
      <c r="V21" s="596"/>
      <c r="W21" s="596">
        <f>SUM(W14:W20)</f>
        <v>314583.96707880893</v>
      </c>
      <c r="X21" s="596"/>
      <c r="Y21" s="596">
        <f>SUM(Y14:Y20)</f>
        <v>325594.40592656721</v>
      </c>
      <c r="Z21" s="596"/>
      <c r="AA21" s="596">
        <f>SUM(AA14:AA20)</f>
        <v>336990.21013399702</v>
      </c>
      <c r="AB21" s="596"/>
      <c r="AC21" s="596">
        <f>SUM(AC14:AC20)</f>
        <v>348784.86748868687</v>
      </c>
      <c r="AD21" s="596"/>
      <c r="AE21" s="596">
        <f>SUM(AE14:AE20)</f>
        <v>360992.33785079088</v>
      </c>
      <c r="AF21" s="596"/>
      <c r="AG21" s="596">
        <f>SUM(AG14:AG20)</f>
        <v>373627.06967556861</v>
      </c>
    </row>
    <row r="22" spans="1:33" s="1334" customFormat="1" ht="14.1">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1">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1">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1">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1">
      <c r="A26" s="582" t="s">
        <v>1169</v>
      </c>
      <c r="B26" s="582"/>
      <c r="C26" s="618">
        <v>1.0349999999999999</v>
      </c>
      <c r="D26" s="582"/>
      <c r="E26" s="595">
        <f>Application!AC866</f>
        <v>14000</v>
      </c>
      <c r="F26" s="595"/>
      <c r="G26" s="595">
        <f>E26*$C$26</f>
        <v>14489.999999999998</v>
      </c>
      <c r="H26" s="595"/>
      <c r="I26" s="595">
        <f>G26*$C$26</f>
        <v>14997.149999999998</v>
      </c>
      <c r="J26" s="595"/>
      <c r="K26" s="595">
        <f>I26*$C$26</f>
        <v>15522.050249999997</v>
      </c>
      <c r="L26" s="595"/>
      <c r="M26" s="595">
        <f>K26*$C$26</f>
        <v>16065.322008749996</v>
      </c>
      <c r="N26" s="595"/>
      <c r="O26" s="595">
        <f>M26*$C$26</f>
        <v>16627.608279056243</v>
      </c>
      <c r="P26" s="595"/>
      <c r="Q26" s="595">
        <f>O26*$C$26</f>
        <v>17209.574568823209</v>
      </c>
      <c r="R26" s="595"/>
      <c r="S26" s="595">
        <f>Q26*$C$26</f>
        <v>17811.90967873202</v>
      </c>
      <c r="T26" s="595"/>
      <c r="U26" s="595">
        <f>S26*$C$26</f>
        <v>18435.32651748764</v>
      </c>
      <c r="V26" s="595"/>
      <c r="W26" s="595">
        <f>U26*$C$26</f>
        <v>19080.562945599704</v>
      </c>
      <c r="X26" s="595"/>
      <c r="Y26" s="595">
        <f>W26*$C$26</f>
        <v>19748.382648695693</v>
      </c>
      <c r="Z26" s="595"/>
      <c r="AA26" s="595">
        <f>Y26*$C$26</f>
        <v>20439.57604140004</v>
      </c>
      <c r="AB26" s="595"/>
      <c r="AC26" s="595">
        <f>AA26*$C$26</f>
        <v>21154.961202849041</v>
      </c>
      <c r="AD26" s="595"/>
      <c r="AE26" s="595">
        <f>AC26*$C$26</f>
        <v>21895.384844948756</v>
      </c>
      <c r="AF26" s="595"/>
      <c r="AG26" s="595">
        <f>AE26*$C$26</f>
        <v>22661.723314521962</v>
      </c>
    </row>
    <row r="27" spans="1:33" ht="14.1">
      <c r="A27" s="1353" t="s">
        <v>1170</v>
      </c>
      <c r="B27" s="582"/>
      <c r="C27" s="618"/>
      <c r="D27" s="582"/>
      <c r="E27" s="595">
        <f>Application!AC867</f>
        <v>24000</v>
      </c>
      <c r="F27" s="595"/>
      <c r="G27" s="595">
        <f>$E$27</f>
        <v>24000</v>
      </c>
      <c r="H27" s="595"/>
      <c r="I27" s="595">
        <f>$E$27</f>
        <v>24000</v>
      </c>
      <c r="J27" s="595"/>
      <c r="K27" s="595">
        <f>$E$27</f>
        <v>24000</v>
      </c>
      <c r="L27" s="595"/>
      <c r="M27" s="595">
        <f>$E$27</f>
        <v>24000</v>
      </c>
      <c r="N27" s="595"/>
      <c r="O27" s="595">
        <f>$E$27</f>
        <v>24000</v>
      </c>
      <c r="P27" s="595"/>
      <c r="Q27" s="595">
        <f>$E$27</f>
        <v>24000</v>
      </c>
      <c r="R27" s="595"/>
      <c r="S27" s="595">
        <f>$E$27</f>
        <v>24000</v>
      </c>
      <c r="T27" s="595"/>
      <c r="U27" s="595">
        <f>$E$27</f>
        <v>24000</v>
      </c>
      <c r="V27" s="595"/>
      <c r="W27" s="595">
        <f>$E$27</f>
        <v>24000</v>
      </c>
      <c r="X27" s="595"/>
      <c r="Y27" s="595">
        <f>$E$27</f>
        <v>24000</v>
      </c>
      <c r="Z27" s="595"/>
      <c r="AA27" s="595">
        <f>$E$27</f>
        <v>24000</v>
      </c>
      <c r="AB27" s="595"/>
      <c r="AC27" s="595">
        <f>$E$27</f>
        <v>24000</v>
      </c>
      <c r="AD27" s="595"/>
      <c r="AE27" s="595">
        <f>$E$27</f>
        <v>24000</v>
      </c>
      <c r="AF27" s="595"/>
      <c r="AG27" s="595">
        <f>$E$27</f>
        <v>24000</v>
      </c>
    </row>
    <row r="28" spans="1:33" s="1334" customFormat="1" ht="14.1">
      <c r="A28" s="1353" t="s">
        <v>2143</v>
      </c>
      <c r="B28" s="582"/>
      <c r="C28" s="618">
        <v>1.03</v>
      </c>
      <c r="D28" s="582"/>
      <c r="E28" s="595">
        <f>Application!AC868</f>
        <v>3500</v>
      </c>
      <c r="F28" s="595"/>
      <c r="G28" s="595">
        <f>E28*$C$28</f>
        <v>3605</v>
      </c>
      <c r="H28" s="595"/>
      <c r="I28" s="595">
        <f>G28*$C$28</f>
        <v>3713.15</v>
      </c>
      <c r="J28" s="595"/>
      <c r="K28" s="595">
        <f>I28*$C$28</f>
        <v>3824.5445</v>
      </c>
      <c r="L28" s="595"/>
      <c r="M28" s="595">
        <f>K28*$C$28</f>
        <v>3939.280835</v>
      </c>
      <c r="N28" s="595"/>
      <c r="O28" s="595">
        <f>M28*$C$28</f>
        <v>4057.45926005</v>
      </c>
      <c r="P28" s="595"/>
      <c r="Q28" s="595">
        <f>O28*$C$28</f>
        <v>4179.1830378515006</v>
      </c>
      <c r="R28" s="595"/>
      <c r="S28" s="595">
        <f>Q28*$C$28</f>
        <v>4304.558528987046</v>
      </c>
      <c r="T28" s="595"/>
      <c r="U28" s="595">
        <f>S28*$C$28</f>
        <v>4433.6952848566571</v>
      </c>
      <c r="V28" s="595"/>
      <c r="W28" s="595">
        <f>U28*$C$28</f>
        <v>4566.7061434023572</v>
      </c>
      <c r="X28" s="595"/>
      <c r="Y28" s="595">
        <f>W28*$C$28</f>
        <v>4703.7073277044283</v>
      </c>
      <c r="Z28" s="595"/>
      <c r="AA28" s="595">
        <f>Y28*$C$28</f>
        <v>4844.8185475355613</v>
      </c>
      <c r="AB28" s="595"/>
      <c r="AC28" s="595">
        <f>AA28*$C$28</f>
        <v>4990.1631039616286</v>
      </c>
      <c r="AD28" s="595"/>
      <c r="AE28" s="595">
        <f>AC28*$C$28</f>
        <v>5139.8679970804778</v>
      </c>
      <c r="AF28" s="595"/>
      <c r="AG28" s="595">
        <f>AE28*$C$28</f>
        <v>5294.0640369928924</v>
      </c>
    </row>
    <row r="29" spans="1:33" ht="14.1">
      <c r="A29" s="1353" t="s">
        <v>1171</v>
      </c>
      <c r="B29" s="582"/>
      <c r="C29" s="616">
        <v>1.02</v>
      </c>
      <c r="D29" s="582"/>
      <c r="E29" s="595">
        <f>Application!AC869</f>
        <v>5600</v>
      </c>
      <c r="F29" s="595"/>
      <c r="G29" s="595">
        <f>E29*$C$29</f>
        <v>5712</v>
      </c>
      <c r="H29" s="595"/>
      <c r="I29" s="595">
        <f>G29*$C$29</f>
        <v>5826.24</v>
      </c>
      <c r="J29" s="595"/>
      <c r="K29" s="595">
        <f>I29*$C$29</f>
        <v>5942.7647999999999</v>
      </c>
      <c r="L29" s="595"/>
      <c r="M29" s="595">
        <f>K29*$C$29</f>
        <v>6061.6200959999996</v>
      </c>
      <c r="N29" s="595"/>
      <c r="O29" s="595">
        <f>M29*$C$29</f>
        <v>6182.8524979200001</v>
      </c>
      <c r="P29" s="595"/>
      <c r="Q29" s="595">
        <f>O29*$C$29</f>
        <v>6306.5095478784006</v>
      </c>
      <c r="R29" s="595"/>
      <c r="S29" s="595">
        <f>Q29*$C$29</f>
        <v>6432.6397388359683</v>
      </c>
      <c r="T29" s="595"/>
      <c r="U29" s="595">
        <f>S29*$C$29</f>
        <v>6561.2925336126882</v>
      </c>
      <c r="V29" s="595"/>
      <c r="W29" s="595">
        <f>U29*$C$29</f>
        <v>6692.5183842849419</v>
      </c>
      <c r="X29" s="595"/>
      <c r="Y29" s="595">
        <f>W29*$C$29</f>
        <v>6826.3687519706409</v>
      </c>
      <c r="Z29" s="595"/>
      <c r="AA29" s="595">
        <f>Y29*$C$29</f>
        <v>6962.8961270100535</v>
      </c>
      <c r="AB29" s="595"/>
      <c r="AC29" s="595">
        <f>AA29*$C$29</f>
        <v>7102.154049550255</v>
      </c>
      <c r="AD29" s="595"/>
      <c r="AE29" s="595">
        <f>AC29*$C$29</f>
        <v>7244.1971305412599</v>
      </c>
      <c r="AF29" s="595"/>
      <c r="AG29" s="595">
        <f>AE29*$C$29</f>
        <v>7389.0810731520851</v>
      </c>
    </row>
    <row r="30" spans="1:33" s="1334" customFormat="1" ht="14.1">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1">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1">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1">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1">
      <c r="A34" s="596" t="s">
        <v>164</v>
      </c>
      <c r="B34" s="596"/>
      <c r="C34" s="597"/>
      <c r="D34" s="596"/>
      <c r="E34" s="596">
        <f>SUM(E21:E32)</f>
        <v>277920</v>
      </c>
      <c r="F34" s="596"/>
      <c r="G34" s="596">
        <f>SUM(G21:G32)</f>
        <v>286705.69999999995</v>
      </c>
      <c r="H34" s="596"/>
      <c r="I34" s="596">
        <f>SUM(I21:I32)</f>
        <v>295796.69449999998</v>
      </c>
      <c r="J34" s="596"/>
      <c r="K34" s="596">
        <f>SUM(K21:K32)</f>
        <v>305203.61945749994</v>
      </c>
      <c r="L34" s="596"/>
      <c r="M34" s="596">
        <f>SUM(M21:M32)</f>
        <v>314937.4819440124</v>
      </c>
      <c r="N34" s="596"/>
      <c r="O34" s="596">
        <f>SUM(O21:O32)</f>
        <v>325009.67310643778</v>
      </c>
      <c r="P34" s="596"/>
      <c r="Q34" s="596">
        <f>SUM(Q21:Q32)</f>
        <v>335431.98158139409</v>
      </c>
      <c r="R34" s="596"/>
      <c r="S34" s="596">
        <f>SUM(S21:S32)</f>
        <v>346216.60737833544</v>
      </c>
      <c r="T34" s="596"/>
      <c r="U34" s="596">
        <f>SUM(U21:U32)</f>
        <v>357376.17624784965</v>
      </c>
      <c r="V34" s="596"/>
      <c r="W34" s="596">
        <f>SUM(W21:W32)</f>
        <v>368923.75455209595</v>
      </c>
      <c r="X34" s="596"/>
      <c r="Y34" s="596">
        <f>SUM(Y21:Y32)</f>
        <v>380872.86465493793</v>
      </c>
      <c r="Z34" s="596"/>
      <c r="AA34" s="596">
        <f>SUM(AA21:AA32)</f>
        <v>393237.50084994268</v>
      </c>
      <c r="AB34" s="596"/>
      <c r="AC34" s="596">
        <f>SUM(AC21:AC32)</f>
        <v>406032.14584504778</v>
      </c>
      <c r="AD34" s="596"/>
      <c r="AE34" s="596">
        <f>SUM(AE21:AE32)</f>
        <v>419271.7878233614</v>
      </c>
      <c r="AF34" s="596"/>
      <c r="AG34" s="596">
        <f>SUM(AG21:AG32)</f>
        <v>432971.93810023554</v>
      </c>
    </row>
    <row r="35" spans="1:35" ht="14.1">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1">
      <c r="A36" s="596" t="s">
        <v>1172</v>
      </c>
      <c r="B36" s="596"/>
      <c r="C36" s="597"/>
      <c r="D36" s="596"/>
      <c r="E36" s="596">
        <f>E10-E34</f>
        <v>123223.20000000001</v>
      </c>
      <c r="F36" s="596"/>
      <c r="G36" s="596">
        <f>G10-G34</f>
        <v>124466.08000000002</v>
      </c>
      <c r="H36" s="596"/>
      <c r="I36" s="596">
        <f>I10-I34</f>
        <v>125654.37999999995</v>
      </c>
      <c r="J36" s="596"/>
      <c r="K36" s="596">
        <f>K10-K34</f>
        <v>126783.73190499994</v>
      </c>
      <c r="L36" s="596"/>
      <c r="M36" s="596">
        <f>M10-M34</f>
        <v>127849.55320254993</v>
      </c>
      <c r="N36" s="596"/>
      <c r="O36" s="596">
        <f>O10-O34</f>
        <v>128847.03791878856</v>
      </c>
      <c r="P36" s="596"/>
      <c r="Q36" s="596">
        <f>Q10-Q34</f>
        <v>129771.14721946279</v>
      </c>
      <c r="R36" s="596"/>
      <c r="S36" s="596">
        <f>S10-S34</f>
        <v>130616.59964254283</v>
      </c>
      <c r="T36" s="596"/>
      <c r="U36" s="596">
        <f>U10-U34</f>
        <v>131377.86094855057</v>
      </c>
      <c r="V36" s="596"/>
      <c r="W36" s="596">
        <f>W10-W34</f>
        <v>132049.13357421424</v>
      </c>
      <c r="X36" s="596"/>
      <c r="Y36" s="596">
        <f>Y10-Y34</f>
        <v>132624.34567453002</v>
      </c>
      <c r="Z36" s="596"/>
      <c r="AA36" s="596">
        <f>AA10-AA34</f>
        <v>133097.13973776181</v>
      </c>
      <c r="AB36" s="596"/>
      <c r="AC36" s="596">
        <f>AC10-AC34</f>
        <v>133460.86075734929</v>
      </c>
      <c r="AD36" s="596"/>
      <c r="AE36" s="596">
        <f>AE10-AE34</f>
        <v>133708.54394409555</v>
      </c>
      <c r="AF36" s="596"/>
      <c r="AG36" s="596">
        <f>AG10-AG34</f>
        <v>133832.90196140774</v>
      </c>
    </row>
    <row r="37" spans="1:35" ht="14.1">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1">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1">
      <c r="A39" s="598" t="str">
        <f>Application!C632</f>
        <v>California Bank &amp; Trust - Perm Loan</v>
      </c>
      <c r="B39" s="599"/>
      <c r="C39" s="593"/>
      <c r="D39" s="582"/>
      <c r="E39" s="592">
        <f>Application!AF632</f>
        <v>94404</v>
      </c>
      <c r="F39" s="592"/>
      <c r="G39" s="592">
        <f>$E$39</f>
        <v>94404</v>
      </c>
      <c r="H39" s="592"/>
      <c r="I39" s="592">
        <f>$E$39</f>
        <v>94404</v>
      </c>
      <c r="J39" s="592"/>
      <c r="K39" s="592">
        <f>$E$39</f>
        <v>94404</v>
      </c>
      <c r="L39" s="592"/>
      <c r="M39" s="592">
        <f>$E$39</f>
        <v>94404</v>
      </c>
      <c r="N39" s="592"/>
      <c r="O39" s="592">
        <f>$E$39</f>
        <v>94404</v>
      </c>
      <c r="P39" s="592"/>
      <c r="Q39" s="592">
        <f>$E$39</f>
        <v>94404</v>
      </c>
      <c r="R39" s="592"/>
      <c r="S39" s="592">
        <f>$E$39</f>
        <v>94404</v>
      </c>
      <c r="T39" s="592"/>
      <c r="U39" s="592">
        <f>$E$39</f>
        <v>94404</v>
      </c>
      <c r="V39" s="592"/>
      <c r="W39" s="592">
        <f>$E$39</f>
        <v>94404</v>
      </c>
      <c r="X39" s="592"/>
      <c r="Y39" s="592">
        <f>$E$39</f>
        <v>94404</v>
      </c>
      <c r="Z39" s="592"/>
      <c r="AA39" s="592">
        <f>$E$39</f>
        <v>94404</v>
      </c>
      <c r="AB39" s="592"/>
      <c r="AC39" s="592">
        <f>$E$39</f>
        <v>94404</v>
      </c>
      <c r="AD39" s="592"/>
      <c r="AE39" s="592">
        <f>$E$39</f>
        <v>94404</v>
      </c>
      <c r="AF39" s="592"/>
      <c r="AG39" s="592">
        <f>$E$39</f>
        <v>94404</v>
      </c>
      <c r="AH39" s="582"/>
      <c r="AI39" s="582"/>
    </row>
    <row r="40" spans="1:35" ht="14.1">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1">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1">
      <c r="A42" s="596" t="s">
        <v>1174</v>
      </c>
      <c r="B42" s="596"/>
      <c r="C42" s="597"/>
      <c r="D42" s="596"/>
      <c r="E42" s="596">
        <f>SUM(E39:E41)</f>
        <v>94404</v>
      </c>
      <c r="F42" s="596"/>
      <c r="G42" s="596">
        <f>SUM(G39:G41)</f>
        <v>94404</v>
      </c>
      <c r="H42" s="596"/>
      <c r="I42" s="596">
        <f>SUM(I39:I41)</f>
        <v>94404</v>
      </c>
      <c r="J42" s="596"/>
      <c r="K42" s="596">
        <f>SUM(K39:K41)</f>
        <v>94404</v>
      </c>
      <c r="L42" s="596"/>
      <c r="M42" s="596">
        <f>SUM(M39:M41)</f>
        <v>94404</v>
      </c>
      <c r="N42" s="596"/>
      <c r="O42" s="596">
        <f>SUM(O39:O41)</f>
        <v>94404</v>
      </c>
      <c r="P42" s="596"/>
      <c r="Q42" s="596">
        <f>SUM(Q39:Q41)</f>
        <v>94404</v>
      </c>
      <c r="R42" s="596"/>
      <c r="S42" s="596">
        <f>SUM(S39:S41)</f>
        <v>94404</v>
      </c>
      <c r="T42" s="596"/>
      <c r="U42" s="596">
        <f>SUM(U39:U41)</f>
        <v>94404</v>
      </c>
      <c r="V42" s="596"/>
      <c r="W42" s="596">
        <f>SUM(W39:W41)</f>
        <v>94404</v>
      </c>
      <c r="X42" s="596"/>
      <c r="Y42" s="596">
        <f>SUM(Y39:Y41)</f>
        <v>94404</v>
      </c>
      <c r="Z42" s="596"/>
      <c r="AA42" s="596">
        <f>SUM(AA39:AA41)</f>
        <v>94404</v>
      </c>
      <c r="AB42" s="596"/>
      <c r="AC42" s="596">
        <f>SUM(AC39:AC41)</f>
        <v>94404</v>
      </c>
      <c r="AD42" s="596"/>
      <c r="AE42" s="596">
        <f>SUM(AE39:AE41)</f>
        <v>94404</v>
      </c>
      <c r="AF42" s="596"/>
      <c r="AG42" s="596">
        <f>SUM(AG39:AG41)</f>
        <v>94404</v>
      </c>
      <c r="AH42" s="596"/>
      <c r="AI42" s="596"/>
    </row>
    <row r="43" spans="1:35" ht="14.1">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1">
      <c r="A44" s="596" t="s">
        <v>1175</v>
      </c>
      <c r="B44" s="596"/>
      <c r="C44" s="597"/>
      <c r="D44" s="596"/>
      <c r="E44" s="596">
        <f>E36-E42</f>
        <v>28819.200000000012</v>
      </c>
      <c r="F44" s="596"/>
      <c r="G44" s="596">
        <f>G36-G42</f>
        <v>30062.080000000016</v>
      </c>
      <c r="H44" s="596"/>
      <c r="I44" s="596">
        <f>I36-I42</f>
        <v>31250.379999999946</v>
      </c>
      <c r="J44" s="596"/>
      <c r="K44" s="596">
        <f>K36-K42</f>
        <v>32379.731904999935</v>
      </c>
      <c r="L44" s="596"/>
      <c r="M44" s="596">
        <f>M36-M42</f>
        <v>33445.553202549927</v>
      </c>
      <c r="N44" s="596"/>
      <c r="O44" s="596">
        <f>O36-O42</f>
        <v>34443.037918788556</v>
      </c>
      <c r="P44" s="596"/>
      <c r="Q44" s="596">
        <f>Q36-Q42</f>
        <v>35367.147219462786</v>
      </c>
      <c r="R44" s="596"/>
      <c r="S44" s="596">
        <f>S36-S42</f>
        <v>36212.599642542831</v>
      </c>
      <c r="T44" s="596"/>
      <c r="U44" s="596">
        <f>U36-U42</f>
        <v>36973.860948550573</v>
      </c>
      <c r="V44" s="596"/>
      <c r="W44" s="596">
        <f>W36-W42</f>
        <v>37645.13357421424</v>
      </c>
      <c r="X44" s="596"/>
      <c r="Y44" s="596">
        <f>Y36-Y42</f>
        <v>38220.345674530021</v>
      </c>
      <c r="Z44" s="596"/>
      <c r="AA44" s="596">
        <f>AA36-AA42</f>
        <v>38693.139737761812</v>
      </c>
      <c r="AB44" s="596"/>
      <c r="AC44" s="596">
        <f>AC36-AC42</f>
        <v>39056.860757349292</v>
      </c>
      <c r="AD44" s="596"/>
      <c r="AE44" s="596">
        <f>AE36-AE42</f>
        <v>39304.543944095552</v>
      </c>
      <c r="AF44" s="596"/>
      <c r="AG44" s="596">
        <f>AG36-AG42</f>
        <v>39428.901961407741</v>
      </c>
      <c r="AH44" s="596"/>
      <c r="AI44" s="596"/>
    </row>
    <row r="45" spans="1:35" ht="14.1">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1">
      <c r="A46" s="600" t="s">
        <v>1176</v>
      </c>
      <c r="B46" s="600"/>
      <c r="C46" s="593"/>
      <c r="D46" s="600"/>
      <c r="E46" s="600">
        <f>E44/(E4+E6+E8)</f>
        <v>6.8250539956803483E-2</v>
      </c>
      <c r="F46" s="600"/>
      <c r="G46" s="600">
        <f>G44/(G4+G6+G8)</f>
        <v>6.9457529405349799E-2</v>
      </c>
      <c r="H46" s="600"/>
      <c r="I46" s="600">
        <f>I44/(I4+I6+I8)</f>
        <v>7.0442010464016394E-2</v>
      </c>
      <c r="J46" s="600"/>
      <c r="K46" s="600">
        <f>K44/(K4+K6+K8)</f>
        <v>7.1207513860601965E-2</v>
      </c>
      <c r="L46" s="600"/>
      <c r="M46" s="600">
        <f>M44/(M4+M6+M8)</f>
        <v>7.1757465825315989E-2</v>
      </c>
      <c r="N46" s="600"/>
      <c r="O46" s="600">
        <f>O44/(O4+O6+O8)</f>
        <v>7.2095190459859543E-2</v>
      </c>
      <c r="P46" s="600"/>
      <c r="Q46" s="600">
        <f>Q44/(Q4+Q6+Q8)</f>
        <v>7.2223912046972802E-2</v>
      </c>
      <c r="R46" s="600"/>
      <c r="S46" s="600">
        <f>S44/(S4+S6+S8)</f>
        <v>7.2146757301886882E-2</v>
      </c>
      <c r="T46" s="600"/>
      <c r="U46" s="600">
        <f>U44/(U4+U6+U8)</f>
        <v>7.186675756707539E-2</v>
      </c>
      <c r="V46" s="600"/>
      <c r="W46" s="600">
        <f>W44/(W4+W6+W8)</f>
        <v>7.1386850951675934E-2</v>
      </c>
      <c r="X46" s="600"/>
      <c r="Y46" s="600">
        <f>Y44/(Y4+Y6+Y8)</f>
        <v>7.0709884416912186E-2</v>
      </c>
      <c r="Z46" s="600"/>
      <c r="AA46" s="600">
        <f>AA44/(AA4+AA6+AA8)</f>
        <v>6.9838615808811774E-2</v>
      </c>
      <c r="AB46" s="600"/>
      <c r="AC46" s="600">
        <f>AC44/(AC4+AC6+AC8)</f>
        <v>6.8775715839496057E-2</v>
      </c>
      <c r="AD46" s="600"/>
      <c r="AE46" s="600">
        <f>AE44/(AE4+AE6+AE8)</f>
        <v>6.7523770018267051E-2</v>
      </c>
      <c r="AF46" s="600"/>
      <c r="AG46" s="600">
        <f>AG44/(AG4+AG6+AG8)</f>
        <v>6.6085280533708282E-2</v>
      </c>
      <c r="AH46" s="600"/>
      <c r="AI46" s="600"/>
    </row>
    <row r="47" spans="1:35" ht="14.1">
      <c r="A47" s="600" t="s">
        <v>1177</v>
      </c>
      <c r="B47" s="600"/>
      <c r="C47" s="593"/>
      <c r="D47" s="600"/>
      <c r="E47" s="600">
        <f>E44/E42</f>
        <v>0.30527520020338134</v>
      </c>
      <c r="F47" s="600"/>
      <c r="G47" s="600">
        <f>G44/G42</f>
        <v>0.31844074403626982</v>
      </c>
      <c r="H47" s="600"/>
      <c r="I47" s="600">
        <f>I44/I42</f>
        <v>0.33102813440108414</v>
      </c>
      <c r="J47" s="600"/>
      <c r="K47" s="600">
        <f>K44/K42</f>
        <v>0.34299110106563213</v>
      </c>
      <c r="L47" s="600"/>
      <c r="M47" s="600">
        <f>M44/M42</f>
        <v>0.35428110252266776</v>
      </c>
      <c r="N47" s="600"/>
      <c r="O47" s="600">
        <f>O44/O42</f>
        <v>0.3648472301892775</v>
      </c>
      <c r="P47" s="600"/>
      <c r="Q47" s="600">
        <f>Q44/Q42</f>
        <v>0.37463610884562926</v>
      </c>
      <c r="R47" s="600"/>
      <c r="S47" s="600">
        <f>S44/S42</f>
        <v>0.38359179317129394</v>
      </c>
      <c r="T47" s="600"/>
      <c r="U47" s="600">
        <f>U44/U42</f>
        <v>0.39165566023209369</v>
      </c>
      <c r="V47" s="600"/>
      <c r="W47" s="600">
        <f>W44/W42</f>
        <v>0.39876629776507605</v>
      </c>
      <c r="X47" s="600"/>
      <c r="Y47" s="600">
        <f>Y44/Y42</f>
        <v>0.40485938810357636</v>
      </c>
      <c r="Z47" s="600"/>
      <c r="AA47" s="600">
        <f>AA44/AA42</f>
        <v>0.40986758757851166</v>
      </c>
      <c r="AB47" s="600"/>
      <c r="AC47" s="600">
        <f>AC44/AC42</f>
        <v>0.41372040122610582</v>
      </c>
      <c r="AD47" s="600"/>
      <c r="AE47" s="600">
        <f>AE44/AE42</f>
        <v>0.41634405262590096</v>
      </c>
      <c r="AF47" s="600"/>
      <c r="AG47" s="600">
        <f>AG44/AG42</f>
        <v>0.41766134868657834</v>
      </c>
      <c r="AH47" s="600"/>
      <c r="AI47" s="600"/>
    </row>
    <row r="48" spans="1:35" ht="14.1">
      <c r="A48" s="601" t="s">
        <v>1178</v>
      </c>
      <c r="B48" s="601"/>
      <c r="C48" s="602"/>
      <c r="D48" s="601"/>
      <c r="E48" s="601">
        <f>E36/E42</f>
        <v>1.3052752002033814</v>
      </c>
      <c r="F48" s="601"/>
      <c r="G48" s="601">
        <f>G36/G42</f>
        <v>1.3184407440362698</v>
      </c>
      <c r="H48" s="601"/>
      <c r="I48" s="601">
        <f>I36/I42</f>
        <v>1.3310281344010841</v>
      </c>
      <c r="J48" s="601"/>
      <c r="K48" s="601">
        <f>K36/K42</f>
        <v>1.3429911010656321</v>
      </c>
      <c r="L48" s="601"/>
      <c r="M48" s="601">
        <f>M36/M42</f>
        <v>1.3542811025226678</v>
      </c>
      <c r="N48" s="601"/>
      <c r="O48" s="601">
        <f>O36/O42</f>
        <v>1.3648472301892776</v>
      </c>
      <c r="P48" s="601"/>
      <c r="Q48" s="601">
        <f>Q36/Q42</f>
        <v>1.3746361088456294</v>
      </c>
      <c r="R48" s="601"/>
      <c r="S48" s="601">
        <f>S36/S42</f>
        <v>1.383591793171294</v>
      </c>
      <c r="T48" s="601"/>
      <c r="U48" s="601">
        <f>U36/U42</f>
        <v>1.3916556602320937</v>
      </c>
      <c r="V48" s="601"/>
      <c r="W48" s="601">
        <f>W36/W42</f>
        <v>1.3987662977650761</v>
      </c>
      <c r="X48" s="601"/>
      <c r="Y48" s="601">
        <f>Y36/Y42</f>
        <v>1.4048593881035762</v>
      </c>
      <c r="Z48" s="601"/>
      <c r="AA48" s="601">
        <f>AA36/AA42</f>
        <v>1.4098675875785116</v>
      </c>
      <c r="AB48" s="601"/>
      <c r="AC48" s="601">
        <f>AC36/AC42</f>
        <v>1.4137204012261058</v>
      </c>
      <c r="AD48" s="601"/>
      <c r="AE48" s="601">
        <f>AE36/AE42</f>
        <v>1.416344052625901</v>
      </c>
      <c r="AF48" s="601"/>
      <c r="AG48" s="601">
        <f>AG36/AG42</f>
        <v>1.4176613486865783</v>
      </c>
      <c r="AH48" s="601"/>
      <c r="AI48" s="601"/>
    </row>
    <row r="49" spans="1:35" ht="14.1">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1</v>
      </c>
      <c r="D52" s="580"/>
      <c r="E52" s="609">
        <v>4800</v>
      </c>
      <c r="F52" s="580"/>
      <c r="G52" s="1358">
        <f>E52*$C$52</f>
        <v>4800</v>
      </c>
      <c r="H52" s="1358"/>
      <c r="I52" s="1358">
        <f>G52*$C$52</f>
        <v>4800</v>
      </c>
      <c r="J52" s="1358"/>
      <c r="K52" s="1358">
        <f>I52*$C$52</f>
        <v>4800</v>
      </c>
      <c r="L52" s="1358"/>
      <c r="M52" s="1358">
        <f>K52*$C$52</f>
        <v>4800</v>
      </c>
      <c r="N52" s="1358"/>
      <c r="O52" s="1358">
        <f>M52*$C$52</f>
        <v>4800</v>
      </c>
      <c r="P52" s="1358"/>
      <c r="Q52" s="1358">
        <f>O52*$C$52</f>
        <v>4800</v>
      </c>
      <c r="R52" s="1358"/>
      <c r="S52" s="1358">
        <f>Q52*$C$52</f>
        <v>4800</v>
      </c>
      <c r="T52" s="1358"/>
      <c r="U52" s="1358">
        <f>S52*$C$52</f>
        <v>4800</v>
      </c>
      <c r="V52" s="1358"/>
      <c r="W52" s="1358">
        <f>U52*$C$52</f>
        <v>4800</v>
      </c>
      <c r="X52" s="1358"/>
      <c r="Y52" s="1358">
        <f>W52*$C$52</f>
        <v>4800</v>
      </c>
      <c r="Z52" s="1358"/>
      <c r="AA52" s="1358">
        <f>Y52*$C$52</f>
        <v>4800</v>
      </c>
      <c r="AB52" s="1358"/>
      <c r="AC52" s="1358">
        <f>AA52*$C$52</f>
        <v>4800</v>
      </c>
      <c r="AD52" s="1358"/>
      <c r="AE52" s="1358">
        <f>AC52*$C$52</f>
        <v>4800</v>
      </c>
      <c r="AF52" s="1358"/>
      <c r="AG52" s="1358">
        <f>AE52*$C$52</f>
        <v>4800</v>
      </c>
      <c r="AH52" s="580"/>
      <c r="AI52" s="580"/>
    </row>
    <row r="53" spans="1:35">
      <c r="A53" s="564" t="s">
        <v>1181</v>
      </c>
      <c r="B53" s="564"/>
      <c r="C53" s="619"/>
      <c r="D53" s="564"/>
      <c r="E53" s="610">
        <v>5000</v>
      </c>
      <c r="F53" s="589"/>
      <c r="G53" s="1357">
        <f t="shared" ref="G53:AG56" si="14">E53*$C$52</f>
        <v>5000</v>
      </c>
      <c r="H53" s="1357"/>
      <c r="I53" s="1357">
        <f t="shared" si="14"/>
        <v>5000</v>
      </c>
      <c r="J53" s="1357"/>
      <c r="K53" s="1357">
        <f t="shared" si="14"/>
        <v>5000</v>
      </c>
      <c r="L53" s="1357"/>
      <c r="M53" s="1357">
        <f t="shared" si="14"/>
        <v>5000</v>
      </c>
      <c r="N53" s="1357"/>
      <c r="O53" s="1357">
        <f t="shared" si="14"/>
        <v>5000</v>
      </c>
      <c r="P53" s="1357"/>
      <c r="Q53" s="1357">
        <f t="shared" si="14"/>
        <v>5000</v>
      </c>
      <c r="R53" s="1357"/>
      <c r="S53" s="1357">
        <f t="shared" si="14"/>
        <v>5000</v>
      </c>
      <c r="T53" s="1357"/>
      <c r="U53" s="1357">
        <f t="shared" si="14"/>
        <v>5000</v>
      </c>
      <c r="V53" s="1357"/>
      <c r="W53" s="1357">
        <f t="shared" si="14"/>
        <v>5000</v>
      </c>
      <c r="X53" s="1357"/>
      <c r="Y53" s="1357">
        <f t="shared" si="14"/>
        <v>5000</v>
      </c>
      <c r="Z53" s="1357"/>
      <c r="AA53" s="1357">
        <f t="shared" si="14"/>
        <v>5000</v>
      </c>
      <c r="AB53" s="1357"/>
      <c r="AC53" s="1357">
        <f t="shared" si="14"/>
        <v>5000</v>
      </c>
      <c r="AD53" s="1357"/>
      <c r="AE53" s="1357">
        <f t="shared" si="14"/>
        <v>5000</v>
      </c>
      <c r="AF53" s="1357"/>
      <c r="AG53" s="1357">
        <f t="shared" si="14"/>
        <v>5000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9800</v>
      </c>
      <c r="F57" s="589"/>
      <c r="G57" s="589">
        <f>SUM(G52:G56)</f>
        <v>9800</v>
      </c>
      <c r="H57" s="589"/>
      <c r="I57" s="589">
        <f>SUM(I52:I56)</f>
        <v>9800</v>
      </c>
      <c r="J57" s="589"/>
      <c r="K57" s="589">
        <f>SUM(K52:K56)</f>
        <v>9800</v>
      </c>
      <c r="L57" s="589"/>
      <c r="M57" s="589">
        <f>SUM(M52:M56)</f>
        <v>9800</v>
      </c>
      <c r="N57" s="589"/>
      <c r="O57" s="589">
        <f>SUM(O52:O56)</f>
        <v>9800</v>
      </c>
      <c r="P57" s="589"/>
      <c r="Q57" s="589">
        <f>SUM(Q52:Q56)</f>
        <v>9800</v>
      </c>
      <c r="R57" s="589"/>
      <c r="S57" s="589">
        <f>SUM(S52:S56)</f>
        <v>9800</v>
      </c>
      <c r="T57" s="589"/>
      <c r="U57" s="589">
        <f>SUM(U52:U56)</f>
        <v>9800</v>
      </c>
      <c r="V57" s="589"/>
      <c r="W57" s="589">
        <f>SUM(W52:W56)</f>
        <v>9800</v>
      </c>
      <c r="X57" s="589"/>
      <c r="Y57" s="589">
        <f>SUM(Y52:Y56)</f>
        <v>9800</v>
      </c>
      <c r="Z57" s="589"/>
      <c r="AA57" s="589">
        <f>SUM(AA52:AA56)</f>
        <v>9800</v>
      </c>
      <c r="AB57" s="589"/>
      <c r="AC57" s="589">
        <f>SUM(AC52:AC56)</f>
        <v>9800</v>
      </c>
      <c r="AD57" s="589"/>
      <c r="AE57" s="589">
        <f>SUM(AE52:AE56)</f>
        <v>9800</v>
      </c>
      <c r="AF57" s="589"/>
      <c r="AG57" s="589">
        <f>SUM(AG52:AG56)</f>
        <v>9800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19019.200000000012</v>
      </c>
      <c r="F59" s="580"/>
      <c r="G59" s="580">
        <f>G44-G57</f>
        <v>20262.080000000016</v>
      </c>
      <c r="H59" s="580"/>
      <c r="I59" s="580">
        <f>I44-I57</f>
        <v>21450.379999999946</v>
      </c>
      <c r="J59" s="580"/>
      <c r="K59" s="580">
        <f>K44-K57</f>
        <v>22579.731904999935</v>
      </c>
      <c r="L59" s="580"/>
      <c r="M59" s="580">
        <f>M44-M57</f>
        <v>23645.553202549927</v>
      </c>
      <c r="N59" s="580"/>
      <c r="O59" s="580">
        <f>O44-O57</f>
        <v>24643.037918788556</v>
      </c>
      <c r="P59" s="580"/>
      <c r="Q59" s="580">
        <f>Q44-Q57</f>
        <v>25567.147219462786</v>
      </c>
      <c r="R59" s="580"/>
      <c r="S59" s="580">
        <f>S44-S57</f>
        <v>26412.599642542831</v>
      </c>
      <c r="T59" s="580"/>
      <c r="U59" s="580">
        <f>U44-U57</f>
        <v>27173.860948550573</v>
      </c>
      <c r="V59" s="580"/>
      <c r="W59" s="580">
        <f>W44-W57</f>
        <v>27845.13357421424</v>
      </c>
      <c r="X59" s="580"/>
      <c r="Y59" s="580">
        <f>Y44-Y57</f>
        <v>28420.345674530021</v>
      </c>
      <c r="Z59" s="580"/>
      <c r="AA59" s="580">
        <f>AA44-AA57</f>
        <v>28893.139737761812</v>
      </c>
      <c r="AB59" s="580"/>
      <c r="AC59" s="580">
        <f>AC44-AC57</f>
        <v>29256.860757349292</v>
      </c>
      <c r="AD59" s="580"/>
      <c r="AE59" s="580">
        <f>AE44-AE57</f>
        <v>29504.543944095552</v>
      </c>
      <c r="AF59" s="580"/>
      <c r="AG59" s="580">
        <f>AG44-AG57</f>
        <v>29628.901961407741</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v>0.5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t="s">
        <v>2459</v>
      </c>
      <c r="B65" s="609"/>
      <c r="C65" s="607"/>
      <c r="D65" s="580"/>
      <c r="E65" s="609">
        <f>$E59*$C$64</f>
        <v>9509.6000000000058</v>
      </c>
      <c r="F65" s="580"/>
      <c r="G65" s="580">
        <f>G59*$C$64</f>
        <v>10131.040000000008</v>
      </c>
      <c r="H65" s="580"/>
      <c r="I65" s="580">
        <f>I59*$C$64</f>
        <v>10725.189999999973</v>
      </c>
      <c r="J65" s="580"/>
      <c r="K65" s="580">
        <f>K59*$C$64</f>
        <v>11289.865952499968</v>
      </c>
      <c r="L65" s="580"/>
      <c r="M65" s="580">
        <f>M59*$C$64</f>
        <v>11822.776601274963</v>
      </c>
      <c r="N65" s="580"/>
      <c r="O65" s="580">
        <f>O59*$C$64</f>
        <v>12321.518959394278</v>
      </c>
      <c r="P65" s="580"/>
      <c r="Q65" s="580">
        <f>Q59*$C$64</f>
        <v>12783.573609731393</v>
      </c>
      <c r="R65" s="580"/>
      <c r="S65" s="580">
        <f>S59*$C$64</f>
        <v>13206.299821271416</v>
      </c>
      <c r="T65" s="580"/>
      <c r="U65" s="580">
        <f>U59*$C$64</f>
        <v>13586.930474275287</v>
      </c>
      <c r="V65" s="580"/>
      <c r="W65" s="580">
        <f>W59*$C$64</f>
        <v>13922.56678710712</v>
      </c>
      <c r="X65" s="580"/>
      <c r="Y65" s="580">
        <f>Y59*$C$64</f>
        <v>14210.17283726501</v>
      </c>
      <c r="Z65" s="580"/>
      <c r="AA65" s="580">
        <f>AA59*$C$64</f>
        <v>14446.569868880906</v>
      </c>
      <c r="AB65" s="580"/>
      <c r="AC65" s="580">
        <f>AC59*$C$64</f>
        <v>14628.430378674646</v>
      </c>
      <c r="AD65" s="580"/>
      <c r="AE65" s="580">
        <f>AE59*$C$64</f>
        <v>14752.271972047776</v>
      </c>
      <c r="AF65" s="580"/>
      <c r="AG65" s="580">
        <f>AG59*$C$64</f>
        <v>14814.45098070387</v>
      </c>
      <c r="AH65" s="580"/>
      <c r="AI65" s="580"/>
    </row>
    <row r="66" spans="1:35">
      <c r="A66" s="610"/>
      <c r="B66" s="610"/>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609"/>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1183</v>
      </c>
      <c r="B69" s="1362"/>
      <c r="C69" s="1363"/>
      <c r="D69" s="1362"/>
      <c r="E69" s="1360">
        <f>SUM(E65:E68)</f>
        <v>9509.6000000000058</v>
      </c>
      <c r="F69" s="1360"/>
      <c r="G69" s="1360">
        <f>SUM(G65:G68)</f>
        <v>10131.040000000008</v>
      </c>
      <c r="H69" s="1360"/>
      <c r="I69" s="1360">
        <f>SUM(I65:I68)</f>
        <v>10725.189999999973</v>
      </c>
      <c r="J69" s="1360"/>
      <c r="K69" s="1360">
        <f>SUM(K65:K68)</f>
        <v>11289.865952499968</v>
      </c>
      <c r="L69" s="1360"/>
      <c r="M69" s="1360">
        <f>SUM(M65:M68)</f>
        <v>11822.776601274963</v>
      </c>
      <c r="N69" s="1360"/>
      <c r="O69" s="1360">
        <f>SUM(O65:O68)</f>
        <v>12321.518959394278</v>
      </c>
      <c r="P69" s="1360"/>
      <c r="Q69" s="1360">
        <f>SUM(Q65:Q68)</f>
        <v>12783.573609731393</v>
      </c>
      <c r="R69" s="1360"/>
      <c r="S69" s="1360">
        <f>SUM(S65:S68)</f>
        <v>13206.299821271416</v>
      </c>
      <c r="T69" s="1360"/>
      <c r="U69" s="1360">
        <f>SUM(U65:U68)</f>
        <v>13586.930474275287</v>
      </c>
      <c r="V69" s="1360"/>
      <c r="W69" s="1360">
        <f>SUM(W65:W68)</f>
        <v>13922.56678710712</v>
      </c>
      <c r="X69" s="1360"/>
      <c r="Y69" s="1360">
        <f>SUM(Y65:Y68)</f>
        <v>14210.17283726501</v>
      </c>
      <c r="Z69" s="1360"/>
      <c r="AA69" s="1360">
        <f>SUM(AA65:AA68)</f>
        <v>14446.569868880906</v>
      </c>
      <c r="AB69" s="1360"/>
      <c r="AC69" s="1360">
        <f>SUM(AC65:AC68)</f>
        <v>14628.430378674646</v>
      </c>
      <c r="AD69" s="1360"/>
      <c r="AE69" s="1360">
        <f>SUM(AE65:AE68)</f>
        <v>14752.271972047776</v>
      </c>
      <c r="AF69" s="1360"/>
      <c r="AG69" s="1360">
        <f>SUM(AG65:AG68)</f>
        <v>14814.45098070387</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9509.6000000000058</v>
      </c>
      <c r="F71" s="589"/>
      <c r="G71" s="580">
        <f>G59-G61-G69</f>
        <v>10131.040000000008</v>
      </c>
      <c r="H71" s="589"/>
      <c r="I71" s="580">
        <f>I59-I61-I69</f>
        <v>10725.189999999973</v>
      </c>
      <c r="J71" s="589"/>
      <c r="K71" s="580">
        <f>K59-K61-K69</f>
        <v>11289.865952499968</v>
      </c>
      <c r="L71" s="589"/>
      <c r="M71" s="580">
        <f>M59-M61-M69</f>
        <v>11822.776601274963</v>
      </c>
      <c r="N71" s="589"/>
      <c r="O71" s="580">
        <f>O59-O61-O69</f>
        <v>12321.518959394278</v>
      </c>
      <c r="P71" s="589"/>
      <c r="Q71" s="580">
        <f>Q59-Q61-Q69</f>
        <v>12783.573609731393</v>
      </c>
      <c r="R71" s="589"/>
      <c r="S71" s="580">
        <f>S59-S61-S69</f>
        <v>13206.299821271416</v>
      </c>
      <c r="T71" s="589"/>
      <c r="U71" s="580">
        <f>U59-U61-U69</f>
        <v>13586.930474275287</v>
      </c>
      <c r="V71" s="589"/>
      <c r="W71" s="580">
        <f>W59-W61-W69</f>
        <v>13922.56678710712</v>
      </c>
      <c r="X71" s="589"/>
      <c r="Y71" s="580">
        <f>Y59-Y61-Y69</f>
        <v>14210.17283726501</v>
      </c>
      <c r="Z71" s="589"/>
      <c r="AA71" s="580">
        <f>AA59-AA61-AA69</f>
        <v>14446.569868880906</v>
      </c>
      <c r="AB71" s="589"/>
      <c r="AC71" s="580">
        <f>AC59-AC61-AC69</f>
        <v>14628.430378674646</v>
      </c>
      <c r="AD71" s="589"/>
      <c r="AE71" s="580">
        <f>AE59-AE61-AE69</f>
        <v>14752.271972047776</v>
      </c>
      <c r="AF71" s="589"/>
      <c r="AG71" s="580">
        <f>AG59-AG61-AG69</f>
        <v>14814.45098070387</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1187</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5"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sqref="A1:I1"/>
    </sheetView>
  </sheetViews>
  <sheetFormatPr defaultColWidth="9.1796875" defaultRowHeight="14.1"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56" t="s">
        <v>1265</v>
      </c>
      <c r="B1" s="2656"/>
      <c r="C1" s="2656"/>
      <c r="D1" s="2656"/>
      <c r="E1" s="2656"/>
      <c r="F1" s="2656"/>
      <c r="G1" s="2656"/>
      <c r="H1" s="2656"/>
      <c r="I1" s="2656"/>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2 Bedrooms</v>
      </c>
      <c r="B4" s="921">
        <f>Application!$G706</f>
        <v>1</v>
      </c>
      <c r="C4" s="913">
        <f>Application!$O706</f>
        <v>357</v>
      </c>
      <c r="D4" s="914"/>
      <c r="E4" s="717"/>
      <c r="F4" s="915">
        <f>$E4*$B4</f>
        <v>0</v>
      </c>
      <c r="G4" s="916"/>
      <c r="H4" s="913">
        <f>IF($E4=0,0,MAX($E4-$C4,0))</f>
        <v>0</v>
      </c>
      <c r="I4" s="915">
        <f>IF($H4=0,0,($H4*$B4))</f>
        <v>0</v>
      </c>
    </row>
    <row r="5" spans="1:9">
      <c r="A5" s="913" t="str">
        <f>Application!$B707</f>
        <v>2 Bedrooms</v>
      </c>
      <c r="B5" s="921">
        <f>Application!$G707</f>
        <v>2</v>
      </c>
      <c r="C5" s="913">
        <f>Application!$O707</f>
        <v>514</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5</v>
      </c>
      <c r="C6" s="913">
        <f>Application!$O708</f>
        <v>671</v>
      </c>
      <c r="D6" s="914"/>
      <c r="E6" s="717"/>
      <c r="F6" s="915">
        <f t="shared" si="0"/>
        <v>0</v>
      </c>
      <c r="G6" s="916"/>
      <c r="H6" s="913">
        <f t="shared" si="1"/>
        <v>0</v>
      </c>
      <c r="I6" s="915">
        <f t="shared" si="2"/>
        <v>0</v>
      </c>
    </row>
    <row r="7" spans="1:9">
      <c r="A7" s="913" t="str">
        <f>Application!$B709</f>
        <v>2 Bedrooms</v>
      </c>
      <c r="B7" s="921">
        <f>Application!$G709</f>
        <v>8</v>
      </c>
      <c r="C7" s="913">
        <f>Application!$O709</f>
        <v>828</v>
      </c>
      <c r="D7" s="914"/>
      <c r="E7" s="717"/>
      <c r="F7" s="915">
        <f t="shared" si="0"/>
        <v>0</v>
      </c>
      <c r="G7" s="916"/>
      <c r="H7" s="913">
        <f t="shared" si="1"/>
        <v>0</v>
      </c>
      <c r="I7" s="915">
        <f t="shared" si="2"/>
        <v>0</v>
      </c>
    </row>
    <row r="8" spans="1:9">
      <c r="A8" s="913" t="str">
        <f>Application!$B710</f>
        <v>3 Bedrooms</v>
      </c>
      <c r="B8" s="921">
        <f>Application!$G710</f>
        <v>3</v>
      </c>
      <c r="C8" s="913">
        <f>Application!$O710</f>
        <v>407</v>
      </c>
      <c r="D8" s="914"/>
      <c r="E8" s="717"/>
      <c r="F8" s="915">
        <f t="shared" si="0"/>
        <v>0</v>
      </c>
      <c r="G8" s="916"/>
      <c r="H8" s="913">
        <f t="shared" si="1"/>
        <v>0</v>
      </c>
      <c r="I8" s="915">
        <f t="shared" si="2"/>
        <v>0</v>
      </c>
    </row>
    <row r="9" spans="1:9">
      <c r="A9" s="913" t="str">
        <f>Application!$B711</f>
        <v>3 Bedrooms</v>
      </c>
      <c r="B9" s="921">
        <f>Application!$G711</f>
        <v>4</v>
      </c>
      <c r="C9" s="913">
        <f>Application!$O711</f>
        <v>589</v>
      </c>
      <c r="D9" s="914"/>
      <c r="E9" s="717"/>
      <c r="F9" s="915">
        <f t="shared" si="0"/>
        <v>0</v>
      </c>
      <c r="G9" s="916"/>
      <c r="H9" s="913">
        <f t="shared" si="1"/>
        <v>0</v>
      </c>
      <c r="I9" s="915">
        <f t="shared" si="2"/>
        <v>0</v>
      </c>
    </row>
    <row r="10" spans="1:9">
      <c r="A10" s="913" t="str">
        <f>Application!$B712</f>
        <v>3 Bedrooms</v>
      </c>
      <c r="B10" s="921">
        <f>Application!$G712</f>
        <v>10</v>
      </c>
      <c r="C10" s="913">
        <f>Application!$O712</f>
        <v>770</v>
      </c>
      <c r="D10" s="914"/>
      <c r="E10" s="717"/>
      <c r="F10" s="915">
        <f t="shared" si="0"/>
        <v>0</v>
      </c>
      <c r="G10" s="916"/>
      <c r="H10" s="913">
        <f t="shared" si="1"/>
        <v>0</v>
      </c>
      <c r="I10" s="915">
        <f t="shared" si="2"/>
        <v>0</v>
      </c>
    </row>
    <row r="11" spans="1:9">
      <c r="A11" s="913" t="str">
        <f>Application!$B713</f>
        <v>3 Bedrooms</v>
      </c>
      <c r="B11" s="921">
        <f>Application!$G713</f>
        <v>6</v>
      </c>
      <c r="C11" s="913">
        <f>Application!$O713</f>
        <v>951</v>
      </c>
      <c r="D11" s="914"/>
      <c r="E11" s="717"/>
      <c r="F11" s="915">
        <f t="shared" si="0"/>
        <v>0</v>
      </c>
      <c r="G11" s="916"/>
      <c r="H11" s="913">
        <f t="shared" si="1"/>
        <v>0</v>
      </c>
      <c r="I11" s="915">
        <f t="shared" si="2"/>
        <v>0</v>
      </c>
    </row>
    <row r="12" spans="1:9">
      <c r="A12" s="913" t="str">
        <f>Application!$B714</f>
        <v>4 Bedrooms</v>
      </c>
      <c r="B12" s="921">
        <f>Application!$G714</f>
        <v>1</v>
      </c>
      <c r="C12" s="913">
        <f>Application!$O714</f>
        <v>451</v>
      </c>
      <c r="D12" s="914"/>
      <c r="E12" s="717"/>
      <c r="F12" s="915">
        <f t="shared" si="0"/>
        <v>0</v>
      </c>
      <c r="G12" s="916"/>
      <c r="H12" s="913">
        <f t="shared" si="1"/>
        <v>0</v>
      </c>
      <c r="I12" s="915">
        <f t="shared" si="2"/>
        <v>0</v>
      </c>
    </row>
    <row r="13" spans="1:9">
      <c r="A13" s="913" t="str">
        <f>Application!$B715</f>
        <v>4 Bedrooms</v>
      </c>
      <c r="B13" s="921">
        <f>Application!$G715</f>
        <v>2</v>
      </c>
      <c r="C13" s="913">
        <f>Application!$O715</f>
        <v>654</v>
      </c>
      <c r="D13" s="914"/>
      <c r="E13" s="717"/>
      <c r="F13" s="915">
        <f t="shared" si="0"/>
        <v>0</v>
      </c>
      <c r="G13" s="916"/>
      <c r="H13" s="913">
        <f t="shared" si="1"/>
        <v>0</v>
      </c>
      <c r="I13" s="915">
        <f t="shared" si="2"/>
        <v>0</v>
      </c>
    </row>
    <row r="14" spans="1:9">
      <c r="A14" s="913" t="str">
        <f>Application!$B716</f>
        <v>4 Bedrooms</v>
      </c>
      <c r="B14" s="921">
        <f>Application!$G716</f>
        <v>4</v>
      </c>
      <c r="C14" s="913">
        <f>Application!$O716</f>
        <v>856</v>
      </c>
      <c r="D14" s="914"/>
      <c r="E14" s="717"/>
      <c r="F14" s="915">
        <f t="shared" si="0"/>
        <v>0</v>
      </c>
      <c r="G14" s="916"/>
      <c r="H14" s="913">
        <f t="shared" si="1"/>
        <v>0</v>
      </c>
      <c r="I14" s="915">
        <f t="shared" si="2"/>
        <v>0</v>
      </c>
    </row>
    <row r="15" spans="1:9">
      <c r="A15" s="913" t="str">
        <f>Application!$B717</f>
        <v>4 Bedrooms</v>
      </c>
      <c r="B15" s="921">
        <f>Application!$G717</f>
        <v>1</v>
      </c>
      <c r="C15" s="913">
        <f>Application!$O717</f>
        <v>1058</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415056</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6"/>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6" zeroHeight="1"/>
  <cols>
    <col min="1" max="1" width="161.54296875" customWidth="1"/>
    <col min="2" max="16384" width="8.81640625" hidden="1"/>
  </cols>
  <sheetData>
    <row r="1" spans="1:1" s="466" customFormat="1" ht="45.1" customHeight="1">
      <c r="A1" s="750" t="s">
        <v>1328</v>
      </c>
    </row>
    <row r="2" spans="1:1" ht="15.65">
      <c r="A2" s="748"/>
    </row>
    <row r="3" spans="1:1" ht="15.65">
      <c r="A3" s="749" t="s">
        <v>1323</v>
      </c>
    </row>
    <row r="4" spans="1:1" ht="15.65">
      <c r="A4" s="749" t="s">
        <v>1324</v>
      </c>
    </row>
    <row r="5" spans="1:1" ht="15.65">
      <c r="A5" s="749" t="s">
        <v>1325</v>
      </c>
    </row>
    <row r="6" spans="1:1" ht="15.65">
      <c r="A6" s="749" t="s">
        <v>1326</v>
      </c>
    </row>
    <row r="7" spans="1:1" ht="15.65">
      <c r="A7" s="749" t="s">
        <v>1327</v>
      </c>
    </row>
    <row r="8" spans="1:1" ht="15.65">
      <c r="A8" s="871" t="s">
        <v>1453</v>
      </c>
    </row>
    <row r="9" spans="1:1" ht="15.6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47" t="s">
        <v>1188</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1"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27" t="s">
        <v>1758</v>
      </c>
      <c r="U7" s="2227"/>
      <c r="V7" s="2227"/>
      <c r="W7" s="2227"/>
      <c r="X7" s="2227"/>
      <c r="Y7" s="2227" t="s">
        <v>1913</v>
      </c>
      <c r="Z7" s="2227"/>
      <c r="AA7" s="2227"/>
      <c r="AB7" s="2227"/>
      <c r="AC7" s="2227"/>
      <c r="AD7" s="2227" t="s">
        <v>1480</v>
      </c>
      <c r="AE7" s="2227"/>
      <c r="AF7" s="2227"/>
      <c r="AG7" s="2227"/>
      <c r="AH7" s="2227"/>
      <c r="AI7" s="2227" t="s">
        <v>1914</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6">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1">
      <c r="B11" s="2224" t="s">
        <v>562</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23783934</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3.1">
      <c r="B12" s="2257" t="s">
        <v>492</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6">
      <c r="B13" s="11"/>
      <c r="C13" s="2260" t="s">
        <v>1875</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6">
      <c r="B14" s="11"/>
      <c r="C14" s="2261" t="s">
        <v>833</v>
      </c>
      <c r="D14" s="2261"/>
      <c r="E14" s="2261"/>
      <c r="F14" s="2261"/>
      <c r="G14" s="2261"/>
      <c r="H14" s="2261"/>
      <c r="I14" s="2261"/>
      <c r="J14" s="2261"/>
      <c r="K14" s="2261"/>
      <c r="L14" s="2261"/>
      <c r="M14" s="2261"/>
      <c r="N14" s="2261"/>
      <c r="O14" s="2261"/>
      <c r="P14" s="2261"/>
      <c r="Q14" s="2261"/>
      <c r="R14" s="2261"/>
      <c r="S14" s="2262"/>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6">
      <c r="B15" s="11"/>
      <c r="C15" s="2261" t="s">
        <v>834</v>
      </c>
      <c r="D15" s="2261"/>
      <c r="E15" s="2261"/>
      <c r="F15" s="2261"/>
      <c r="G15" s="2261"/>
      <c r="H15" s="2261"/>
      <c r="I15" s="2261"/>
      <c r="J15" s="2261"/>
      <c r="K15" s="2261"/>
      <c r="L15" s="2261"/>
      <c r="M15" s="2261"/>
      <c r="N15" s="2261"/>
      <c r="O15" s="2261"/>
      <c r="P15" s="2261"/>
      <c r="Q15" s="2261"/>
      <c r="R15" s="2261"/>
      <c r="S15" s="2262"/>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6">
      <c r="B16" s="11"/>
      <c r="C16" s="2260" t="s">
        <v>1096</v>
      </c>
      <c r="D16" s="2260"/>
      <c r="E16" s="2260"/>
      <c r="F16" s="2260"/>
      <c r="G16" s="2260"/>
      <c r="H16" s="2260"/>
      <c r="I16" s="2260"/>
      <c r="J16" s="2260"/>
      <c r="K16" s="2260"/>
      <c r="L16" s="2260"/>
      <c r="M16" s="2260"/>
      <c r="N16" s="2260"/>
      <c r="O16" s="2260"/>
      <c r="P16" s="2260"/>
      <c r="Q16" s="2260"/>
      <c r="R16" s="2260"/>
      <c r="S16" s="2263"/>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6">
      <c r="B17" s="11"/>
      <c r="C17" s="2261" t="s">
        <v>835</v>
      </c>
      <c r="D17" s="2261"/>
      <c r="E17" s="2261"/>
      <c r="F17" s="2261"/>
      <c r="G17" s="2261"/>
      <c r="H17" s="2261"/>
      <c r="I17" s="2261"/>
      <c r="J17" s="2261"/>
      <c r="K17" s="2261"/>
      <c r="L17" s="2261"/>
      <c r="M17" s="2261"/>
      <c r="N17" s="2261"/>
      <c r="O17" s="2261"/>
      <c r="P17" s="2261"/>
      <c r="Q17" s="2261"/>
      <c r="R17" s="2261"/>
      <c r="S17" s="2262"/>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6">
      <c r="B18" s="903"/>
      <c r="C18" s="2260" t="s">
        <v>1485</v>
      </c>
      <c r="D18" s="2261"/>
      <c r="E18" s="2261"/>
      <c r="F18" s="2261"/>
      <c r="G18" s="2261"/>
      <c r="H18" s="2261"/>
      <c r="I18" s="2261"/>
      <c r="J18" s="2261"/>
      <c r="K18" s="2261"/>
      <c r="L18" s="2261"/>
      <c r="M18" s="2261"/>
      <c r="N18" s="2261"/>
      <c r="O18" s="2261"/>
      <c r="P18" s="2261"/>
      <c r="Q18" s="2261"/>
      <c r="R18" s="2261"/>
      <c r="S18" s="2262"/>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6">
      <c r="B19" s="745"/>
      <c r="C19" s="1952" t="str">
        <f>'Basis &amp; Credits'!C19:S19</f>
        <v>Subtract (specify other ineligible amounts):</v>
      </c>
      <c r="D19" s="1952"/>
      <c r="E19" s="1952"/>
      <c r="F19" s="1952"/>
      <c r="G19" s="1952"/>
      <c r="H19" s="1952"/>
      <c r="I19" s="1952"/>
      <c r="J19" s="1952"/>
      <c r="K19" s="1952"/>
      <c r="L19" s="1952"/>
      <c r="M19" s="1952"/>
      <c r="N19" s="1952"/>
      <c r="O19" s="1952"/>
      <c r="P19" s="1952"/>
      <c r="Q19" s="1952"/>
      <c r="R19" s="1952"/>
      <c r="S19" s="1953"/>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3.1">
      <c r="B20" s="2224" t="s">
        <v>836</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1">
      <c r="B21" s="2224" t="s">
        <v>1874</v>
      </c>
      <c r="C21" s="2225"/>
      <c r="D21" s="2225"/>
      <c r="E21" s="2225"/>
      <c r="F21" s="2225"/>
      <c r="G21" s="2225"/>
      <c r="H21" s="2225"/>
      <c r="I21" s="2225"/>
      <c r="J21" s="2225"/>
      <c r="K21" s="2225"/>
      <c r="L21" s="2225"/>
      <c r="M21" s="2225"/>
      <c r="N21" s="2225"/>
      <c r="O21" s="2225"/>
      <c r="P21" s="2225"/>
      <c r="Q21" s="2225"/>
      <c r="R21" s="2225"/>
      <c r="S21" s="2226"/>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4420000</v>
      </c>
      <c r="AJ21" s="1722"/>
      <c r="AK21" s="1722"/>
      <c r="AL21" s="1722"/>
      <c r="AM21" s="1722"/>
    </row>
    <row r="22" spans="1:39" ht="13.1">
      <c r="B22" s="2224" t="s">
        <v>837</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-4420000</v>
      </c>
      <c r="AJ22" s="2266"/>
      <c r="AK22" s="2266"/>
      <c r="AL22" s="2266"/>
      <c r="AM22" s="2266"/>
    </row>
    <row r="23" spans="1:39" ht="13.1">
      <c r="A23" s="2"/>
      <c r="B23" s="2284" t="s">
        <v>838</v>
      </c>
      <c r="C23" s="2285"/>
      <c r="D23" s="2285"/>
      <c r="E23" s="2285"/>
      <c r="F23" s="2285"/>
      <c r="G23" s="2285"/>
      <c r="H23" s="2285"/>
      <c r="I23" s="2285"/>
      <c r="J23" s="2285"/>
      <c r="K23" s="2285"/>
      <c r="L23" s="2285"/>
      <c r="M23" s="2285"/>
      <c r="N23" s="2285"/>
      <c r="O23" s="2285"/>
      <c r="P23" s="2285"/>
      <c r="Q23" s="2285"/>
      <c r="R23" s="2285"/>
      <c r="S23" s="2286"/>
      <c r="T23" s="2219">
        <f>T11+T22</f>
        <v>23783934</v>
      </c>
      <c r="U23" s="2220"/>
      <c r="V23" s="2220"/>
      <c r="W23" s="2220"/>
      <c r="X23" s="2220"/>
      <c r="Y23" s="2219">
        <f>Y11+Y22</f>
        <v>0</v>
      </c>
      <c r="Z23" s="2220"/>
      <c r="AA23" s="2220"/>
      <c r="AB23" s="2220"/>
      <c r="AC23" s="2220"/>
      <c r="AD23" s="2219">
        <f>AD11+AD22</f>
        <v>0</v>
      </c>
      <c r="AE23" s="2220"/>
      <c r="AF23" s="2220"/>
      <c r="AG23" s="2220"/>
      <c r="AH23" s="2220"/>
      <c r="AI23" s="2219">
        <f>AI11+AI22</f>
        <v>-4420000</v>
      </c>
      <c r="AJ23" s="2220"/>
      <c r="AK23" s="2220"/>
      <c r="AL23" s="2220"/>
      <c r="AM23" s="2220"/>
    </row>
    <row r="24" spans="1:39" ht="13.1">
      <c r="B24" s="2224" t="s">
        <v>1318</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6">
      <c r="B25" s="2278" t="s">
        <v>1912</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3.1">
      <c r="B26" s="2224" t="s">
        <v>839</v>
      </c>
      <c r="C26" s="2225"/>
      <c r="D26" s="2225"/>
      <c r="E26" s="2225"/>
      <c r="F26" s="2225"/>
      <c r="G26" s="2225"/>
      <c r="H26" s="2225"/>
      <c r="I26" s="2225"/>
      <c r="J26" s="2225"/>
      <c r="K26" s="2225"/>
      <c r="L26" s="2225"/>
      <c r="M26" s="2225"/>
      <c r="N26" s="2225"/>
      <c r="O26" s="2225"/>
      <c r="P26" s="2225"/>
      <c r="Q26" s="2225"/>
      <c r="R26" s="2225"/>
      <c r="S26" s="2226"/>
      <c r="T26" s="2274">
        <f>T23*T25</f>
        <v>23783934</v>
      </c>
      <c r="U26" s="2275"/>
      <c r="V26" s="2275"/>
      <c r="W26" s="2275"/>
      <c r="X26" s="2275"/>
      <c r="Y26" s="2274">
        <f>Y23*Y25</f>
        <v>0</v>
      </c>
      <c r="Z26" s="2275"/>
      <c r="AA26" s="2275"/>
      <c r="AB26" s="2275"/>
      <c r="AC26" s="2275"/>
      <c r="AD26" s="2274">
        <f>AD23*AD25</f>
        <v>0</v>
      </c>
      <c r="AE26" s="2275"/>
      <c r="AF26" s="2275"/>
      <c r="AG26" s="2275"/>
      <c r="AH26" s="2275"/>
      <c r="AI26" s="2274">
        <f>AI23*AI25</f>
        <v>-4420000</v>
      </c>
      <c r="AJ26" s="2275"/>
      <c r="AK26" s="2275"/>
      <c r="AL26" s="2275"/>
      <c r="AM26" s="2275"/>
    </row>
    <row r="27" spans="1:39" ht="12.6">
      <c r="A27" s="7"/>
      <c r="B27" s="2281" t="s">
        <v>957</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917</v>
      </c>
      <c r="C28" s="2225"/>
      <c r="D28" s="2225"/>
      <c r="E28" s="2225"/>
      <c r="F28" s="2225"/>
      <c r="G28" s="2225"/>
      <c r="H28" s="2225"/>
      <c r="I28" s="2225"/>
      <c r="J28" s="2225"/>
      <c r="K28" s="2225"/>
      <c r="L28" s="2225"/>
      <c r="M28" s="2225"/>
      <c r="N28" s="2225"/>
      <c r="O28" s="2225"/>
      <c r="P28" s="2225"/>
      <c r="Q28" s="2225"/>
      <c r="R28" s="2225"/>
      <c r="S28" s="2226"/>
      <c r="T28" s="1797">
        <f>IF(ISERROR((T26*T27)),0,(T26*T27))</f>
        <v>23783934</v>
      </c>
      <c r="U28" s="2241"/>
      <c r="V28" s="2241"/>
      <c r="W28" s="2241"/>
      <c r="X28" s="2241"/>
      <c r="Y28" s="1797">
        <f>IF(ISERROR((Y26*Y27)),0,(Y26*Y27))</f>
        <v>0</v>
      </c>
      <c r="Z28" s="2241"/>
      <c r="AA28" s="2241"/>
      <c r="AB28" s="2241"/>
      <c r="AC28" s="2241"/>
      <c r="AD28" s="1797">
        <f>IF(ISERROR((AD26*AD27)),0,(AD26*AD27))</f>
        <v>0</v>
      </c>
      <c r="AE28" s="2241"/>
      <c r="AF28" s="2241"/>
      <c r="AG28" s="2241"/>
      <c r="AH28" s="2241"/>
      <c r="AI28" s="1797">
        <f>IF(ISERROR((AI26*AI27)),0,(AI26*AI27))</f>
        <v>-4420000</v>
      </c>
      <c r="AJ28" s="2241"/>
      <c r="AK28" s="2241"/>
      <c r="AL28" s="2241"/>
      <c r="AM28" s="2241"/>
    </row>
    <row r="29" spans="1:39" ht="13.1">
      <c r="B29" s="2224" t="s">
        <v>684</v>
      </c>
      <c r="C29" s="2225"/>
      <c r="D29" s="2225"/>
      <c r="E29" s="2225"/>
      <c r="F29" s="2225"/>
      <c r="G29" s="2225"/>
      <c r="H29" s="2225"/>
      <c r="I29" s="2225"/>
      <c r="J29" s="2225"/>
      <c r="K29" s="2225"/>
      <c r="L29" s="2225"/>
      <c r="M29" s="2225"/>
      <c r="N29" s="2225"/>
      <c r="O29" s="2225"/>
      <c r="P29" s="2225"/>
      <c r="Q29" s="2225"/>
      <c r="R29" s="2225"/>
      <c r="S29" s="2226"/>
      <c r="T29" s="2287">
        <f>T28+Y28+AD28+AI28</f>
        <v>19363934</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27" t="s">
        <v>1757</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917</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3.1">
      <c r="B39" s="2224" t="s">
        <v>829</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f>'Basis &amp; Credits'!AD39:AH39</f>
        <v>0.04</v>
      </c>
      <c r="AE39" s="2218"/>
      <c r="AF39" s="2218"/>
      <c r="AG39" s="2218"/>
      <c r="AH39" s="2218"/>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3.1">
      <c r="B41" s="2224" t="s">
        <v>678</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1257</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15">
        <f>'Sources and Uses Budget'!B104-'Sources and Uses Budget'!$B$15</f>
        <v>24689154</v>
      </c>
      <c r="AC46" s="2216"/>
      <c r="AD46" s="2216"/>
      <c r="AE46" s="2216"/>
      <c r="AF46" s="2217"/>
    </row>
    <row r="47" spans="1:40" ht="12.75" customHeight="1">
      <c r="D47" s="6" t="s">
        <v>911</v>
      </c>
      <c r="AB47" s="2215">
        <f>Application!AG644-MIN('Sources and Uses Budget'!B15,Application!AG385)</f>
        <v>0</v>
      </c>
      <c r="AC47" s="2216"/>
      <c r="AD47" s="2216"/>
      <c r="AE47" s="2216"/>
      <c r="AF47" s="2217"/>
    </row>
    <row r="48" spans="1:40" ht="13.1">
      <c r="D48" s="6" t="s">
        <v>419</v>
      </c>
      <c r="AB48" s="2215">
        <f>AB46-AB47</f>
        <v>24689154</v>
      </c>
      <c r="AC48" s="2216"/>
      <c r="AD48" s="2216"/>
      <c r="AE48" s="2216"/>
      <c r="AF48" s="2217"/>
    </row>
    <row r="49" spans="1:40" ht="13.1">
      <c r="D49" s="6" t="s">
        <v>950</v>
      </c>
      <c r="X49" s="2"/>
      <c r="Y49" s="2"/>
      <c r="Z49" s="2"/>
      <c r="AA49" s="409"/>
      <c r="AB49" s="2234"/>
      <c r="AC49" s="2235"/>
      <c r="AD49" s="2235"/>
      <c r="AE49" s="2235"/>
      <c r="AF49" s="2236"/>
    </row>
    <row r="50" spans="1:40" s="497" customFormat="1" ht="15" customHeight="1">
      <c r="A50" s="2"/>
      <c r="B50" s="2"/>
      <c r="C50" s="2"/>
      <c r="D50" s="272"/>
      <c r="E50" s="2245" t="s">
        <v>1473</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617</v>
      </c>
      <c r="AB54" s="2215">
        <f>(AB53/10)</f>
        <v>0</v>
      </c>
      <c r="AC54" s="2216"/>
      <c r="AD54" s="2216"/>
      <c r="AE54" s="2216"/>
      <c r="AF54" s="2217"/>
    </row>
    <row r="55" spans="1:40" ht="13.1">
      <c r="D55" s="6" t="s">
        <v>378</v>
      </c>
      <c r="AB55" s="2242">
        <f>(IF((Y41&lt;AB54),Y41,AB54))</f>
        <v>0</v>
      </c>
      <c r="AC55" s="2243"/>
      <c r="AD55" s="2243"/>
      <c r="AE55" s="2243"/>
      <c r="AF55" s="2244"/>
    </row>
    <row r="56" spans="1:40" ht="13.1">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24689154</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1915</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5"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1">
      <c r="C63" s="330"/>
      <c r="D63" s="1215" t="s">
        <v>1342</v>
      </c>
      <c r="E63" s="776"/>
      <c r="F63" s="776"/>
      <c r="G63" s="776"/>
      <c r="H63" s="776"/>
      <c r="I63" s="776"/>
      <c r="J63" s="776"/>
      <c r="K63" s="776"/>
      <c r="L63" s="22"/>
      <c r="M63" s="22"/>
      <c r="N63" s="22"/>
      <c r="O63" s="22"/>
      <c r="P63" s="22"/>
      <c r="Q63" s="22"/>
      <c r="R63" s="22"/>
      <c r="S63" s="22"/>
      <c r="T63" s="22"/>
      <c r="U63" s="22"/>
      <c r="V63" s="22"/>
      <c r="W63" s="22"/>
      <c r="X63" s="22"/>
      <c r="Y63" s="1867">
        <f>Y28</f>
        <v>0</v>
      </c>
      <c r="Z63" s="2237"/>
      <c r="AA63" s="2237"/>
      <c r="AB63" s="2237"/>
      <c r="AC63" s="2237"/>
      <c r="AD63" s="1867">
        <f>AI28</f>
        <v>-4420000</v>
      </c>
      <c r="AE63" s="2237"/>
      <c r="AF63" s="2237"/>
      <c r="AG63" s="2237"/>
      <c r="AH63" s="2237"/>
    </row>
    <row r="64" spans="1:40" ht="15" customHeight="1">
      <c r="C64" s="6"/>
      <c r="E64" s="2211" t="s">
        <v>1393</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5"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3.1">
      <c r="C67" s="6"/>
      <c r="D67" s="6" t="s">
        <v>1024</v>
      </c>
      <c r="Y67" s="1867">
        <f>ROUND(Y63*Y66,0)</f>
        <v>0</v>
      </c>
      <c r="Z67" s="2237"/>
      <c r="AA67" s="2237"/>
      <c r="AB67" s="2237"/>
      <c r="AC67" s="2237"/>
      <c r="AD67" s="1867" t="str">
        <f>IF(OR(Application!D211="At-Risk",Application!D211="At-Risk/Located in Rural Census Tract",Application!D214="At-Risk"),ROUND(AD63*AD66,0),"$0")</f>
        <v>$0</v>
      </c>
      <c r="AE67" s="2238"/>
      <c r="AF67" s="2238"/>
      <c r="AG67" s="2238"/>
      <c r="AH67" s="2238"/>
    </row>
    <row r="68" spans="1:40" ht="13.1">
      <c r="C68" s="6"/>
      <c r="E68" s="6"/>
      <c r="AB68" s="5"/>
      <c r="AC68" s="5"/>
      <c r="AD68" s="5"/>
      <c r="AE68" s="5"/>
      <c r="AF68" s="5"/>
    </row>
    <row r="69" spans="1:40" ht="13.1">
      <c r="A69" s="6" t="s">
        <v>134</v>
      </c>
      <c r="C69" s="6" t="s">
        <v>282</v>
      </c>
    </row>
    <row r="70" spans="1:40" ht="13.1">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1910</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1025</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24689154</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47" t="s">
        <v>1474</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1"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27" t="s">
        <v>1758</v>
      </c>
      <c r="U7" s="2227"/>
      <c r="V7" s="2227"/>
      <c r="W7" s="2227"/>
      <c r="X7" s="2227"/>
      <c r="Y7" s="2227" t="s">
        <v>1913</v>
      </c>
      <c r="Z7" s="2227"/>
      <c r="AA7" s="2227"/>
      <c r="AB7" s="2227"/>
      <c r="AC7" s="2227"/>
      <c r="AD7" s="2227" t="s">
        <v>1480</v>
      </c>
      <c r="AE7" s="2227"/>
      <c r="AF7" s="2227"/>
      <c r="AG7" s="2227"/>
      <c r="AH7" s="2227"/>
      <c r="AI7" s="2227" t="s">
        <v>1914</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6">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1">
      <c r="B11" s="2224" t="s">
        <v>562</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23783934</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3.1">
      <c r="B12" s="2257" t="s">
        <v>492</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6">
      <c r="B13" s="11"/>
      <c r="C13" s="2260" t="s">
        <v>1875</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6">
      <c r="B14" s="11"/>
      <c r="C14" s="2261" t="s">
        <v>833</v>
      </c>
      <c r="D14" s="2261"/>
      <c r="E14" s="2261"/>
      <c r="F14" s="2261"/>
      <c r="G14" s="2261"/>
      <c r="H14" s="2261"/>
      <c r="I14" s="2261"/>
      <c r="J14" s="2261"/>
      <c r="K14" s="2261"/>
      <c r="L14" s="2261"/>
      <c r="M14" s="2261"/>
      <c r="N14" s="2261"/>
      <c r="O14" s="2261"/>
      <c r="P14" s="2261"/>
      <c r="Q14" s="2261"/>
      <c r="R14" s="2261"/>
      <c r="S14" s="2262"/>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6">
      <c r="B15" s="11"/>
      <c r="C15" s="2261" t="s">
        <v>834</v>
      </c>
      <c r="D15" s="2261"/>
      <c r="E15" s="2261"/>
      <c r="F15" s="2261"/>
      <c r="G15" s="2261"/>
      <c r="H15" s="2261"/>
      <c r="I15" s="2261"/>
      <c r="J15" s="2261"/>
      <c r="K15" s="2261"/>
      <c r="L15" s="2261"/>
      <c r="M15" s="2261"/>
      <c r="N15" s="2261"/>
      <c r="O15" s="2261"/>
      <c r="P15" s="2261"/>
      <c r="Q15" s="2261"/>
      <c r="R15" s="2261"/>
      <c r="S15" s="2262"/>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6">
      <c r="B16" s="11"/>
      <c r="C16" s="2260" t="s">
        <v>1096</v>
      </c>
      <c r="D16" s="2260"/>
      <c r="E16" s="2260"/>
      <c r="F16" s="2260"/>
      <c r="G16" s="2260"/>
      <c r="H16" s="2260"/>
      <c r="I16" s="2260"/>
      <c r="J16" s="2260"/>
      <c r="K16" s="2260"/>
      <c r="L16" s="2260"/>
      <c r="M16" s="2260"/>
      <c r="N16" s="2260"/>
      <c r="O16" s="2260"/>
      <c r="P16" s="2260"/>
      <c r="Q16" s="2260"/>
      <c r="R16" s="2260"/>
      <c r="S16" s="2263"/>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6">
      <c r="B17" s="11"/>
      <c r="C17" s="2261" t="s">
        <v>835</v>
      </c>
      <c r="D17" s="2261"/>
      <c r="E17" s="2261"/>
      <c r="F17" s="2261"/>
      <c r="G17" s="2261"/>
      <c r="H17" s="2261"/>
      <c r="I17" s="2261"/>
      <c r="J17" s="2261"/>
      <c r="K17" s="2261"/>
      <c r="L17" s="2261"/>
      <c r="M17" s="2261"/>
      <c r="N17" s="2261"/>
      <c r="O17" s="2261"/>
      <c r="P17" s="2261"/>
      <c r="Q17" s="2261"/>
      <c r="R17" s="2261"/>
      <c r="S17" s="2262"/>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6">
      <c r="B18" s="903"/>
      <c r="C18" s="2260" t="s">
        <v>1485</v>
      </c>
      <c r="D18" s="2261"/>
      <c r="E18" s="2261"/>
      <c r="F18" s="2261"/>
      <c r="G18" s="2261"/>
      <c r="H18" s="2261"/>
      <c r="I18" s="2261"/>
      <c r="J18" s="2261"/>
      <c r="K18" s="2261"/>
      <c r="L18" s="2261"/>
      <c r="M18" s="2261"/>
      <c r="N18" s="2261"/>
      <c r="O18" s="2261"/>
      <c r="P18" s="2261"/>
      <c r="Q18" s="2261"/>
      <c r="R18" s="2261"/>
      <c r="S18" s="2262"/>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6">
      <c r="B19" s="745"/>
      <c r="C19" s="1952" t="str">
        <f>'Basis &amp; Credits'!C19:S19</f>
        <v>Subtract (specify other ineligible amounts):</v>
      </c>
      <c r="D19" s="1952"/>
      <c r="E19" s="1952"/>
      <c r="F19" s="1952"/>
      <c r="G19" s="1952"/>
      <c r="H19" s="1952"/>
      <c r="I19" s="1952"/>
      <c r="J19" s="1952"/>
      <c r="K19" s="1952"/>
      <c r="L19" s="1952"/>
      <c r="M19" s="1952"/>
      <c r="N19" s="1952"/>
      <c r="O19" s="1952"/>
      <c r="P19" s="1952"/>
      <c r="Q19" s="1952"/>
      <c r="R19" s="1952"/>
      <c r="S19" s="1953"/>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3.1">
      <c r="B20" s="2224" t="s">
        <v>836</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1">
      <c r="B21" s="2224" t="s">
        <v>1874</v>
      </c>
      <c r="C21" s="2225"/>
      <c r="D21" s="2225"/>
      <c r="E21" s="2225"/>
      <c r="F21" s="2225"/>
      <c r="G21" s="2225"/>
      <c r="H21" s="2225"/>
      <c r="I21" s="2225"/>
      <c r="J21" s="2225"/>
      <c r="K21" s="2225"/>
      <c r="L21" s="2225"/>
      <c r="M21" s="2225"/>
      <c r="N21" s="2225"/>
      <c r="O21" s="2225"/>
      <c r="P21" s="2225"/>
      <c r="Q21" s="2225"/>
      <c r="R21" s="2225"/>
      <c r="S21" s="2226"/>
      <c r="T21" s="1719">
        <f>'Basis &amp; Credits'!T21</f>
        <v>4420000</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3.1">
      <c r="B22" s="2224" t="s">
        <v>837</v>
      </c>
      <c r="C22" s="2225"/>
      <c r="D22" s="2225"/>
      <c r="E22" s="2225"/>
      <c r="F22" s="2225"/>
      <c r="G22" s="2225"/>
      <c r="H22" s="2225"/>
      <c r="I22" s="2225"/>
      <c r="J22" s="2225"/>
      <c r="K22" s="2225"/>
      <c r="L22" s="2225"/>
      <c r="M22" s="2225"/>
      <c r="N22" s="2225"/>
      <c r="O22" s="2225"/>
      <c r="P22" s="2225"/>
      <c r="Q22" s="2225"/>
      <c r="R22" s="2225"/>
      <c r="S22" s="2226"/>
      <c r="T22" s="2265">
        <f>(T20+T21)*-1</f>
        <v>-4420000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3.1">
      <c r="A23" s="2"/>
      <c r="B23" s="2284" t="s">
        <v>838</v>
      </c>
      <c r="C23" s="2285"/>
      <c r="D23" s="2285"/>
      <c r="E23" s="2285"/>
      <c r="F23" s="2285"/>
      <c r="G23" s="2285"/>
      <c r="H23" s="2285"/>
      <c r="I23" s="2285"/>
      <c r="J23" s="2285"/>
      <c r="K23" s="2285"/>
      <c r="L23" s="2285"/>
      <c r="M23" s="2285"/>
      <c r="N23" s="2285"/>
      <c r="O23" s="2285"/>
      <c r="P23" s="2285"/>
      <c r="Q23" s="2285"/>
      <c r="R23" s="2285"/>
      <c r="S23" s="2286"/>
      <c r="T23" s="2219">
        <f>T11+T22</f>
        <v>19363934</v>
      </c>
      <c r="U23" s="2220"/>
      <c r="V23" s="2220"/>
      <c r="W23" s="2220"/>
      <c r="X23" s="2220"/>
      <c r="Y23" s="2219">
        <f>Y11+Y22</f>
        <v>0</v>
      </c>
      <c r="Z23" s="2220"/>
      <c r="AA23" s="2220"/>
      <c r="AB23" s="2220"/>
      <c r="AC23" s="2220"/>
      <c r="AD23" s="2219">
        <f>AD11+AD22</f>
        <v>0</v>
      </c>
      <c r="AE23" s="2220"/>
      <c r="AF23" s="2220"/>
      <c r="AG23" s="2220"/>
      <c r="AH23" s="2220"/>
      <c r="AI23" s="2219">
        <f>AI11+AI22</f>
        <v>0</v>
      </c>
      <c r="AJ23" s="2220"/>
      <c r="AK23" s="2220"/>
      <c r="AL23" s="2220"/>
      <c r="AM23" s="2220"/>
    </row>
    <row r="24" spans="1:39" ht="13.1">
      <c r="B24" s="2224" t="s">
        <v>1318</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6">
      <c r="B25" s="2278" t="s">
        <v>1912</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3.1">
      <c r="B26" s="2224" t="s">
        <v>839</v>
      </c>
      <c r="C26" s="2225"/>
      <c r="D26" s="2225"/>
      <c r="E26" s="2225"/>
      <c r="F26" s="2225"/>
      <c r="G26" s="2225"/>
      <c r="H26" s="2225"/>
      <c r="I26" s="2225"/>
      <c r="J26" s="2225"/>
      <c r="K26" s="2225"/>
      <c r="L26" s="2225"/>
      <c r="M26" s="2225"/>
      <c r="N26" s="2225"/>
      <c r="O26" s="2225"/>
      <c r="P26" s="2225"/>
      <c r="Q26" s="2225"/>
      <c r="R26" s="2225"/>
      <c r="S26" s="2226"/>
      <c r="T26" s="2274">
        <f>T23*T25</f>
        <v>19363934</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6">
      <c r="A27" s="7"/>
      <c r="B27" s="2281" t="s">
        <v>957</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917</v>
      </c>
      <c r="C28" s="2225"/>
      <c r="D28" s="2225"/>
      <c r="E28" s="2225"/>
      <c r="F28" s="2225"/>
      <c r="G28" s="2225"/>
      <c r="H28" s="2225"/>
      <c r="I28" s="2225"/>
      <c r="J28" s="2225"/>
      <c r="K28" s="2225"/>
      <c r="L28" s="2225"/>
      <c r="M28" s="2225"/>
      <c r="N28" s="2225"/>
      <c r="O28" s="2225"/>
      <c r="P28" s="2225"/>
      <c r="Q28" s="2225"/>
      <c r="R28" s="2225"/>
      <c r="S28" s="2226"/>
      <c r="T28" s="1797">
        <f>IF(ISERROR((T26*T27)),0,(T26*T27))</f>
        <v>19363934</v>
      </c>
      <c r="U28" s="2241"/>
      <c r="V28" s="2241"/>
      <c r="W28" s="2241"/>
      <c r="X28" s="2241"/>
      <c r="Y28" s="1797">
        <f>IF(ISERROR((Y26*Y27)),0,(Y26*Y27))</f>
        <v>0</v>
      </c>
      <c r="Z28" s="2241"/>
      <c r="AA28" s="2241"/>
      <c r="AB28" s="2241"/>
      <c r="AC28" s="2241"/>
      <c r="AD28" s="1797">
        <f>IF(ISERROR((AD26*AD27)),0,(AD26*AD27))</f>
        <v>0</v>
      </c>
      <c r="AE28" s="2241"/>
      <c r="AF28" s="2241"/>
      <c r="AG28" s="2241"/>
      <c r="AH28" s="2241"/>
      <c r="AI28" s="1797">
        <f>IF(ISERROR((AI26*AI27)),0,(AI26*AI27))</f>
        <v>0</v>
      </c>
      <c r="AJ28" s="2241"/>
      <c r="AK28" s="2241"/>
      <c r="AL28" s="2241"/>
      <c r="AM28" s="2241"/>
    </row>
    <row r="29" spans="1:39" ht="13.1">
      <c r="B29" s="2224" t="s">
        <v>684</v>
      </c>
      <c r="C29" s="2225"/>
      <c r="D29" s="2225"/>
      <c r="E29" s="2225"/>
      <c r="F29" s="2225"/>
      <c r="G29" s="2225"/>
      <c r="H29" s="2225"/>
      <c r="I29" s="2225"/>
      <c r="J29" s="2225"/>
      <c r="K29" s="2225"/>
      <c r="L29" s="2225"/>
      <c r="M29" s="2225"/>
      <c r="N29" s="2225"/>
      <c r="O29" s="2225"/>
      <c r="P29" s="2225"/>
      <c r="Q29" s="2225"/>
      <c r="R29" s="2225"/>
      <c r="S29" s="2226"/>
      <c r="T29" s="2287">
        <f>T28+Y28+AD28+AI28</f>
        <v>19363934</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27" t="s">
        <v>1757</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917</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3.1">
      <c r="B39" s="2224" t="s">
        <v>829</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f>'Basis &amp; Credits'!AD39:AH39</f>
        <v>0.04</v>
      </c>
      <c r="AE39" s="2218"/>
      <c r="AF39" s="2218"/>
      <c r="AG39" s="2218"/>
      <c r="AH39" s="2218"/>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3.1">
      <c r="B41" s="2224" t="s">
        <v>678</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1257</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15">
        <f>'Sources and Uses Budget'!B104-'Sources and Uses Budget'!$B$15</f>
        <v>24689154</v>
      </c>
      <c r="AC46" s="2216"/>
      <c r="AD46" s="2216"/>
      <c r="AE46" s="2216"/>
      <c r="AF46" s="2217"/>
    </row>
    <row r="47" spans="1:40" ht="12.75" customHeight="1">
      <c r="D47" s="6" t="s">
        <v>911</v>
      </c>
      <c r="AB47" s="2215">
        <f>Application!AG644-MIN('Sources and Uses Budget'!B15,Application!AG385)</f>
        <v>0</v>
      </c>
      <c r="AC47" s="2216"/>
      <c r="AD47" s="2216"/>
      <c r="AE47" s="2216"/>
      <c r="AF47" s="2217"/>
    </row>
    <row r="48" spans="1:40" ht="13.1">
      <c r="D48" s="6" t="s">
        <v>419</v>
      </c>
      <c r="AB48" s="2215">
        <f>AB46-AB47</f>
        <v>24689154</v>
      </c>
      <c r="AC48" s="2216"/>
      <c r="AD48" s="2216"/>
      <c r="AE48" s="2216"/>
      <c r="AF48" s="2217"/>
    </row>
    <row r="49" spans="1:40" ht="13.1">
      <c r="D49" s="6" t="s">
        <v>950</v>
      </c>
      <c r="X49" s="2"/>
      <c r="Y49" s="2"/>
      <c r="Z49" s="2"/>
      <c r="AA49" s="409"/>
      <c r="AB49" s="2234"/>
      <c r="AC49" s="2235"/>
      <c r="AD49" s="2235"/>
      <c r="AE49" s="2235"/>
      <c r="AF49" s="2236"/>
    </row>
    <row r="50" spans="1:40" s="497" customFormat="1" ht="15" customHeight="1">
      <c r="A50" s="2"/>
      <c r="B50" s="2"/>
      <c r="C50" s="2"/>
      <c r="D50" s="272"/>
      <c r="E50" s="2245" t="s">
        <v>1473</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617</v>
      </c>
      <c r="AB54" s="2215">
        <f>(AB53/10)</f>
        <v>0</v>
      </c>
      <c r="AC54" s="2216"/>
      <c r="AD54" s="2216"/>
      <c r="AE54" s="2216"/>
      <c r="AF54" s="2217"/>
    </row>
    <row r="55" spans="1:40" ht="13.1">
      <c r="D55" s="6" t="s">
        <v>378</v>
      </c>
      <c r="AB55" s="2242">
        <f>(IF((Y41&lt;AB54),Y41,AB54))</f>
        <v>0</v>
      </c>
      <c r="AC55" s="2243"/>
      <c r="AD55" s="2243"/>
      <c r="AE55" s="2243"/>
      <c r="AF55" s="2244"/>
    </row>
    <row r="56" spans="1:40" ht="13.1">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24689154</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1915</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5"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1">
      <c r="C63" s="330"/>
      <c r="D63" s="1215" t="s">
        <v>1342</v>
      </c>
      <c r="E63" s="776"/>
      <c r="F63" s="776"/>
      <c r="G63" s="776"/>
      <c r="H63" s="776"/>
      <c r="I63" s="776"/>
      <c r="J63" s="776"/>
      <c r="K63" s="776"/>
      <c r="L63" s="22"/>
      <c r="M63" s="22"/>
      <c r="N63" s="22"/>
      <c r="O63" s="22"/>
      <c r="P63" s="22"/>
      <c r="Q63" s="22"/>
      <c r="R63" s="22"/>
      <c r="S63" s="22"/>
      <c r="T63" s="22"/>
      <c r="U63" s="22"/>
      <c r="V63" s="22"/>
      <c r="W63" s="22"/>
      <c r="X63" s="22"/>
      <c r="Y63" s="1867">
        <f>Y28</f>
        <v>0</v>
      </c>
      <c r="Z63" s="2237"/>
      <c r="AA63" s="2237"/>
      <c r="AB63" s="2237"/>
      <c r="AC63" s="2237"/>
      <c r="AD63" s="1867">
        <f>AI28</f>
        <v>0</v>
      </c>
      <c r="AE63" s="2237"/>
      <c r="AF63" s="2237"/>
      <c r="AG63" s="2237"/>
      <c r="AH63" s="2237"/>
    </row>
    <row r="64" spans="1:40" ht="15" customHeight="1">
      <c r="C64" s="6"/>
      <c r="E64" s="2211" t="s">
        <v>1393</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5"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3.1">
      <c r="C67" s="6"/>
      <c r="D67" s="6" t="s">
        <v>1024</v>
      </c>
      <c r="Y67" s="1867">
        <f>ROUND(Y63*Y66,0)</f>
        <v>0</v>
      </c>
      <c r="Z67" s="2237"/>
      <c r="AA67" s="2237"/>
      <c r="AB67" s="2237"/>
      <c r="AC67" s="2237"/>
      <c r="AD67" s="1867" t="str">
        <f>IF(OR(Application!D211="At-Risk",Application!D211="At-Risk/Located in Rural Census Tract",Application!D214="At-Risk"),ROUND(AD63*AD66,0),"$0")</f>
        <v>$0</v>
      </c>
      <c r="AE67" s="2238"/>
      <c r="AF67" s="2238"/>
      <c r="AG67" s="2238"/>
      <c r="AH67" s="2238"/>
    </row>
    <row r="68" spans="1:40" ht="13.1">
      <c r="C68" s="6"/>
      <c r="E68" s="6"/>
      <c r="AB68" s="5"/>
      <c r="AC68" s="5"/>
      <c r="AD68" s="5"/>
      <c r="AE68" s="5"/>
      <c r="AF68" s="5"/>
    </row>
    <row r="69" spans="1:40" ht="13.1">
      <c r="A69" s="6" t="s">
        <v>134</v>
      </c>
      <c r="C69" s="6" t="s">
        <v>282</v>
      </c>
    </row>
    <row r="70" spans="1:40" ht="13.1">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1910</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1025</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24689154</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1329</v>
      </c>
      <c r="G1" s="873"/>
    </row>
    <row r="2" spans="1:7" ht="13.1">
      <c r="A2" s="399" t="s">
        <v>1035</v>
      </c>
      <c r="B2" s="352"/>
      <c r="C2" s="500"/>
      <c r="D2" s="500"/>
      <c r="E2" s="352"/>
      <c r="F2" s="501"/>
      <c r="G2" s="501"/>
    </row>
    <row r="3" spans="1:7" s="874" customFormat="1" ht="80.349999999999994" customHeight="1">
      <c r="A3" s="512"/>
      <c r="B3" s="502" t="s">
        <v>1034</v>
      </c>
      <c r="C3" s="502" t="s">
        <v>1272</v>
      </c>
      <c r="D3" s="502" t="s">
        <v>1037</v>
      </c>
      <c r="E3" s="502" t="s">
        <v>1038</v>
      </c>
      <c r="F3" s="496" t="s">
        <v>1036</v>
      </c>
      <c r="G3" s="502"/>
    </row>
    <row r="4" spans="1:7" s="876" customFormat="1" ht="13.1">
      <c r="A4" s="1442" t="s">
        <v>380</v>
      </c>
      <c r="B4" s="503"/>
      <c r="C4" s="503"/>
      <c r="D4" s="503"/>
      <c r="E4" s="503"/>
      <c r="F4" s="503"/>
      <c r="G4" s="503"/>
    </row>
    <row r="5" spans="1:7" s="876" customFormat="1" ht="12.6">
      <c r="A5" s="1443" t="s">
        <v>1039</v>
      </c>
      <c r="B5" s="505">
        <f>'Sources and Uses Budget'!C4</f>
        <v>492000</v>
      </c>
      <c r="C5" s="505">
        <f>'Sources and Uses Budget'!C4</f>
        <v>492000</v>
      </c>
      <c r="D5" s="505">
        <f>'Sources and Uses Budget'!C4</f>
        <v>492000</v>
      </c>
      <c r="E5" s="507">
        <f>C5-B5</f>
        <v>0</v>
      </c>
      <c r="F5" s="506"/>
      <c r="G5" s="506"/>
    </row>
    <row r="6" spans="1:7" s="876" customFormat="1" ht="12.6">
      <c r="A6" s="1443" t="s">
        <v>1040</v>
      </c>
      <c r="B6" s="505">
        <f>'Sources and Uses Budget'!C5</f>
        <v>0</v>
      </c>
      <c r="C6" s="505">
        <f>'Sources and Uses Budget'!C5</f>
        <v>0</v>
      </c>
      <c r="D6" s="505">
        <f>'Sources and Uses Budget'!C5</f>
        <v>0</v>
      </c>
      <c r="E6" s="507">
        <f t="shared" ref="E6:E73" si="0">C6-B6</f>
        <v>0</v>
      </c>
      <c r="F6" s="506"/>
      <c r="G6" s="506"/>
    </row>
    <row r="7" spans="1:7" s="876" customFormat="1" ht="12.6">
      <c r="A7" s="1443" t="s">
        <v>381</v>
      </c>
      <c r="B7" s="505">
        <f>'Sources and Uses Budget'!C6</f>
        <v>5000</v>
      </c>
      <c r="C7" s="505">
        <f>'Sources and Uses Budget'!C6</f>
        <v>5000</v>
      </c>
      <c r="D7" s="505">
        <f>'Sources and Uses Budget'!C6</f>
        <v>5000</v>
      </c>
      <c r="E7" s="507">
        <f t="shared" si="0"/>
        <v>0</v>
      </c>
      <c r="F7" s="506"/>
      <c r="G7" s="506"/>
    </row>
    <row r="8" spans="1:7" s="876" customFormat="1" ht="12.6">
      <c r="A8" s="1443" t="s">
        <v>309</v>
      </c>
      <c r="B8" s="505">
        <f>'Sources and Uses Budget'!C7</f>
        <v>0</v>
      </c>
      <c r="C8" s="505">
        <f>'Sources and Uses Budget'!C7</f>
        <v>0</v>
      </c>
      <c r="D8" s="505">
        <f>'Sources and Uses Budget'!C7</f>
        <v>0</v>
      </c>
      <c r="E8" s="507">
        <f t="shared" si="0"/>
        <v>0</v>
      </c>
      <c r="F8" s="506"/>
      <c r="G8" s="506"/>
    </row>
    <row r="9" spans="1:7" s="876" customFormat="1" ht="12.6">
      <c r="A9" s="1444" t="s">
        <v>1041</v>
      </c>
      <c r="B9" s="507">
        <f>SUM(B5:B8)</f>
        <v>497000</v>
      </c>
      <c r="C9" s="507">
        <f>SUM(C5:C8)</f>
        <v>497000</v>
      </c>
      <c r="D9" s="507">
        <f>SUM(D5:D8)</f>
        <v>497000</v>
      </c>
      <c r="E9" s="507">
        <f t="shared" si="0"/>
        <v>0</v>
      </c>
      <c r="F9" s="506"/>
      <c r="G9" s="506"/>
    </row>
    <row r="10" spans="1:7" s="876" customFormat="1" ht="12.6">
      <c r="A10" s="1443" t="s">
        <v>641</v>
      </c>
      <c r="B10" s="505">
        <f>'Sources and Uses Budget'!C9</f>
        <v>0</v>
      </c>
      <c r="C10" s="505">
        <f>'Sources and Uses Budget'!C9</f>
        <v>0</v>
      </c>
      <c r="D10" s="505">
        <f>'Sources and Uses Budget'!C9</f>
        <v>0</v>
      </c>
      <c r="E10" s="507">
        <f t="shared" si="0"/>
        <v>0</v>
      </c>
      <c r="F10" s="506"/>
      <c r="G10" s="506"/>
    </row>
    <row r="11" spans="1:7" s="876" customFormat="1" ht="12.6">
      <c r="A11" s="1443" t="s">
        <v>1042</v>
      </c>
      <c r="B11" s="505">
        <f>'Sources and Uses Budget'!C10</f>
        <v>0</v>
      </c>
      <c r="C11" s="505">
        <f>'Sources and Uses Budget'!C10</f>
        <v>0</v>
      </c>
      <c r="D11" s="505">
        <f>'Sources and Uses Budget'!C10</f>
        <v>0</v>
      </c>
      <c r="E11" s="507">
        <f t="shared" si="0"/>
        <v>0</v>
      </c>
      <c r="F11" s="506"/>
      <c r="G11" s="506"/>
    </row>
    <row r="12" spans="1:7" s="876" customFormat="1" ht="12.6">
      <c r="A12" s="1444" t="s">
        <v>642</v>
      </c>
      <c r="B12" s="507">
        <f>SUM(B10:B11)</f>
        <v>0</v>
      </c>
      <c r="C12" s="507">
        <f>SUM(C10:C11)</f>
        <v>0</v>
      </c>
      <c r="D12" s="507">
        <f>SUM(D10:D11)</f>
        <v>0</v>
      </c>
      <c r="E12" s="507">
        <f t="shared" si="0"/>
        <v>0</v>
      </c>
      <c r="F12" s="506"/>
      <c r="G12" s="506"/>
    </row>
    <row r="13" spans="1:7" s="876" customFormat="1" ht="12.6">
      <c r="A13" s="1444" t="s">
        <v>773</v>
      </c>
      <c r="B13" s="507">
        <f>SUM(B9+B12)</f>
        <v>497000</v>
      </c>
      <c r="C13" s="507">
        <f>SUM(C9+C12)</f>
        <v>497000</v>
      </c>
      <c r="D13" s="507">
        <f>SUM(D9+D12)</f>
        <v>497000</v>
      </c>
      <c r="E13" s="507">
        <f t="shared" si="0"/>
        <v>0</v>
      </c>
      <c r="F13" s="506"/>
      <c r="G13" s="506"/>
    </row>
    <row r="14" spans="1:7" s="876" customFormat="1" ht="12.6">
      <c r="A14" s="1445" t="s">
        <v>1198</v>
      </c>
      <c r="B14" s="505">
        <f>'Sources and Uses Budget'!C13</f>
        <v>0</v>
      </c>
      <c r="C14" s="505">
        <f>'Sources and Uses Budget'!C13</f>
        <v>0</v>
      </c>
      <c r="D14" s="505">
        <f>'Sources and Uses Budget'!C13</f>
        <v>0</v>
      </c>
      <c r="E14" s="507">
        <f t="shared" si="0"/>
        <v>0</v>
      </c>
      <c r="F14" s="506"/>
      <c r="G14" s="506"/>
    </row>
    <row r="15" spans="1:7" s="876" customFormat="1" ht="23.2">
      <c r="A15" s="1446" t="s">
        <v>1233</v>
      </c>
      <c r="B15" s="505">
        <f>'Sources and Uses Budget'!C14</f>
        <v>0</v>
      </c>
      <c r="C15" s="505">
        <f>'Sources and Uses Budget'!C14</f>
        <v>0</v>
      </c>
      <c r="D15" s="505">
        <f>'Sources and Uses Budget'!C14</f>
        <v>0</v>
      </c>
      <c r="E15" s="507">
        <f t="shared" si="0"/>
        <v>0</v>
      </c>
      <c r="F15" s="506"/>
      <c r="G15" s="506"/>
    </row>
    <row r="16" spans="1:7" s="876" customFormat="1" ht="12.6">
      <c r="A16" s="1446" t="s">
        <v>1840</v>
      </c>
      <c r="B16" s="505">
        <f>'Sources and Uses Budget'!C15</f>
        <v>0</v>
      </c>
      <c r="C16" s="505">
        <f>'Sources and Uses Budget'!C15</f>
        <v>0</v>
      </c>
      <c r="D16" s="505">
        <f>'Sources and Uses Budget'!C15</f>
        <v>0</v>
      </c>
      <c r="E16" s="507">
        <f t="shared" si="0"/>
        <v>0</v>
      </c>
      <c r="F16" s="506"/>
      <c r="G16" s="506"/>
    </row>
    <row r="17" spans="1:7" s="876" customFormat="1" ht="13.1">
      <c r="A17" s="1442" t="s">
        <v>992</v>
      </c>
      <c r="B17" s="503"/>
      <c r="C17" s="503"/>
      <c r="D17" s="503"/>
      <c r="E17" s="503"/>
      <c r="F17" s="503"/>
      <c r="G17" s="503"/>
    </row>
    <row r="18" spans="1:7" s="876" customFormat="1" ht="12.6">
      <c r="A18" s="369" t="s">
        <v>993</v>
      </c>
      <c r="B18" s="505">
        <f>'Sources and Uses Budget'!C17</f>
        <v>0</v>
      </c>
      <c r="C18" s="505">
        <f>'Sources and Uses Budget'!C17</f>
        <v>0</v>
      </c>
      <c r="D18" s="505">
        <f>'Sources and Uses Budget'!C17</f>
        <v>0</v>
      </c>
      <c r="E18" s="507">
        <f t="shared" si="0"/>
        <v>0</v>
      </c>
      <c r="F18" s="506"/>
      <c r="G18" s="506"/>
    </row>
    <row r="19" spans="1:7" s="876" customFormat="1" ht="12.6">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6">
      <c r="A20" s="369" t="s">
        <v>995</v>
      </c>
      <c r="B20" s="505">
        <f>'Sources and Uses Budget'!C19</f>
        <v>0</v>
      </c>
      <c r="C20" s="505">
        <f>'Sources and Uses Budget'!C19</f>
        <v>0</v>
      </c>
      <c r="D20" s="505">
        <f>'Sources and Uses Budget'!C19</f>
        <v>0</v>
      </c>
      <c r="E20" s="507">
        <f t="shared" si="1"/>
        <v>0</v>
      </c>
      <c r="F20" s="506"/>
      <c r="G20" s="506"/>
    </row>
    <row r="21" spans="1:7" s="876" customFormat="1" ht="12.6">
      <c r="A21" s="369" t="s">
        <v>996</v>
      </c>
      <c r="B21" s="505">
        <f>'Sources and Uses Budget'!C20</f>
        <v>0</v>
      </c>
      <c r="C21" s="505">
        <f>'Sources and Uses Budget'!C20</f>
        <v>0</v>
      </c>
      <c r="D21" s="505">
        <f>'Sources and Uses Budget'!C20</f>
        <v>0</v>
      </c>
      <c r="E21" s="507">
        <f t="shared" si="1"/>
        <v>0</v>
      </c>
      <c r="F21" s="506"/>
      <c r="G21" s="506"/>
    </row>
    <row r="22" spans="1:7" s="876" customFormat="1" ht="12.6">
      <c r="A22" s="369" t="s">
        <v>997</v>
      </c>
      <c r="B22" s="505">
        <f>'Sources and Uses Budget'!C21</f>
        <v>0</v>
      </c>
      <c r="C22" s="505">
        <f>'Sources and Uses Budget'!C21</f>
        <v>0</v>
      </c>
      <c r="D22" s="505">
        <f>'Sources and Uses Budget'!C21</f>
        <v>0</v>
      </c>
      <c r="E22" s="507">
        <f t="shared" si="1"/>
        <v>0</v>
      </c>
      <c r="F22" s="506"/>
      <c r="G22" s="506"/>
    </row>
    <row r="23" spans="1:7" s="876" customFormat="1" ht="12.6">
      <c r="A23" s="369" t="s">
        <v>998</v>
      </c>
      <c r="B23" s="505">
        <f>'Sources and Uses Budget'!C22</f>
        <v>0</v>
      </c>
      <c r="C23" s="505">
        <f>'Sources and Uses Budget'!C22</f>
        <v>0</v>
      </c>
      <c r="D23" s="505">
        <f>'Sources and Uses Budget'!C22</f>
        <v>0</v>
      </c>
      <c r="E23" s="507">
        <f t="shared" si="1"/>
        <v>0</v>
      </c>
      <c r="F23" s="506"/>
      <c r="G23" s="506"/>
    </row>
    <row r="24" spans="1:7" s="876" customFormat="1" ht="12.6">
      <c r="A24" s="369" t="s">
        <v>999</v>
      </c>
      <c r="B24" s="505">
        <f>'Sources and Uses Budget'!C23</f>
        <v>0</v>
      </c>
      <c r="C24" s="505">
        <f>'Sources and Uses Budget'!C23</f>
        <v>0</v>
      </c>
      <c r="D24" s="505">
        <f>'Sources and Uses Budget'!C23</f>
        <v>0</v>
      </c>
      <c r="E24" s="507">
        <f t="shared" si="1"/>
        <v>0</v>
      </c>
      <c r="F24" s="506"/>
      <c r="G24" s="506"/>
    </row>
    <row r="25" spans="1:7" s="876" customFormat="1" ht="12.6">
      <c r="A25" s="380" t="s">
        <v>2164</v>
      </c>
      <c r="B25" s="505">
        <f>'Sources and Uses Budget'!C24</f>
        <v>0</v>
      </c>
      <c r="C25" s="505">
        <f>'Sources and Uses Budget'!C24</f>
        <v>0</v>
      </c>
      <c r="D25" s="505">
        <f>'Sources and Uses Budget'!C24</f>
        <v>0</v>
      </c>
      <c r="E25" s="507">
        <f t="shared" si="1"/>
        <v>0</v>
      </c>
      <c r="F25" s="506"/>
      <c r="G25" s="506"/>
    </row>
    <row r="26" spans="1:7" s="876" customFormat="1" ht="12.6">
      <c r="A26" s="380" t="s">
        <v>588</v>
      </c>
      <c r="B26" s="505">
        <f>'Sources and Uses Budget'!C25</f>
        <v>0</v>
      </c>
      <c r="C26" s="505">
        <f>'Sources and Uses Budget'!C25</f>
        <v>0</v>
      </c>
      <c r="D26" s="505">
        <f>'Sources and Uses Budget'!C25</f>
        <v>0</v>
      </c>
      <c r="E26" s="507">
        <f t="shared" si="1"/>
        <v>0</v>
      </c>
      <c r="F26" s="506"/>
      <c r="G26" s="506"/>
    </row>
    <row r="27" spans="1:7" s="876" customFormat="1" ht="13.1">
      <c r="A27" s="508" t="s">
        <v>247</v>
      </c>
      <c r="B27" s="1454">
        <f>'Sources and Uses Budget'!C26</f>
        <v>0</v>
      </c>
      <c r="C27" s="1454">
        <f>'Sources and Uses Budget'!C26</f>
        <v>0</v>
      </c>
      <c r="D27" s="1454">
        <f>'Sources and Uses Budget'!C26</f>
        <v>0</v>
      </c>
      <c r="E27" s="507">
        <f>C27-B27</f>
        <v>0</v>
      </c>
      <c r="F27" s="506"/>
      <c r="G27" s="506"/>
    </row>
    <row r="28" spans="1:7" s="876" customFormat="1" ht="13.1">
      <c r="A28" s="1447" t="s">
        <v>1000</v>
      </c>
      <c r="B28" s="505">
        <f>'Sources and Uses Budget'!C27</f>
        <v>0</v>
      </c>
      <c r="C28" s="505">
        <f>'Sources and Uses Budget'!C27</f>
        <v>0</v>
      </c>
      <c r="D28" s="505">
        <f>'Sources and Uses Budget'!C27</f>
        <v>0</v>
      </c>
      <c r="E28" s="507">
        <f>C28-B28</f>
        <v>0</v>
      </c>
      <c r="F28" s="506"/>
      <c r="G28" s="506"/>
    </row>
    <row r="29" spans="1:7" s="876" customFormat="1" ht="13.1">
      <c r="A29" s="1442" t="s">
        <v>1001</v>
      </c>
      <c r="B29" s="503"/>
      <c r="C29" s="503"/>
      <c r="D29" s="503"/>
      <c r="E29" s="503"/>
      <c r="F29" s="503"/>
      <c r="G29" s="503"/>
    </row>
    <row r="30" spans="1:7" s="876" customFormat="1" ht="12.6">
      <c r="A30" s="369" t="s">
        <v>993</v>
      </c>
      <c r="B30" s="505">
        <f>'Sources and Uses Budget'!C29</f>
        <v>1680000</v>
      </c>
      <c r="C30" s="505">
        <f>'Sources and Uses Budget'!C29</f>
        <v>1680000</v>
      </c>
      <c r="D30" s="505">
        <f>'Sources and Uses Budget'!C29</f>
        <v>1680000</v>
      </c>
      <c r="E30" s="507">
        <f t="shared" si="0"/>
        <v>0</v>
      </c>
      <c r="F30" s="506"/>
      <c r="G30" s="506"/>
    </row>
    <row r="31" spans="1:7" s="876" customFormat="1" ht="12.6">
      <c r="A31" s="369" t="s">
        <v>994</v>
      </c>
      <c r="B31" s="505">
        <f>'Sources and Uses Budget'!C30</f>
        <v>13360200</v>
      </c>
      <c r="C31" s="505">
        <f>'Sources and Uses Budget'!C30</f>
        <v>13360200</v>
      </c>
      <c r="D31" s="505">
        <f>'Sources and Uses Budget'!C30</f>
        <v>13360200</v>
      </c>
      <c r="E31" s="507">
        <f t="shared" si="0"/>
        <v>0</v>
      </c>
      <c r="F31" s="506"/>
      <c r="G31" s="506"/>
    </row>
    <row r="32" spans="1:7" s="876" customFormat="1" ht="12.6">
      <c r="A32" s="369" t="s">
        <v>995</v>
      </c>
      <c r="B32" s="505">
        <f>'Sources and Uses Budget'!C31</f>
        <v>902412</v>
      </c>
      <c r="C32" s="505">
        <f>'Sources and Uses Budget'!C31</f>
        <v>902412</v>
      </c>
      <c r="D32" s="505">
        <f>'Sources and Uses Budget'!C31</f>
        <v>902412</v>
      </c>
      <c r="E32" s="507">
        <f t="shared" si="0"/>
        <v>0</v>
      </c>
      <c r="F32" s="506"/>
      <c r="G32" s="506"/>
    </row>
    <row r="33" spans="1:7" s="876" customFormat="1" ht="12.6">
      <c r="A33" s="369" t="s">
        <v>996</v>
      </c>
      <c r="B33" s="505">
        <f>'Sources and Uses Budget'!C32</f>
        <v>300804</v>
      </c>
      <c r="C33" s="505">
        <f>'Sources and Uses Budget'!C32</f>
        <v>300804</v>
      </c>
      <c r="D33" s="505">
        <f>'Sources and Uses Budget'!C32</f>
        <v>300804</v>
      </c>
      <c r="E33" s="507">
        <f t="shared" si="0"/>
        <v>0</v>
      </c>
      <c r="F33" s="506"/>
      <c r="G33" s="506"/>
    </row>
    <row r="34" spans="1:7" s="876" customFormat="1" ht="12.6">
      <c r="A34" s="369" t="s">
        <v>997</v>
      </c>
      <c r="B34" s="505">
        <f>'Sources and Uses Budget'!C33</f>
        <v>902412</v>
      </c>
      <c r="C34" s="505">
        <f>'Sources and Uses Budget'!C33</f>
        <v>902412</v>
      </c>
      <c r="D34" s="505">
        <f>'Sources and Uses Budget'!C33</f>
        <v>902412</v>
      </c>
      <c r="E34" s="507">
        <f t="shared" si="0"/>
        <v>0</v>
      </c>
      <c r="F34" s="506"/>
      <c r="G34" s="506"/>
    </row>
    <row r="35" spans="1:7" s="876" customFormat="1" ht="12.6">
      <c r="A35" s="369" t="s">
        <v>998</v>
      </c>
      <c r="B35" s="505">
        <f>'Sources and Uses Budget'!C34</f>
        <v>0</v>
      </c>
      <c r="C35" s="505">
        <f>'Sources and Uses Budget'!C34</f>
        <v>0</v>
      </c>
      <c r="D35" s="505">
        <f>'Sources and Uses Budget'!C34</f>
        <v>0</v>
      </c>
      <c r="E35" s="507">
        <f t="shared" si="0"/>
        <v>0</v>
      </c>
      <c r="F35" s="506"/>
      <c r="G35" s="506"/>
    </row>
    <row r="36" spans="1:7" s="876" customFormat="1" ht="12.6">
      <c r="A36" s="369" t="s">
        <v>999</v>
      </c>
      <c r="B36" s="505">
        <f>'Sources and Uses Budget'!C35</f>
        <v>140000</v>
      </c>
      <c r="C36" s="505">
        <f>'Sources and Uses Budget'!C35</f>
        <v>140000</v>
      </c>
      <c r="D36" s="505">
        <f>'Sources and Uses Budget'!C35</f>
        <v>140000</v>
      </c>
      <c r="E36" s="507">
        <f t="shared" si="0"/>
        <v>0</v>
      </c>
      <c r="F36" s="506"/>
      <c r="G36" s="506"/>
    </row>
    <row r="37" spans="1:7" s="876" customFormat="1" ht="12.6">
      <c r="A37" s="700" t="s">
        <v>2164</v>
      </c>
      <c r="B37" s="505">
        <f>'Sources and Uses Budget'!C36</f>
        <v>0</v>
      </c>
      <c r="C37" s="505">
        <f>'Sources and Uses Budget'!C36</f>
        <v>0</v>
      </c>
      <c r="D37" s="505">
        <f>'Sources and Uses Budget'!C36</f>
        <v>0</v>
      </c>
      <c r="E37" s="507">
        <f t="shared" si="0"/>
        <v>0</v>
      </c>
      <c r="F37" s="506"/>
      <c r="G37" s="506"/>
    </row>
    <row r="38" spans="1:7" s="876" customFormat="1" ht="12.6">
      <c r="A38" s="380" t="s">
        <v>588</v>
      </c>
      <c r="B38" s="505">
        <f>'Sources and Uses Budget'!C37</f>
        <v>0</v>
      </c>
      <c r="C38" s="505">
        <f>'Sources and Uses Budget'!C37</f>
        <v>0</v>
      </c>
      <c r="D38" s="505">
        <f>'Sources and Uses Budget'!C37</f>
        <v>0</v>
      </c>
      <c r="E38" s="507">
        <f>C38-B38</f>
        <v>0</v>
      </c>
      <c r="F38" s="506"/>
      <c r="G38" s="506"/>
    </row>
    <row r="39" spans="1:7" s="876" customFormat="1" ht="13.1">
      <c r="A39" s="1447" t="s">
        <v>1002</v>
      </c>
      <c r="B39" s="1454">
        <f>'Sources and Uses Budget'!C38</f>
        <v>17285828</v>
      </c>
      <c r="C39" s="1454">
        <f>'Sources and Uses Budget'!C38</f>
        <v>17285828</v>
      </c>
      <c r="D39" s="1454">
        <f>'Sources and Uses Budget'!C38</f>
        <v>17285828</v>
      </c>
      <c r="E39" s="507">
        <f>C39-B39</f>
        <v>0</v>
      </c>
      <c r="F39" s="506"/>
      <c r="G39" s="506"/>
    </row>
    <row r="40" spans="1:7" s="876" customFormat="1" ht="13.1">
      <c r="A40" s="1442" t="s">
        <v>1003</v>
      </c>
      <c r="B40" s="503"/>
      <c r="C40" s="503"/>
      <c r="D40" s="503"/>
      <c r="E40" s="503"/>
      <c r="F40" s="503"/>
      <c r="G40" s="503"/>
    </row>
    <row r="41" spans="1:7" s="876" customFormat="1" ht="12.6">
      <c r="A41" s="1448" t="s">
        <v>1004</v>
      </c>
      <c r="B41" s="505">
        <f>'Sources and Uses Budget'!C40</f>
        <v>350000</v>
      </c>
      <c r="C41" s="505">
        <f>'Sources and Uses Budget'!C40</f>
        <v>350000</v>
      </c>
      <c r="D41" s="505">
        <f>'Sources and Uses Budget'!C40</f>
        <v>350000</v>
      </c>
      <c r="E41" s="507">
        <f>C41-B41</f>
        <v>0</v>
      </c>
      <c r="F41" s="506"/>
      <c r="G41" s="506"/>
    </row>
    <row r="42" spans="1:7" s="876" customFormat="1" ht="12.6">
      <c r="A42" s="1448" t="s">
        <v>1005</v>
      </c>
      <c r="B42" s="505">
        <f>'Sources and Uses Budget'!C41</f>
        <v>50000</v>
      </c>
      <c r="C42" s="505">
        <f>'Sources and Uses Budget'!C41</f>
        <v>50000</v>
      </c>
      <c r="D42" s="505">
        <f>'Sources and Uses Budget'!C41</f>
        <v>50000</v>
      </c>
      <c r="E42" s="507">
        <f>C42-B42</f>
        <v>0</v>
      </c>
      <c r="F42" s="506"/>
      <c r="G42" s="506"/>
    </row>
    <row r="43" spans="1:7" s="876" customFormat="1" ht="12" customHeight="1">
      <c r="A43" s="1447" t="s">
        <v>1006</v>
      </c>
      <c r="B43" s="1454">
        <f>'Sources and Uses Budget'!C42</f>
        <v>400000</v>
      </c>
      <c r="C43" s="1454">
        <f>'Sources and Uses Budget'!C42</f>
        <v>400000</v>
      </c>
      <c r="D43" s="1454">
        <f>'Sources and Uses Budget'!C42</f>
        <v>400000</v>
      </c>
      <c r="E43" s="507">
        <f>C43-B43</f>
        <v>0</v>
      </c>
      <c r="F43" s="506"/>
      <c r="G43" s="506"/>
    </row>
    <row r="44" spans="1:7" s="876" customFormat="1" ht="13.1">
      <c r="A44" s="1447" t="s">
        <v>1007</v>
      </c>
      <c r="B44" s="505">
        <f>'Sources and Uses Budget'!C43</f>
        <v>195000</v>
      </c>
      <c r="C44" s="505">
        <f>'Sources and Uses Budget'!C43</f>
        <v>195000</v>
      </c>
      <c r="D44" s="505">
        <f>'Sources and Uses Budget'!C43</f>
        <v>195000</v>
      </c>
      <c r="E44" s="507">
        <f>C44-B44</f>
        <v>0</v>
      </c>
      <c r="F44" s="506"/>
      <c r="G44" s="506"/>
    </row>
    <row r="45" spans="1:7" s="876" customFormat="1" ht="13.1">
      <c r="A45" s="365" t="s">
        <v>1008</v>
      </c>
      <c r="B45" s="503"/>
      <c r="C45" s="503"/>
      <c r="D45" s="503"/>
      <c r="E45" s="503"/>
      <c r="F45" s="503"/>
      <c r="G45" s="503"/>
    </row>
    <row r="46" spans="1:7" s="876" customFormat="1" ht="12" customHeight="1">
      <c r="A46" s="369" t="s">
        <v>1009</v>
      </c>
      <c r="B46" s="505">
        <f>'Sources and Uses Budget'!C45</f>
        <v>245000</v>
      </c>
      <c r="C46" s="505">
        <f>'Sources and Uses Budget'!C45</f>
        <v>245000</v>
      </c>
      <c r="D46" s="505">
        <f>'Sources and Uses Budget'!C45</f>
        <v>245000</v>
      </c>
      <c r="E46" s="507">
        <f t="shared" si="0"/>
        <v>0</v>
      </c>
      <c r="F46" s="506"/>
      <c r="G46" s="506"/>
    </row>
    <row r="47" spans="1:7" s="876" customFormat="1" ht="12.6">
      <c r="A47" s="369" t="s">
        <v>1010</v>
      </c>
      <c r="B47" s="505">
        <f>'Sources and Uses Budget'!C46</f>
        <v>122000</v>
      </c>
      <c r="C47" s="505">
        <f>'Sources and Uses Budget'!C46</f>
        <v>122000</v>
      </c>
      <c r="D47" s="505">
        <f>'Sources and Uses Budget'!C46</f>
        <v>122000</v>
      </c>
      <c r="E47" s="507">
        <f t="shared" si="0"/>
        <v>0</v>
      </c>
      <c r="F47" s="506"/>
      <c r="G47" s="506"/>
    </row>
    <row r="48" spans="1:7" s="876" customFormat="1" ht="12.6">
      <c r="A48" s="369" t="s">
        <v>1011</v>
      </c>
      <c r="B48" s="505">
        <f>'Sources and Uses Budget'!C47</f>
        <v>0</v>
      </c>
      <c r="C48" s="505">
        <f>'Sources and Uses Budget'!C47</f>
        <v>0</v>
      </c>
      <c r="D48" s="505">
        <f>'Sources and Uses Budget'!C47</f>
        <v>0</v>
      </c>
      <c r="E48" s="507">
        <f t="shared" si="0"/>
        <v>0</v>
      </c>
      <c r="F48" s="506"/>
      <c r="G48" s="506"/>
    </row>
    <row r="49" spans="1:7" s="876" customFormat="1" ht="12.6">
      <c r="A49" s="369" t="s">
        <v>1012</v>
      </c>
      <c r="B49" s="505">
        <f>'Sources and Uses Budget'!C48</f>
        <v>0</v>
      </c>
      <c r="C49" s="505">
        <f>'Sources and Uses Budget'!C48</f>
        <v>0</v>
      </c>
      <c r="D49" s="505">
        <f>'Sources and Uses Budget'!C48</f>
        <v>0</v>
      </c>
      <c r="E49" s="507">
        <f t="shared" si="0"/>
        <v>0</v>
      </c>
      <c r="F49" s="506"/>
      <c r="G49" s="506"/>
    </row>
    <row r="50" spans="1:7" s="876" customFormat="1" ht="12.6">
      <c r="A50" s="369" t="s">
        <v>1015</v>
      </c>
      <c r="B50" s="505">
        <f>'Sources and Uses Budget'!C49</f>
        <v>50000</v>
      </c>
      <c r="C50" s="505">
        <f>'Sources and Uses Budget'!C49</f>
        <v>50000</v>
      </c>
      <c r="D50" s="505">
        <f>'Sources and Uses Budget'!C49</f>
        <v>50000</v>
      </c>
      <c r="E50" s="507">
        <f t="shared" si="0"/>
        <v>0</v>
      </c>
      <c r="F50" s="506"/>
      <c r="G50" s="506"/>
    </row>
    <row r="51" spans="1:7" s="876" customFormat="1" ht="12.6">
      <c r="A51" s="369" t="s">
        <v>1013</v>
      </c>
      <c r="B51" s="505">
        <f>'Sources and Uses Budget'!C50</f>
        <v>10000</v>
      </c>
      <c r="C51" s="505">
        <f>'Sources and Uses Budget'!C50</f>
        <v>10000</v>
      </c>
      <c r="D51" s="505">
        <f>'Sources and Uses Budget'!C50</f>
        <v>10000</v>
      </c>
      <c r="E51" s="507">
        <f t="shared" si="0"/>
        <v>0</v>
      </c>
      <c r="F51" s="506"/>
      <c r="G51" s="506"/>
    </row>
    <row r="52" spans="1:7" s="877" customFormat="1" ht="13.1">
      <c r="A52" s="369" t="s">
        <v>1014</v>
      </c>
      <c r="B52" s="505">
        <f>'Sources and Uses Budget'!C51</f>
        <v>130100</v>
      </c>
      <c r="C52" s="505">
        <f>'Sources and Uses Budget'!C51</f>
        <v>130100</v>
      </c>
      <c r="D52" s="505">
        <f>'Sources and Uses Budget'!C51</f>
        <v>130100</v>
      </c>
      <c r="E52" s="507">
        <f t="shared" si="0"/>
        <v>0</v>
      </c>
      <c r="F52" s="506"/>
      <c r="G52" s="506"/>
    </row>
    <row r="53" spans="1:7" s="876" customFormat="1" ht="12.6">
      <c r="A53" s="376" t="s">
        <v>588</v>
      </c>
      <c r="B53" s="505">
        <f>'Sources and Uses Budget'!C52</f>
        <v>80000</v>
      </c>
      <c r="C53" s="505">
        <f>'Sources and Uses Budget'!C52</f>
        <v>80000</v>
      </c>
      <c r="D53" s="505">
        <f>'Sources and Uses Budget'!C52</f>
        <v>80000</v>
      </c>
      <c r="E53" s="507">
        <f t="shared" si="0"/>
        <v>0</v>
      </c>
      <c r="F53" s="506"/>
      <c r="G53" s="506"/>
    </row>
    <row r="54" spans="1:7" s="876" customFormat="1" ht="12.6">
      <c r="A54" s="373" t="s">
        <v>1016</v>
      </c>
      <c r="B54" s="1454">
        <f>'Sources and Uses Budget'!C53</f>
        <v>637100</v>
      </c>
      <c r="C54" s="1454">
        <f>'Sources and Uses Budget'!C53</f>
        <v>637100</v>
      </c>
      <c r="D54" s="1454">
        <f>'Sources and Uses Budget'!C53</f>
        <v>637100</v>
      </c>
      <c r="E54" s="507">
        <f t="shared" si="0"/>
        <v>0</v>
      </c>
      <c r="F54" s="506"/>
      <c r="G54" s="506"/>
    </row>
    <row r="55" spans="1:7" s="876" customFormat="1" ht="12" customHeight="1">
      <c r="A55" s="1442" t="s">
        <v>744</v>
      </c>
      <c r="B55" s="503"/>
      <c r="C55" s="503"/>
      <c r="D55" s="503"/>
      <c r="E55" s="503"/>
      <c r="F55" s="503"/>
      <c r="G55" s="503"/>
    </row>
    <row r="56" spans="1:7" s="876" customFormat="1" ht="12.6">
      <c r="A56" s="1448" t="s">
        <v>1017</v>
      </c>
      <c r="B56" s="505">
        <f>'Sources and Uses Budget'!C55</f>
        <v>17500</v>
      </c>
      <c r="C56" s="505">
        <f>'Sources and Uses Budget'!C55</f>
        <v>17500</v>
      </c>
      <c r="D56" s="505">
        <f>'Sources and Uses Budget'!C55</f>
        <v>17500</v>
      </c>
      <c r="E56" s="507">
        <f t="shared" si="0"/>
        <v>0</v>
      </c>
      <c r="F56" s="506"/>
      <c r="G56" s="506"/>
    </row>
    <row r="57" spans="1:7" s="876" customFormat="1" ht="12.6">
      <c r="A57" s="1448" t="s">
        <v>1011</v>
      </c>
      <c r="B57" s="505">
        <f>'Sources and Uses Budget'!C56</f>
        <v>15000</v>
      </c>
      <c r="C57" s="505">
        <f>'Sources and Uses Budget'!C56</f>
        <v>15000</v>
      </c>
      <c r="D57" s="505">
        <f>'Sources and Uses Budget'!C56</f>
        <v>15000</v>
      </c>
      <c r="E57" s="507">
        <f t="shared" si="0"/>
        <v>0</v>
      </c>
      <c r="F57" s="506"/>
      <c r="G57" s="506"/>
    </row>
    <row r="58" spans="1:7" s="876" customFormat="1" ht="12.6">
      <c r="A58" s="1448" t="s">
        <v>1015</v>
      </c>
      <c r="B58" s="505">
        <f>'Sources and Uses Budget'!C57</f>
        <v>10000</v>
      </c>
      <c r="C58" s="505">
        <f>'Sources and Uses Budget'!C57</f>
        <v>10000</v>
      </c>
      <c r="D58" s="505">
        <f>'Sources and Uses Budget'!C57</f>
        <v>10000</v>
      </c>
      <c r="E58" s="507">
        <f t="shared" si="0"/>
        <v>0</v>
      </c>
      <c r="F58" s="506"/>
      <c r="G58" s="506"/>
    </row>
    <row r="59" spans="1:7" s="876" customFormat="1" ht="12.6">
      <c r="A59" s="1448" t="s">
        <v>1013</v>
      </c>
      <c r="B59" s="505">
        <f>'Sources and Uses Budget'!C58</f>
        <v>0</v>
      </c>
      <c r="C59" s="505">
        <f>'Sources and Uses Budget'!C58</f>
        <v>0</v>
      </c>
      <c r="D59" s="505">
        <f>'Sources and Uses Budget'!C58</f>
        <v>0</v>
      </c>
      <c r="E59" s="507">
        <f t="shared" si="0"/>
        <v>0</v>
      </c>
      <c r="F59" s="506"/>
      <c r="G59" s="506"/>
    </row>
    <row r="60" spans="1:7" s="876" customFormat="1" ht="12.6">
      <c r="A60" s="1448" t="s">
        <v>1014</v>
      </c>
      <c r="B60" s="505">
        <f>'Sources and Uses Budget'!C59</f>
        <v>0</v>
      </c>
      <c r="C60" s="505">
        <f>'Sources and Uses Budget'!C59</f>
        <v>0</v>
      </c>
      <c r="D60" s="505">
        <f>'Sources and Uses Budget'!C59</f>
        <v>0</v>
      </c>
      <c r="E60" s="507">
        <f t="shared" si="0"/>
        <v>0</v>
      </c>
      <c r="F60" s="506"/>
      <c r="G60" s="506"/>
    </row>
    <row r="61" spans="1:7" s="876" customFormat="1" ht="13.8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1">
      <c r="A62" s="1447" t="s">
        <v>545</v>
      </c>
      <c r="B62" s="1454">
        <f>'Sources and Uses Budget'!C61</f>
        <v>42500</v>
      </c>
      <c r="C62" s="1454">
        <f>'Sources and Uses Budget'!C61</f>
        <v>42500</v>
      </c>
      <c r="D62" s="1454">
        <f>'Sources and Uses Budget'!C61</f>
        <v>42500</v>
      </c>
      <c r="E62" s="507">
        <f t="shared" si="0"/>
        <v>0</v>
      </c>
      <c r="F62" s="506"/>
      <c r="G62" s="506"/>
    </row>
    <row r="63" spans="1:7" s="876" customFormat="1" ht="13.1">
      <c r="A63" s="1450" t="s">
        <v>546</v>
      </c>
      <c r="B63" s="1454">
        <f>'Sources and Uses Budget'!C62</f>
        <v>19057428</v>
      </c>
      <c r="C63" s="1454">
        <f>'Sources and Uses Budget'!C62</f>
        <v>19057428</v>
      </c>
      <c r="D63" s="1454">
        <f>'Sources and Uses Budget'!C62</f>
        <v>19057428</v>
      </c>
      <c r="E63" s="507">
        <f t="shared" si="0"/>
        <v>0</v>
      </c>
      <c r="F63" s="506"/>
      <c r="G63" s="506"/>
    </row>
    <row r="64" spans="1:7" s="876" customFormat="1" ht="24.2">
      <c r="A64" s="365" t="s">
        <v>2165</v>
      </c>
      <c r="B64" s="503"/>
      <c r="C64" s="503"/>
      <c r="D64" s="503"/>
      <c r="E64" s="503"/>
      <c r="F64" s="503"/>
      <c r="G64" s="503"/>
    </row>
    <row r="65" spans="1:7" s="876" customFormat="1" ht="12.6">
      <c r="A65" s="369" t="s">
        <v>311</v>
      </c>
      <c r="B65" s="505">
        <f>'Sources and Uses Budget'!C64</f>
        <v>50000</v>
      </c>
      <c r="C65" s="505">
        <f>'Sources and Uses Budget'!C64</f>
        <v>50000</v>
      </c>
      <c r="D65" s="505">
        <f>'Sources and Uses Budget'!C64</f>
        <v>50000</v>
      </c>
      <c r="E65" s="507">
        <f t="shared" si="0"/>
        <v>0</v>
      </c>
      <c r="F65" s="506"/>
      <c r="G65" s="506"/>
    </row>
    <row r="66" spans="1:7" s="876" customFormat="1" ht="23.2">
      <c r="A66" s="369" t="s">
        <v>2166</v>
      </c>
      <c r="B66" s="505">
        <f>'Sources and Uses Budget'!C65</f>
        <v>0</v>
      </c>
      <c r="C66" s="505">
        <f>'Sources and Uses Budget'!C65</f>
        <v>0</v>
      </c>
      <c r="D66" s="505">
        <f>'Sources and Uses Budget'!C65</f>
        <v>0</v>
      </c>
      <c r="E66" s="507">
        <f t="shared" si="0"/>
        <v>0</v>
      </c>
      <c r="F66" s="506"/>
      <c r="G66" s="506"/>
    </row>
    <row r="67" spans="1:7" s="876" customFormat="1" ht="23.2">
      <c r="A67" s="369" t="s">
        <v>2167</v>
      </c>
      <c r="B67" s="505">
        <f>'Sources and Uses Budget'!C66</f>
        <v>0</v>
      </c>
      <c r="C67" s="505">
        <f>'Sources and Uses Budget'!C66</f>
        <v>0</v>
      </c>
      <c r="D67" s="505">
        <f>'Sources and Uses Budget'!C66</f>
        <v>0</v>
      </c>
      <c r="E67" s="507">
        <f t="shared" si="0"/>
        <v>0</v>
      </c>
      <c r="F67" s="506"/>
      <c r="G67" s="506"/>
    </row>
    <row r="68" spans="1:7" s="876" customFormat="1" ht="12.6">
      <c r="A68" s="369" t="s">
        <v>2168</v>
      </c>
      <c r="B68" s="505">
        <f>'Sources and Uses Budget'!C67</f>
        <v>0</v>
      </c>
      <c r="C68" s="505">
        <f>'Sources and Uses Budget'!C67</f>
        <v>0</v>
      </c>
      <c r="D68" s="505">
        <f>'Sources and Uses Budget'!C67</f>
        <v>0</v>
      </c>
      <c r="E68" s="507">
        <f t="shared" si="0"/>
        <v>0</v>
      </c>
      <c r="F68" s="506"/>
      <c r="G68" s="506"/>
    </row>
    <row r="69" spans="1:7" s="876" customFormat="1" ht="12.6">
      <c r="A69" s="380" t="s">
        <v>2234</v>
      </c>
      <c r="B69" s="505">
        <f>'Sources and Uses Budget'!C68</f>
        <v>0</v>
      </c>
      <c r="C69" s="505">
        <f>'Sources and Uses Budget'!C68</f>
        <v>0</v>
      </c>
      <c r="D69" s="505">
        <f>'Sources and Uses Budget'!C68</f>
        <v>0</v>
      </c>
      <c r="E69" s="507">
        <f t="shared" si="0"/>
        <v>0</v>
      </c>
      <c r="F69" s="506"/>
      <c r="G69" s="506"/>
    </row>
    <row r="70" spans="1:7" s="876" customFormat="1" ht="12.6">
      <c r="A70" s="373" t="s">
        <v>2169</v>
      </c>
      <c r="B70" s="1454">
        <f>'Sources and Uses Budget'!C69</f>
        <v>50000</v>
      </c>
      <c r="C70" s="1454">
        <f>'Sources and Uses Budget'!C69</f>
        <v>50000</v>
      </c>
      <c r="D70" s="1454">
        <f>'Sources and Uses Budget'!C69</f>
        <v>50000</v>
      </c>
      <c r="E70" s="507">
        <f t="shared" si="0"/>
        <v>0</v>
      </c>
      <c r="F70" s="506"/>
      <c r="G70" s="506"/>
    </row>
    <row r="71" spans="1:7" s="876" customFormat="1" ht="13.1">
      <c r="A71" s="1442" t="s">
        <v>312</v>
      </c>
      <c r="B71" s="503"/>
      <c r="C71" s="503"/>
      <c r="D71" s="503"/>
      <c r="E71" s="503"/>
      <c r="F71" s="503"/>
      <c r="G71" s="503"/>
    </row>
    <row r="72" spans="1:7" s="876" customFormat="1" ht="12.6">
      <c r="A72" s="1448" t="s">
        <v>313</v>
      </c>
      <c r="B72" s="505">
        <f>'Sources and Uses Budget'!C71</f>
        <v>120000</v>
      </c>
      <c r="C72" s="505">
        <f>'Sources and Uses Budget'!C71</f>
        <v>120000</v>
      </c>
      <c r="D72" s="505">
        <f>'Sources and Uses Budget'!C71</f>
        <v>120000</v>
      </c>
      <c r="E72" s="507">
        <f t="shared" si="0"/>
        <v>0</v>
      </c>
      <c r="F72" s="506"/>
      <c r="G72" s="506"/>
    </row>
    <row r="73" spans="1:7" s="876" customFormat="1" ht="12.6">
      <c r="A73" s="1448" t="s">
        <v>314</v>
      </c>
      <c r="B73" s="505">
        <f>'Sources and Uses Budget'!C72</f>
        <v>0</v>
      </c>
      <c r="C73" s="505">
        <f>'Sources and Uses Budget'!C72</f>
        <v>0</v>
      </c>
      <c r="D73" s="505">
        <f>'Sources and Uses Budget'!C72</f>
        <v>0</v>
      </c>
      <c r="E73" s="507">
        <f t="shared" si="0"/>
        <v>0</v>
      </c>
      <c r="F73" s="506"/>
      <c r="G73" s="506"/>
    </row>
    <row r="74" spans="1:7" s="876" customFormat="1" ht="12.6">
      <c r="A74" s="1451" t="s">
        <v>1340</v>
      </c>
      <c r="B74" s="505">
        <f>'Sources and Uses Budget'!C73</f>
        <v>0</v>
      </c>
      <c r="C74" s="505">
        <f>'Sources and Uses Budget'!C73</f>
        <v>0</v>
      </c>
      <c r="D74" s="505">
        <f>'Sources and Uses Budget'!C73</f>
        <v>0</v>
      </c>
      <c r="E74" s="507">
        <f>C74-B74</f>
        <v>0</v>
      </c>
      <c r="F74" s="506"/>
      <c r="G74" s="506"/>
    </row>
    <row r="75" spans="1:7" s="876" customFormat="1" ht="12.6">
      <c r="A75" s="1448" t="s">
        <v>315</v>
      </c>
      <c r="B75" s="505">
        <f>'Sources and Uses Budget'!C74</f>
        <v>93081</v>
      </c>
      <c r="C75" s="505">
        <f>'Sources and Uses Budget'!C74</f>
        <v>93081</v>
      </c>
      <c r="D75" s="505">
        <f>'Sources and Uses Budget'!C74</f>
        <v>93081</v>
      </c>
      <c r="E75" s="507">
        <f>C75-B75</f>
        <v>0</v>
      </c>
      <c r="F75" s="506"/>
      <c r="G75" s="506"/>
    </row>
    <row r="76" spans="1:7" s="876" customFormat="1" ht="12.6">
      <c r="A76" s="1452" t="s">
        <v>588</v>
      </c>
      <c r="B76" s="505">
        <f>'Sources and Uses Budget'!C75</f>
        <v>0</v>
      </c>
      <c r="C76" s="505">
        <f>'Sources and Uses Budget'!C75</f>
        <v>0</v>
      </c>
      <c r="D76" s="505">
        <f>'Sources and Uses Budget'!C75</f>
        <v>0</v>
      </c>
      <c r="E76" s="507">
        <f>C76-B76</f>
        <v>0</v>
      </c>
      <c r="F76" s="506"/>
      <c r="G76" s="506"/>
    </row>
    <row r="77" spans="1:7" s="876" customFormat="1" ht="13.1">
      <c r="A77" s="1447" t="s">
        <v>316</v>
      </c>
      <c r="B77" s="1454">
        <f>'Sources and Uses Budget'!C76</f>
        <v>213081</v>
      </c>
      <c r="C77" s="1454">
        <f>'Sources and Uses Budget'!C76</f>
        <v>213081</v>
      </c>
      <c r="D77" s="1454">
        <f>'Sources and Uses Budget'!C76</f>
        <v>213081</v>
      </c>
      <c r="E77" s="507">
        <f>C77-B77</f>
        <v>0</v>
      </c>
      <c r="F77" s="506"/>
      <c r="G77" s="506"/>
    </row>
    <row r="78" spans="1:7" s="876" customFormat="1" ht="13.1">
      <c r="A78" s="1442" t="s">
        <v>1908</v>
      </c>
      <c r="B78" s="503"/>
      <c r="C78" s="503"/>
      <c r="D78" s="503"/>
      <c r="E78" s="503"/>
      <c r="F78" s="503"/>
      <c r="G78" s="503"/>
    </row>
    <row r="79" spans="1:7" s="876" customFormat="1" ht="13.85" customHeight="1">
      <c r="A79" s="1448" t="s">
        <v>1906</v>
      </c>
      <c r="B79" s="505">
        <f>'Sources and Uses Budget'!C78</f>
        <v>860000</v>
      </c>
      <c r="C79" s="505">
        <f>'Sources and Uses Budget'!C78</f>
        <v>860000</v>
      </c>
      <c r="D79" s="505">
        <f>'Sources and Uses Budget'!C78</f>
        <v>860000</v>
      </c>
      <c r="E79" s="507">
        <f t="shared" ref="E79:E105" si="2">C79-B79</f>
        <v>0</v>
      </c>
      <c r="F79" s="506"/>
      <c r="G79" s="506"/>
    </row>
    <row r="80" spans="1:7" s="876" customFormat="1" ht="12.6">
      <c r="A80" s="1448" t="s">
        <v>593</v>
      </c>
      <c r="B80" s="505">
        <f>'Sources and Uses Budget'!C79</f>
        <v>300000</v>
      </c>
      <c r="C80" s="505">
        <f>'Sources and Uses Budget'!C79</f>
        <v>300000</v>
      </c>
      <c r="D80" s="505">
        <f>'Sources and Uses Budget'!C79</f>
        <v>300000</v>
      </c>
      <c r="E80" s="507">
        <f t="shared" si="2"/>
        <v>0</v>
      </c>
      <c r="F80" s="506"/>
      <c r="G80" s="506"/>
    </row>
    <row r="81" spans="1:7" s="876" customFormat="1" ht="13.1">
      <c r="A81" s="1447" t="s">
        <v>1907</v>
      </c>
      <c r="B81" s="1454">
        <f>'Sources and Uses Budget'!C80</f>
        <v>1160000</v>
      </c>
      <c r="C81" s="1454">
        <f>'Sources and Uses Budget'!C80</f>
        <v>1160000</v>
      </c>
      <c r="D81" s="1454">
        <f>'Sources and Uses Budget'!C80</f>
        <v>1160000</v>
      </c>
      <c r="E81" s="507">
        <f t="shared" si="2"/>
        <v>0</v>
      </c>
      <c r="F81" s="506"/>
      <c r="G81" s="506"/>
    </row>
    <row r="82" spans="1:7" s="876" customFormat="1" ht="13.1">
      <c r="A82" s="1442" t="s">
        <v>569</v>
      </c>
      <c r="B82" s="503"/>
      <c r="C82" s="503"/>
      <c r="D82" s="503"/>
      <c r="E82" s="503"/>
      <c r="F82" s="503"/>
      <c r="G82" s="503"/>
    </row>
    <row r="83" spans="1:7" s="876" customFormat="1" ht="12.6">
      <c r="A83" s="369" t="s">
        <v>570</v>
      </c>
      <c r="B83" s="505">
        <f>'Sources and Uses Budget'!C82</f>
        <v>90980</v>
      </c>
      <c r="C83" s="505">
        <f>'Sources and Uses Budget'!C82</f>
        <v>90980</v>
      </c>
      <c r="D83" s="505">
        <f>'Sources and Uses Budget'!C82</f>
        <v>90980</v>
      </c>
      <c r="E83" s="507">
        <f t="shared" si="2"/>
        <v>0</v>
      </c>
      <c r="F83" s="506"/>
      <c r="G83" s="506"/>
    </row>
    <row r="84" spans="1:7" s="876" customFormat="1" ht="12.6">
      <c r="A84" s="369" t="s">
        <v>571</v>
      </c>
      <c r="B84" s="505">
        <f>'Sources and Uses Budget'!C83</f>
        <v>5000</v>
      </c>
      <c r="C84" s="505">
        <f>'Sources and Uses Budget'!C83</f>
        <v>5000</v>
      </c>
      <c r="D84" s="505">
        <f>'Sources and Uses Budget'!C83</f>
        <v>5000</v>
      </c>
      <c r="E84" s="507">
        <f t="shared" si="2"/>
        <v>0</v>
      </c>
      <c r="F84" s="506"/>
      <c r="G84" s="506"/>
    </row>
    <row r="85" spans="1:7" s="876" customFormat="1" ht="12.6">
      <c r="A85" s="369" t="s">
        <v>572</v>
      </c>
      <c r="B85" s="505">
        <f>'Sources and Uses Budget'!C84</f>
        <v>1531006</v>
      </c>
      <c r="C85" s="505">
        <f>'Sources and Uses Budget'!C84</f>
        <v>1531006</v>
      </c>
      <c r="D85" s="505">
        <f>'Sources and Uses Budget'!C84</f>
        <v>1531006</v>
      </c>
      <c r="E85" s="507">
        <f t="shared" si="2"/>
        <v>0</v>
      </c>
      <c r="F85" s="506"/>
      <c r="G85" s="506"/>
    </row>
    <row r="86" spans="1:7" s="876" customFormat="1" ht="12.6">
      <c r="A86" s="369" t="s">
        <v>573</v>
      </c>
      <c r="B86" s="505">
        <f>'Sources and Uses Budget'!C85</f>
        <v>250000</v>
      </c>
      <c r="C86" s="505">
        <f>'Sources and Uses Budget'!C85</f>
        <v>250000</v>
      </c>
      <c r="D86" s="505">
        <f>'Sources and Uses Budget'!C85</f>
        <v>250000</v>
      </c>
      <c r="E86" s="507">
        <f t="shared" si="2"/>
        <v>0</v>
      </c>
      <c r="F86" s="506"/>
      <c r="G86" s="506"/>
    </row>
    <row r="87" spans="1:7" s="876" customFormat="1" ht="12.6">
      <c r="A87" s="369" t="s">
        <v>574</v>
      </c>
      <c r="B87" s="505">
        <f>'Sources and Uses Budget'!C86</f>
        <v>0</v>
      </c>
      <c r="C87" s="505">
        <f>'Sources and Uses Budget'!C86</f>
        <v>0</v>
      </c>
      <c r="D87" s="505">
        <f>'Sources and Uses Budget'!C86</f>
        <v>0</v>
      </c>
      <c r="E87" s="507">
        <f t="shared" si="2"/>
        <v>0</v>
      </c>
      <c r="F87" s="506"/>
      <c r="G87" s="506"/>
    </row>
    <row r="88" spans="1:7" s="876" customFormat="1" ht="12.6">
      <c r="A88" s="369" t="s">
        <v>575</v>
      </c>
      <c r="B88" s="505">
        <f>'Sources and Uses Budget'!C87</f>
        <v>61659</v>
      </c>
      <c r="C88" s="505">
        <f>'Sources and Uses Budget'!C87</f>
        <v>61659</v>
      </c>
      <c r="D88" s="505">
        <f>'Sources and Uses Budget'!C87</f>
        <v>61659</v>
      </c>
      <c r="E88" s="507">
        <f t="shared" si="2"/>
        <v>0</v>
      </c>
      <c r="F88" s="506"/>
      <c r="G88" s="506"/>
    </row>
    <row r="89" spans="1:7" s="876" customFormat="1" ht="12.6">
      <c r="A89" s="369" t="s">
        <v>576</v>
      </c>
      <c r="B89" s="505">
        <f>'Sources and Uses Budget'!C88</f>
        <v>40000</v>
      </c>
      <c r="C89" s="505">
        <f>'Sources and Uses Budget'!C88</f>
        <v>40000</v>
      </c>
      <c r="D89" s="505">
        <f>'Sources and Uses Budget'!C88</f>
        <v>40000</v>
      </c>
      <c r="E89" s="507">
        <f t="shared" si="2"/>
        <v>0</v>
      </c>
      <c r="F89" s="506"/>
      <c r="G89" s="506"/>
    </row>
    <row r="90" spans="1:7" s="876" customFormat="1" ht="12.6">
      <c r="A90" s="369" t="s">
        <v>577</v>
      </c>
      <c r="B90" s="505">
        <f>'Sources and Uses Budget'!C89</f>
        <v>10000</v>
      </c>
      <c r="C90" s="505">
        <f>'Sources and Uses Budget'!C89</f>
        <v>10000</v>
      </c>
      <c r="D90" s="505">
        <f>'Sources and Uses Budget'!C89</f>
        <v>10000</v>
      </c>
      <c r="E90" s="507">
        <f t="shared" si="2"/>
        <v>0</v>
      </c>
      <c r="F90" s="506"/>
      <c r="G90" s="506"/>
    </row>
    <row r="91" spans="1:7" s="876" customFormat="1" ht="12.6">
      <c r="A91" s="380" t="s">
        <v>1422</v>
      </c>
      <c r="B91" s="505">
        <f>'Sources and Uses Budget'!C90</f>
        <v>10000</v>
      </c>
      <c r="C91" s="505">
        <f>'Sources and Uses Budget'!C90</f>
        <v>10000</v>
      </c>
      <c r="D91" s="505">
        <f>'Sources and Uses Budget'!C90</f>
        <v>10000</v>
      </c>
      <c r="E91" s="507">
        <f t="shared" si="2"/>
        <v>0</v>
      </c>
      <c r="F91" s="506"/>
      <c r="G91" s="506"/>
    </row>
    <row r="92" spans="1:7" s="876" customFormat="1" ht="12.6">
      <c r="A92" s="380" t="s">
        <v>1905</v>
      </c>
      <c r="B92" s="505">
        <f>'Sources and Uses Budget'!C91</f>
        <v>10000</v>
      </c>
      <c r="C92" s="505">
        <f>'Sources and Uses Budget'!C91</f>
        <v>10000</v>
      </c>
      <c r="D92" s="505">
        <f>'Sources and Uses Budget'!C91</f>
        <v>10000</v>
      </c>
      <c r="E92" s="507">
        <f t="shared" si="2"/>
        <v>0</v>
      </c>
      <c r="F92" s="506"/>
      <c r="G92" s="506"/>
    </row>
    <row r="93" spans="1:7" s="876" customFormat="1" ht="12.6">
      <c r="A93" s="376" t="s">
        <v>588</v>
      </c>
      <c r="B93" s="505">
        <f>'Sources and Uses Budget'!C92</f>
        <v>0</v>
      </c>
      <c r="C93" s="505">
        <f>'Sources and Uses Budget'!C92</f>
        <v>0</v>
      </c>
      <c r="D93" s="505">
        <f>'Sources and Uses Budget'!C92</f>
        <v>0</v>
      </c>
      <c r="E93" s="507">
        <f t="shared" si="2"/>
        <v>0</v>
      </c>
      <c r="F93" s="506"/>
      <c r="G93" s="506"/>
    </row>
    <row r="94" spans="1:7" s="876" customFormat="1" ht="12.6">
      <c r="A94" s="376" t="s">
        <v>588</v>
      </c>
      <c r="B94" s="505">
        <f>'Sources and Uses Budget'!C93</f>
        <v>0</v>
      </c>
      <c r="C94" s="505">
        <f>'Sources and Uses Budget'!C93</f>
        <v>0</v>
      </c>
      <c r="D94" s="505">
        <f>'Sources and Uses Budget'!C93</f>
        <v>0</v>
      </c>
      <c r="E94" s="507">
        <f t="shared" si="2"/>
        <v>0</v>
      </c>
      <c r="F94" s="506"/>
      <c r="G94" s="506"/>
    </row>
    <row r="95" spans="1:7" s="876" customFormat="1" ht="12.6">
      <c r="A95" s="376" t="s">
        <v>588</v>
      </c>
      <c r="B95" s="505">
        <f>'Sources and Uses Budget'!C94</f>
        <v>0</v>
      </c>
      <c r="C95" s="505">
        <f>'Sources and Uses Budget'!C94</f>
        <v>0</v>
      </c>
      <c r="D95" s="505">
        <f>'Sources and Uses Budget'!C94</f>
        <v>0</v>
      </c>
      <c r="E95" s="507">
        <f t="shared" si="2"/>
        <v>0</v>
      </c>
      <c r="F95" s="506"/>
      <c r="G95" s="506"/>
    </row>
    <row r="96" spans="1:7" s="876" customFormat="1" ht="12.6">
      <c r="A96" s="373" t="s">
        <v>578</v>
      </c>
      <c r="B96" s="1454">
        <f>'Sources and Uses Budget'!C95</f>
        <v>2008645</v>
      </c>
      <c r="C96" s="1454">
        <f>'Sources and Uses Budget'!C95</f>
        <v>2008645</v>
      </c>
      <c r="D96" s="1454">
        <f>'Sources and Uses Budget'!C95</f>
        <v>2008645</v>
      </c>
      <c r="E96" s="507">
        <f t="shared" si="2"/>
        <v>0</v>
      </c>
      <c r="F96" s="506"/>
      <c r="G96" s="506"/>
    </row>
    <row r="97" spans="1:7" s="875" customFormat="1" ht="12.6">
      <c r="A97" s="373" t="s">
        <v>579</v>
      </c>
      <c r="B97" s="1454">
        <f>'Sources and Uses Budget'!C96</f>
        <v>22489154</v>
      </c>
      <c r="C97" s="1454">
        <f>'Sources and Uses Budget'!C96</f>
        <v>22489154</v>
      </c>
      <c r="D97" s="1454">
        <f>'Sources and Uses Budget'!C96</f>
        <v>22489154</v>
      </c>
      <c r="E97" s="507">
        <f t="shared" si="2"/>
        <v>0</v>
      </c>
      <c r="F97" s="506"/>
      <c r="G97" s="506"/>
    </row>
    <row r="98" spans="1:7" s="875" customFormat="1" ht="13.1">
      <c r="A98" s="1442" t="s">
        <v>580</v>
      </c>
      <c r="B98" s="503"/>
      <c r="C98" s="503"/>
      <c r="D98" s="503"/>
      <c r="E98" s="503"/>
      <c r="F98" s="503"/>
      <c r="G98" s="503"/>
    </row>
    <row r="99" spans="1:7" s="875" customFormat="1" ht="12.6">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6">
      <c r="A101" s="369" t="s">
        <v>582</v>
      </c>
      <c r="B101" s="505">
        <f>'Sources and Uses Budget'!C100</f>
        <v>0</v>
      </c>
      <c r="C101" s="505">
        <f>'Sources and Uses Budget'!C100</f>
        <v>0</v>
      </c>
      <c r="D101" s="505">
        <f>'Sources and Uses Budget'!C100</f>
        <v>0</v>
      </c>
      <c r="E101" s="507">
        <f t="shared" si="2"/>
        <v>0</v>
      </c>
      <c r="F101" s="506"/>
      <c r="G101" s="506"/>
    </row>
    <row r="102" spans="1:7" s="875" customFormat="1" ht="12.6">
      <c r="A102" s="369" t="s">
        <v>2233</v>
      </c>
      <c r="B102" s="505">
        <f>'Sources and Uses Budget'!C101</f>
        <v>0</v>
      </c>
      <c r="C102" s="505">
        <f>'Sources and Uses Budget'!C101</f>
        <v>0</v>
      </c>
      <c r="D102" s="505">
        <f>'Sources and Uses Budget'!C101</f>
        <v>0</v>
      </c>
      <c r="E102" s="507">
        <f t="shared" si="2"/>
        <v>0</v>
      </c>
      <c r="F102" s="506"/>
      <c r="G102" s="506"/>
    </row>
    <row r="103" spans="1:7" s="875" customFormat="1" ht="12.6">
      <c r="A103" s="1449" t="s">
        <v>588</v>
      </c>
      <c r="B103" s="505">
        <f>'Sources and Uses Budget'!C102</f>
        <v>0</v>
      </c>
      <c r="C103" s="505">
        <f>'Sources and Uses Budget'!C102</f>
        <v>0</v>
      </c>
      <c r="D103" s="505">
        <f>'Sources and Uses Budget'!C102</f>
        <v>0</v>
      </c>
      <c r="E103" s="507">
        <f t="shared" si="2"/>
        <v>0</v>
      </c>
      <c r="F103" s="506"/>
      <c r="G103" s="506"/>
    </row>
    <row r="104" spans="1:7" s="875" customFormat="1" ht="13.1">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1">
      <c r="A105" s="1447" t="s">
        <v>584</v>
      </c>
      <c r="B105" s="1454">
        <f>'Sources and Uses Budget'!C104</f>
        <v>24689154</v>
      </c>
      <c r="C105" s="1454">
        <f>'Sources and Uses Budget'!C104</f>
        <v>24689154</v>
      </c>
      <c r="D105" s="1454">
        <f>'Sources and Uses Budget'!C104</f>
        <v>24689154</v>
      </c>
      <c r="E105" s="507">
        <f t="shared" si="2"/>
        <v>0</v>
      </c>
      <c r="F105" s="506"/>
      <c r="G105" s="1453"/>
    </row>
    <row r="106" spans="1:7" s="875" customFormat="1" ht="13.1">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2022-02-22T17:18:23Z</cp:lastPrinted>
  <dcterms:created xsi:type="dcterms:W3CDTF">2007-12-27T18:26:28Z</dcterms:created>
  <dcterms:modified xsi:type="dcterms:W3CDTF">2022-03-01T12:26:39Z</dcterms:modified>
</cp:coreProperties>
</file>