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C:\Users\aslaby\BRIDGE Housing Corporation\Cloud Files - Projects In Development\445 - Lancaster\800 - Financing\TCAC\Application &amp; Certification\"/>
    </mc:Choice>
  </mc:AlternateContent>
  <xr:revisionPtr revIDLastSave="0" documentId="13_ncr:1_{180D600A-9177-4878-879E-ADBCAB7BCAD3}" xr6:coauthVersionLast="36" xr6:coauthVersionMax="36" xr10:uidLastSave="{00000000-0000-0000-0000-000000000000}"/>
  <bookViews>
    <workbookView xWindow="0" yWindow="0" windowWidth="28800" windowHeight="12225"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30" i="4" l="1"/>
  <c r="C30" i="4"/>
  <c r="R632" i="3" l="1"/>
  <c r="O632" i="3"/>
  <c r="AB70" i="5"/>
  <c r="S91" i="4"/>
  <c r="S85" i="4"/>
  <c r="S51" i="4"/>
  <c r="E51" i="4"/>
  <c r="C85" i="4"/>
  <c r="E85" i="4"/>
  <c r="E68" i="4"/>
  <c r="S49" i="4"/>
  <c r="S79" i="4"/>
  <c r="O708" i="3"/>
  <c r="O707" i="3"/>
  <c r="O706" i="3"/>
  <c r="R85" i="4"/>
  <c r="C38" i="4"/>
  <c r="G52" i="9"/>
  <c r="G30" i="4"/>
  <c r="C95" i="4"/>
  <c r="B94" i="18"/>
  <c r="C40" i="4"/>
  <c r="C35" i="4"/>
  <c r="E26" i="9"/>
  <c r="C8" i="4"/>
  <c r="C42" i="4"/>
  <c r="C53" i="4"/>
  <c r="C61" i="4"/>
  <c r="C80" i="4"/>
  <c r="C69" i="4"/>
  <c r="C76" i="4"/>
  <c r="D38" i="4"/>
  <c r="D53" i="4"/>
  <c r="BG692" i="3"/>
  <c r="BG693" i="3"/>
  <c r="BG694" i="3"/>
  <c r="BG695" i="3"/>
  <c r="BG696" i="3"/>
  <c r="BG697" i="3"/>
  <c r="BG698" i="3"/>
  <c r="BG699" i="3"/>
  <c r="BG700" i="3"/>
  <c r="BG701" i="3"/>
  <c r="G731" i="3"/>
  <c r="AM722" i="3"/>
  <c r="AM718" i="3"/>
  <c r="AC717" i="3"/>
  <c r="BA700" i="3"/>
  <c r="AM717" i="3"/>
  <c r="AC716" i="3"/>
  <c r="AM716" i="3"/>
  <c r="BA699" i="3"/>
  <c r="BA698" i="3"/>
  <c r="AC715" i="3"/>
  <c r="AM715" i="3"/>
  <c r="BA697" i="3"/>
  <c r="AC714" i="3"/>
  <c r="AM714" i="3"/>
  <c r="BA696" i="3"/>
  <c r="AC713" i="3"/>
  <c r="AM713" i="3"/>
  <c r="BA695" i="3"/>
  <c r="AC712" i="3"/>
  <c r="AM712" i="3"/>
  <c r="BA694" i="3"/>
  <c r="AC711" i="3"/>
  <c r="AM711" i="3"/>
  <c r="BA693" i="3"/>
  <c r="AC710" i="3"/>
  <c r="AM710" i="3"/>
  <c r="BA692" i="3"/>
  <c r="AC709" i="3"/>
  <c r="AM709" i="3"/>
  <c r="BA691" i="3"/>
  <c r="AC708" i="3"/>
  <c r="AM708" i="3"/>
  <c r="AC707" i="3"/>
  <c r="AC706" i="3"/>
  <c r="F6" i="12"/>
  <c r="F7" i="12"/>
  <c r="F8" i="12"/>
  <c r="F10" i="12"/>
  <c r="F11" i="12"/>
  <c r="F9" i="12"/>
  <c r="F5" i="12"/>
  <c r="D10" i="12"/>
  <c r="C103" i="4"/>
  <c r="AO644" i="3"/>
  <c r="AB47" i="5"/>
  <c r="T25" i="5"/>
  <c r="AI7" i="5"/>
  <c r="AI11" i="5"/>
  <c r="AI23" i="5"/>
  <c r="AI26" i="5"/>
  <c r="AI28" i="5"/>
  <c r="AG434" i="3"/>
  <c r="AG438" i="3"/>
  <c r="AI27" i="5"/>
  <c r="AG437" i="3"/>
  <c r="U373" i="6"/>
  <c r="BN602" i="3"/>
  <c r="BN603" i="3"/>
  <c r="BN604" i="3"/>
  <c r="BN605" i="3"/>
  <c r="BN606" i="3"/>
  <c r="BN607" i="3"/>
  <c r="BN608" i="3"/>
  <c r="BN609" i="3"/>
  <c r="BN610" i="3"/>
  <c r="BN611" i="3"/>
  <c r="BN612" i="3"/>
  <c r="BN613" i="3"/>
  <c r="BN614" i="3"/>
  <c r="BS602" i="3"/>
  <c r="BS603" i="3"/>
  <c r="BS604" i="3"/>
  <c r="BS605" i="3"/>
  <c r="BS606" i="3"/>
  <c r="BS607" i="3"/>
  <c r="BS608" i="3"/>
  <c r="BS609" i="3"/>
  <c r="BS610" i="3"/>
  <c r="BS611" i="3"/>
  <c r="BS612" i="3"/>
  <c r="BS613" i="3"/>
  <c r="BS614" i="3"/>
  <c r="BX602" i="3"/>
  <c r="BX603" i="3"/>
  <c r="BX604" i="3"/>
  <c r="BX605" i="3"/>
  <c r="BX606" i="3"/>
  <c r="BX607" i="3"/>
  <c r="BX608" i="3"/>
  <c r="BX609" i="3"/>
  <c r="BX610" i="3"/>
  <c r="BX611" i="3"/>
  <c r="BX612" i="3"/>
  <c r="BX613" i="3"/>
  <c r="BX614" i="3"/>
  <c r="CC602" i="3"/>
  <c r="CC603" i="3"/>
  <c r="CC604" i="3"/>
  <c r="CC605" i="3"/>
  <c r="CC606" i="3"/>
  <c r="CC607" i="3"/>
  <c r="CC608" i="3"/>
  <c r="CC609" i="3"/>
  <c r="CC610" i="3"/>
  <c r="CC611" i="3"/>
  <c r="CC612" i="3"/>
  <c r="CC613" i="3"/>
  <c r="CC614" i="3"/>
  <c r="CH602" i="3"/>
  <c r="CH603" i="3"/>
  <c r="CH604" i="3"/>
  <c r="CH605" i="3"/>
  <c r="CH606" i="3"/>
  <c r="CH607" i="3"/>
  <c r="CH608" i="3"/>
  <c r="CH609" i="3"/>
  <c r="CH610" i="3"/>
  <c r="CH611" i="3"/>
  <c r="CH612" i="3"/>
  <c r="CH613" i="3"/>
  <c r="CH614" i="3"/>
  <c r="CM602" i="3"/>
  <c r="CM603" i="3"/>
  <c r="CM604" i="3"/>
  <c r="CM605" i="3"/>
  <c r="CM606" i="3"/>
  <c r="CM607" i="3"/>
  <c r="CM608" i="3"/>
  <c r="CM609" i="3"/>
  <c r="CM610" i="3"/>
  <c r="CM611" i="3"/>
  <c r="CM612" i="3"/>
  <c r="CM613" i="3"/>
  <c r="CM614" i="3"/>
  <c r="AF978" i="3"/>
  <c r="AJ977" i="3"/>
  <c r="AJ982" i="3"/>
  <c r="AJ1002" i="3" s="1"/>
  <c r="T24" i="5" s="1"/>
  <c r="U17" i="28"/>
  <c r="R9" i="4"/>
  <c r="R4" i="4"/>
  <c r="R10" i="4"/>
  <c r="S10" i="4"/>
  <c r="R30" i="28"/>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c r="B84" i="15"/>
  <c r="C84" i="15"/>
  <c r="E84" i="15"/>
  <c r="D84" i="15"/>
  <c r="B85" i="15"/>
  <c r="C85" i="15"/>
  <c r="E85" i="15"/>
  <c r="D85" i="15"/>
  <c r="B86" i="15"/>
  <c r="C86" i="15"/>
  <c r="E86" i="15"/>
  <c r="D86" i="15"/>
  <c r="B87" i="15"/>
  <c r="E87" i="15"/>
  <c r="C87" i="15"/>
  <c r="D87" i="15"/>
  <c r="B88" i="15"/>
  <c r="C88" i="15"/>
  <c r="E88" i="15"/>
  <c r="D88" i="15"/>
  <c r="B89" i="15"/>
  <c r="C89" i="15"/>
  <c r="D89" i="15"/>
  <c r="B90" i="15"/>
  <c r="C90" i="15"/>
  <c r="E90" i="15"/>
  <c r="D90" i="15"/>
  <c r="B91" i="15"/>
  <c r="E91" i="15"/>
  <c r="C91" i="15"/>
  <c r="D91" i="15"/>
  <c r="B92" i="15"/>
  <c r="E92" i="15"/>
  <c r="C92" i="15"/>
  <c r="D92" i="15"/>
  <c r="B93" i="15"/>
  <c r="C93" i="15"/>
  <c r="E93" i="15"/>
  <c r="D93" i="15"/>
  <c r="B94" i="15"/>
  <c r="C94" i="15"/>
  <c r="E94" i="15"/>
  <c r="D94" i="15"/>
  <c r="B95" i="15"/>
  <c r="C95" i="15"/>
  <c r="D95" i="15"/>
  <c r="D83" i="15"/>
  <c r="C83" i="15"/>
  <c r="B83" i="15"/>
  <c r="E83" i="15"/>
  <c r="B80" i="15"/>
  <c r="C80" i="15"/>
  <c r="E80" i="15"/>
  <c r="D80" i="15"/>
  <c r="D79" i="15"/>
  <c r="C79" i="15"/>
  <c r="B79" i="15"/>
  <c r="E79" i="15"/>
  <c r="B73" i="15"/>
  <c r="C73" i="15"/>
  <c r="D73" i="15"/>
  <c r="B74" i="15"/>
  <c r="C74" i="15"/>
  <c r="E74" i="15"/>
  <c r="D74" i="15"/>
  <c r="B75" i="15"/>
  <c r="E75" i="15"/>
  <c r="C75" i="15"/>
  <c r="D75" i="15"/>
  <c r="B76" i="15"/>
  <c r="E76" i="15"/>
  <c r="C76" i="15"/>
  <c r="D76" i="15"/>
  <c r="D72" i="15"/>
  <c r="C72" i="15"/>
  <c r="E72" i="15"/>
  <c r="B72" i="15"/>
  <c r="B66" i="15"/>
  <c r="C66" i="15"/>
  <c r="E66" i="15"/>
  <c r="D66" i="15"/>
  <c r="B67" i="15"/>
  <c r="C67" i="15"/>
  <c r="D67" i="15"/>
  <c r="B68" i="15"/>
  <c r="C68" i="15"/>
  <c r="E68" i="15"/>
  <c r="D68" i="15"/>
  <c r="B69" i="15"/>
  <c r="C69" i="15"/>
  <c r="D69" i="15"/>
  <c r="D65" i="15"/>
  <c r="C65" i="15"/>
  <c r="B65" i="15"/>
  <c r="B57" i="15"/>
  <c r="C57" i="15"/>
  <c r="E57" i="15"/>
  <c r="D57" i="15"/>
  <c r="B58" i="15"/>
  <c r="C58" i="15"/>
  <c r="D58" i="15"/>
  <c r="B59" i="15"/>
  <c r="C59" i="15"/>
  <c r="E59" i="15"/>
  <c r="D59" i="15"/>
  <c r="B60" i="15"/>
  <c r="C60" i="15"/>
  <c r="E60" i="15"/>
  <c r="D60" i="15"/>
  <c r="B61" i="15"/>
  <c r="E61" i="15"/>
  <c r="C61" i="15"/>
  <c r="D61" i="15"/>
  <c r="D56" i="15"/>
  <c r="C56" i="15"/>
  <c r="B56" i="15"/>
  <c r="B47" i="15"/>
  <c r="C47" i="15"/>
  <c r="E47" i="15"/>
  <c r="D47" i="15"/>
  <c r="B48" i="15"/>
  <c r="C48" i="15"/>
  <c r="E48" i="15"/>
  <c r="D48" i="15"/>
  <c r="B49" i="15"/>
  <c r="C49" i="15"/>
  <c r="E49" i="15"/>
  <c r="D49" i="15"/>
  <c r="B50" i="15"/>
  <c r="C50" i="15"/>
  <c r="E50" i="15"/>
  <c r="D50" i="15"/>
  <c r="B51" i="15"/>
  <c r="E51" i="15"/>
  <c r="C51" i="15"/>
  <c r="D51" i="15"/>
  <c r="B52" i="15"/>
  <c r="C52" i="15"/>
  <c r="E52" i="15"/>
  <c r="D52" i="15"/>
  <c r="B53" i="15"/>
  <c r="C53" i="15"/>
  <c r="E53" i="15"/>
  <c r="D53" i="15"/>
  <c r="D46" i="15"/>
  <c r="C46" i="15"/>
  <c r="B46" i="15"/>
  <c r="B44" i="15"/>
  <c r="C44" i="15"/>
  <c r="D44" i="15"/>
  <c r="B42" i="15"/>
  <c r="C42" i="15"/>
  <c r="E42" i="15"/>
  <c r="D42" i="15"/>
  <c r="D41" i="15"/>
  <c r="C41" i="15"/>
  <c r="B41" i="15"/>
  <c r="E41" i="15"/>
  <c r="B38" i="15"/>
  <c r="C38" i="15"/>
  <c r="E38" i="15"/>
  <c r="D38" i="15"/>
  <c r="B31" i="15"/>
  <c r="E31" i="15" s="1"/>
  <c r="C31" i="15"/>
  <c r="D31" i="15"/>
  <c r="B32" i="15"/>
  <c r="E32" i="15"/>
  <c r="C32" i="15"/>
  <c r="D32" i="15"/>
  <c r="B33" i="15"/>
  <c r="E33" i="15"/>
  <c r="C33" i="15"/>
  <c r="D33" i="15"/>
  <c r="B34" i="15"/>
  <c r="C34" i="15"/>
  <c r="E34" i="15"/>
  <c r="D34" i="15"/>
  <c r="B35" i="15"/>
  <c r="C35" i="15"/>
  <c r="E35" i="15"/>
  <c r="D35" i="15"/>
  <c r="B36" i="15"/>
  <c r="C36" i="15"/>
  <c r="D36" i="15"/>
  <c r="B37" i="15"/>
  <c r="E37" i="15"/>
  <c r="C37" i="15"/>
  <c r="D37" i="15"/>
  <c r="D30" i="15"/>
  <c r="C30" i="15"/>
  <c r="E30" i="15"/>
  <c r="B30" i="15"/>
  <c r="B19" i="15"/>
  <c r="E19" i="15"/>
  <c r="C19" i="15"/>
  <c r="D19" i="15"/>
  <c r="B20" i="15"/>
  <c r="C20" i="15"/>
  <c r="E20" i="15"/>
  <c r="D20" i="15"/>
  <c r="B21" i="15"/>
  <c r="C21" i="15"/>
  <c r="E21" i="15"/>
  <c r="D21" i="15"/>
  <c r="B22" i="15"/>
  <c r="E22" i="15"/>
  <c r="C22" i="15"/>
  <c r="D22" i="15"/>
  <c r="B23" i="15"/>
  <c r="C23" i="15"/>
  <c r="E23" i="15"/>
  <c r="D23" i="15"/>
  <c r="B24" i="15"/>
  <c r="C24" i="15"/>
  <c r="E24" i="15"/>
  <c r="D24" i="15"/>
  <c r="B25" i="15"/>
  <c r="C25" i="15"/>
  <c r="E25" i="15"/>
  <c r="D25" i="15"/>
  <c r="B26" i="15"/>
  <c r="C26" i="15"/>
  <c r="E26" i="15"/>
  <c r="D26" i="15"/>
  <c r="B28" i="15"/>
  <c r="C28" i="15"/>
  <c r="E28" i="15"/>
  <c r="D28" i="15"/>
  <c r="B5" i="15"/>
  <c r="C5" i="15"/>
  <c r="B6" i="15"/>
  <c r="C6" i="15"/>
  <c r="B7" i="15"/>
  <c r="E7" i="15"/>
  <c r="C7" i="15"/>
  <c r="B8" i="15"/>
  <c r="C8" i="15"/>
  <c r="B10" i="15"/>
  <c r="C10" i="15"/>
  <c r="B11" i="15"/>
  <c r="C11" i="15"/>
  <c r="B14" i="15"/>
  <c r="E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101" i="15"/>
  <c r="E69" i="15"/>
  <c r="E56" i="15"/>
  <c r="E73" i="15"/>
  <c r="E67" i="15"/>
  <c r="E58" i="15"/>
  <c r="E89" i="15"/>
  <c r="E44" i="15"/>
  <c r="E8" i="15"/>
  <c r="C12" i="15"/>
  <c r="E6" i="15"/>
  <c r="C9" i="15"/>
  <c r="E11" i="15"/>
  <c r="E46" i="15"/>
  <c r="E65" i="15"/>
  <c r="E36" i="15"/>
  <c r="E15" i="15"/>
  <c r="AJ998" i="3"/>
  <c r="AJ993" i="3"/>
  <c r="AJ989" i="3"/>
  <c r="AJ986" i="3"/>
  <c r="AF983" i="3"/>
  <c r="AJ970" i="3"/>
  <c r="AJ968" i="3"/>
  <c r="AJ964" i="3"/>
  <c r="AJ958" i="3"/>
  <c r="AJ955" i="3"/>
  <c r="O776" i="3"/>
  <c r="AC775" i="3"/>
  <c r="AC774" i="3"/>
  <c r="AC773" i="3"/>
  <c r="AC772" i="3"/>
  <c r="AC771" i="3"/>
  <c r="AC770" i="3"/>
  <c r="AC769" i="3"/>
  <c r="AC776" i="3"/>
  <c r="AC768" i="3"/>
  <c r="AC767" i="3"/>
  <c r="AC766" i="3"/>
  <c r="O756" i="3"/>
  <c r="AC755" i="3"/>
  <c r="AC754" i="3"/>
  <c r="AC753" i="3"/>
  <c r="AC752" i="3"/>
  <c r="AC756" i="3"/>
  <c r="AM719" i="3"/>
  <c r="AM720" i="3"/>
  <c r="AM721"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c r="AO646" i="3"/>
  <c r="AM572" i="3"/>
  <c r="H64" i="18"/>
  <c r="H65" i="18"/>
  <c r="H66" i="18"/>
  <c r="E64" i="18"/>
  <c r="E65" i="18"/>
  <c r="E66" i="18"/>
  <c r="B64" i="18"/>
  <c r="B65" i="18"/>
  <c r="B66" i="18"/>
  <c r="B101" i="4"/>
  <c r="R101" i="4"/>
  <c r="R67" i="4"/>
  <c r="R66" i="4"/>
  <c r="R65" i="4"/>
  <c r="B67" i="4"/>
  <c r="B66" i="4"/>
  <c r="B65" i="4"/>
  <c r="B36" i="4"/>
  <c r="R36" i="4"/>
  <c r="R24" i="4"/>
  <c r="B24" i="4"/>
  <c r="I52" i="9"/>
  <c r="K52" i="9"/>
  <c r="M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I28" i="9"/>
  <c r="AG494" i="6"/>
  <c r="AG492" i="6"/>
  <c r="AG505" i="6"/>
  <c r="AG503" i="6"/>
  <c r="AG499" i="6"/>
  <c r="AG530" i="6"/>
  <c r="AD66" i="5"/>
  <c r="Y66"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62" i="4"/>
  <c r="D96" i="4"/>
  <c r="D104" i="4"/>
  <c r="D11" i="4"/>
  <c r="D26" i="4"/>
  <c r="D42" i="4"/>
  <c r="D61" i="4"/>
  <c r="D69" i="4"/>
  <c r="D76" i="4"/>
  <c r="D80" i="4"/>
  <c r="D95" i="4"/>
  <c r="D103" i="4"/>
  <c r="C11" i="4"/>
  <c r="C26" i="4"/>
  <c r="C65" i="25"/>
  <c r="C66" i="25"/>
  <c r="G67" i="25"/>
  <c r="Y20" i="5"/>
  <c r="Y22" i="5"/>
  <c r="AI20" i="5"/>
  <c r="AI22" i="5"/>
  <c r="S26" i="4"/>
  <c r="S38" i="4"/>
  <c r="E37" i="18"/>
  <c r="S42" i="4"/>
  <c r="S53" i="4"/>
  <c r="S69" i="4"/>
  <c r="S80" i="4"/>
  <c r="E79" i="18"/>
  <c r="S103" i="4"/>
  <c r="E102" i="18"/>
  <c r="F25" i="18"/>
  <c r="F37" i="18"/>
  <c r="F41" i="18"/>
  <c r="F52" i="18"/>
  <c r="F68" i="18"/>
  <c r="F79" i="18"/>
  <c r="F94" i="18"/>
  <c r="F102" i="18"/>
  <c r="T20" i="5"/>
  <c r="T22" i="5"/>
  <c r="T26" i="4"/>
  <c r="H25" i="18"/>
  <c r="T38" i="4"/>
  <c r="T42" i="4"/>
  <c r="T53" i="4"/>
  <c r="T11" i="4"/>
  <c r="T69" i="4"/>
  <c r="H68" i="18"/>
  <c r="T80" i="4"/>
  <c r="H79" i="18"/>
  <c r="T95" i="4"/>
  <c r="T103" i="4"/>
  <c r="I11" i="18"/>
  <c r="I25" i="18"/>
  <c r="I37" i="18"/>
  <c r="I41" i="18"/>
  <c r="I52" i="18"/>
  <c r="I68" i="18"/>
  <c r="I79" i="18"/>
  <c r="I94" i="18"/>
  <c r="I102" i="18"/>
  <c r="U61" i="25"/>
  <c r="U63" i="25"/>
  <c r="U65" i="25"/>
  <c r="U67" i="25"/>
  <c r="R83" i="4"/>
  <c r="BN615" i="3"/>
  <c r="BN616" i="3"/>
  <c r="BN617" i="3"/>
  <c r="BN618" i="3"/>
  <c r="BN619" i="3"/>
  <c r="BN620" i="3"/>
  <c r="BN621" i="3"/>
  <c r="BN622" i="3"/>
  <c r="BN623" i="3"/>
  <c r="BN624" i="3"/>
  <c r="BN625" i="3"/>
  <c r="BN626" i="3"/>
  <c r="BS615" i="3"/>
  <c r="BS616" i="3"/>
  <c r="BS617" i="3"/>
  <c r="BS618" i="3"/>
  <c r="BS619" i="3"/>
  <c r="BS620" i="3"/>
  <c r="BS621" i="3"/>
  <c r="BS622" i="3"/>
  <c r="BS623" i="3"/>
  <c r="BS624" i="3"/>
  <c r="BS625" i="3"/>
  <c r="BS626" i="3"/>
  <c r="BX615" i="3"/>
  <c r="BX616" i="3"/>
  <c r="BX617" i="3"/>
  <c r="BX618" i="3"/>
  <c r="BX619" i="3"/>
  <c r="BX620" i="3"/>
  <c r="BX621" i="3"/>
  <c r="BX627" i="3"/>
  <c r="CB628" i="3"/>
  <c r="BX622" i="3"/>
  <c r="BX623" i="3"/>
  <c r="BX624" i="3"/>
  <c r="BX625" i="3"/>
  <c r="BX626" i="3"/>
  <c r="CC615" i="3"/>
  <c r="CC616" i="3"/>
  <c r="CC617" i="3"/>
  <c r="CC618" i="3"/>
  <c r="CC619" i="3"/>
  <c r="CC620" i="3"/>
  <c r="CC621" i="3"/>
  <c r="CC622" i="3"/>
  <c r="CC623" i="3"/>
  <c r="CC624" i="3"/>
  <c r="CC625" i="3"/>
  <c r="CC626" i="3"/>
  <c r="CH615" i="3"/>
  <c r="CH616" i="3"/>
  <c r="CH617" i="3"/>
  <c r="CH618" i="3"/>
  <c r="CH619" i="3"/>
  <c r="CH620" i="3"/>
  <c r="CH621" i="3"/>
  <c r="CH622" i="3"/>
  <c r="CH623" i="3"/>
  <c r="CH624" i="3"/>
  <c r="CH625" i="3"/>
  <c r="CH626" i="3"/>
  <c r="CM615" i="3"/>
  <c r="CM616" i="3"/>
  <c r="CM617" i="3"/>
  <c r="CM618" i="3"/>
  <c r="CM619" i="3"/>
  <c r="CM620" i="3"/>
  <c r="CM621" i="3"/>
  <c r="CM622" i="3"/>
  <c r="CM623" i="3"/>
  <c r="CM624" i="3"/>
  <c r="CM625" i="3"/>
  <c r="CM626" i="3"/>
  <c r="BN636" i="3"/>
  <c r="BN637" i="3"/>
  <c r="BN638" i="3"/>
  <c r="BN639" i="3"/>
  <c r="BN640" i="3"/>
  <c r="BN641" i="3"/>
  <c r="BN642" i="3"/>
  <c r="BN646"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6"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70" i="6"/>
  <c r="AP366" i="6"/>
  <c r="AP364" i="6"/>
  <c r="AP363" i="6"/>
  <c r="AP361" i="6"/>
  <c r="AP360" i="6"/>
  <c r="AP358" i="6"/>
  <c r="AP356" i="6"/>
  <c r="E592" i="6"/>
  <c r="BD527" i="6"/>
  <c r="J11" i="18"/>
  <c r="J25" i="18"/>
  <c r="J37" i="18"/>
  <c r="J41" i="18"/>
  <c r="J52" i="18"/>
  <c r="J68" i="18"/>
  <c r="J79" i="18"/>
  <c r="J95" i="18"/>
  <c r="J94" i="18"/>
  <c r="J102" i="18"/>
  <c r="AD39" i="27"/>
  <c r="AD39" i="26"/>
  <c r="T21" i="27"/>
  <c r="Y21" i="27"/>
  <c r="AD21" i="27"/>
  <c r="AI21" i="27"/>
  <c r="T13" i="27"/>
  <c r="Y13" i="27"/>
  <c r="Y14" i="27"/>
  <c r="Y15" i="27"/>
  <c r="Y16" i="27"/>
  <c r="Y17" i="27"/>
  <c r="Y20" i="27"/>
  <c r="Y22"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30" i="3"/>
  <c r="B1011" i="3"/>
  <c r="AY920" i="3"/>
  <c r="AY921" i="3"/>
  <c r="AY922" i="3"/>
  <c r="AY923" i="3"/>
  <c r="AY927" i="3"/>
  <c r="T20" i="27"/>
  <c r="T22" i="27"/>
  <c r="T21" i="26"/>
  <c r="Y21" i="26"/>
  <c r="AD21" i="26"/>
  <c r="AI21" i="26"/>
  <c r="C19" i="26"/>
  <c r="T13" i="26"/>
  <c r="Y13" i="26"/>
  <c r="Y20" i="26"/>
  <c r="Y22" i="26"/>
  <c r="Y14" i="26"/>
  <c r="Y15" i="26"/>
  <c r="Y16" i="26"/>
  <c r="Y17" i="26"/>
  <c r="Y18" i="26"/>
  <c r="Y19"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2" i="4"/>
  <c r="O96" i="4"/>
  <c r="O69" i="4"/>
  <c r="O76" i="4"/>
  <c r="O80" i="4"/>
  <c r="O95" i="4"/>
  <c r="P8" i="4"/>
  <c r="P11" i="4"/>
  <c r="P12" i="4"/>
  <c r="P26" i="4"/>
  <c r="P38" i="4"/>
  <c r="P42" i="4"/>
  <c r="P62" i="4"/>
  <c r="P96" i="4"/>
  <c r="P104"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F30"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4" i="6"/>
  <c r="AK671" i="6"/>
  <c r="T69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S94" i="4"/>
  <c r="S95" i="4"/>
  <c r="E94" i="18" s="1"/>
  <c r="R82" i="4"/>
  <c r="R86" i="4"/>
  <c r="R87" i="4"/>
  <c r="R88" i="4"/>
  <c r="R89" i="4"/>
  <c r="R90" i="4"/>
  <c r="R95" i="4"/>
  <c r="R91" i="4"/>
  <c r="R92" i="4"/>
  <c r="R93" i="4"/>
  <c r="R60" i="4"/>
  <c r="R59" i="4"/>
  <c r="R58" i="4"/>
  <c r="R57" i="4"/>
  <c r="R56" i="4"/>
  <c r="R52" i="4"/>
  <c r="R51" i="4"/>
  <c r="R50" i="4"/>
  <c r="R49" i="4"/>
  <c r="R48" i="4"/>
  <c r="R47" i="4"/>
  <c r="R46" i="4"/>
  <c r="R45" i="4"/>
  <c r="R43" i="4"/>
  <c r="R41" i="4"/>
  <c r="R40" i="4"/>
  <c r="R42" i="4"/>
  <c r="R37" i="4"/>
  <c r="R35" i="4"/>
  <c r="R34" i="4"/>
  <c r="R33" i="4"/>
  <c r="R32" i="4"/>
  <c r="R31" i="4"/>
  <c r="R29" i="4"/>
  <c r="R38" i="4"/>
  <c r="R27" i="4"/>
  <c r="R25" i="4"/>
  <c r="R23" i="4"/>
  <c r="R22" i="4"/>
  <c r="R21" i="4"/>
  <c r="R20" i="4"/>
  <c r="R19" i="4"/>
  <c r="R18" i="4"/>
  <c r="R26" i="4"/>
  <c r="R17" i="4"/>
  <c r="R15" i="4"/>
  <c r="R14" i="4"/>
  <c r="R13" i="4"/>
  <c r="R7" i="4"/>
  <c r="R6" i="4"/>
  <c r="D5" i="15"/>
  <c r="D6" i="15"/>
  <c r="D9" i="15"/>
  <c r="D7" i="15"/>
  <c r="D8" i="15"/>
  <c r="D10" i="15"/>
  <c r="D11" i="15"/>
  <c r="D14" i="15"/>
  <c r="D15" i="15"/>
  <c r="D16" i="15"/>
  <c r="D18" i="15"/>
  <c r="E41" i="18"/>
  <c r="E52" i="18"/>
  <c r="E68" i="18"/>
  <c r="H37" i="18"/>
  <c r="H52" i="18"/>
  <c r="H94" i="18"/>
  <c r="H102" i="18"/>
  <c r="B41" i="18"/>
  <c r="B61" i="4"/>
  <c r="B102" i="18"/>
  <c r="Z795" i="3"/>
  <c r="E8" i="9"/>
  <c r="G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G26" i="9"/>
  <c r="I26" i="9"/>
  <c r="K26" i="9"/>
  <c r="M26" i="9"/>
  <c r="O26" i="9"/>
  <c r="Q26" i="9"/>
  <c r="S26" i="9"/>
  <c r="U26" i="9"/>
  <c r="W26" i="9"/>
  <c r="Y26" i="9"/>
  <c r="AA26" i="9"/>
  <c r="AC26" i="9"/>
  <c r="AE26" i="9"/>
  <c r="AG26" i="9"/>
  <c r="E27" i="9"/>
  <c r="S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W42" i="9"/>
  <c r="Y41" i="9"/>
  <c r="AA41" i="9"/>
  <c r="AC41" i="9"/>
  <c r="AE41" i="9"/>
  <c r="AG41" i="9"/>
  <c r="E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2" i="4"/>
  <c r="H11" i="4"/>
  <c r="L12" i="4"/>
  <c r="B9" i="4"/>
  <c r="B10" i="4"/>
  <c r="F11" i="4"/>
  <c r="F62" i="4"/>
  <c r="F96" i="4"/>
  <c r="F104"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c r="H96" i="4"/>
  <c r="H104" i="4"/>
  <c r="O103" i="4"/>
  <c r="O104"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702" i="3"/>
  <c r="BG703" i="3"/>
  <c r="BG704" i="3"/>
  <c r="BG705" i="3"/>
  <c r="BG706" i="3"/>
  <c r="BG707" i="3"/>
  <c r="BG708" i="3"/>
  <c r="BG709" i="3"/>
  <c r="BG710" i="3"/>
  <c r="BG711" i="3"/>
  <c r="BG712" i="3"/>
  <c r="BG713" i="3"/>
  <c r="BG714" i="3"/>
  <c r="BA701" i="3"/>
  <c r="BA702" i="3"/>
  <c r="BA703" i="3"/>
  <c r="BA704" i="3"/>
  <c r="BA705" i="3"/>
  <c r="BA706" i="3"/>
  <c r="BA707" i="3"/>
  <c r="BA708" i="3"/>
  <c r="BA709" i="3"/>
  <c r="BA710" i="3"/>
  <c r="BA711" i="3"/>
  <c r="BA712" i="3"/>
  <c r="BA713" i="3"/>
  <c r="M810" i="3"/>
  <c r="Q810" i="3"/>
  <c r="U810" i="3"/>
  <c r="Y810" i="3"/>
  <c r="AC810" i="3"/>
  <c r="AG810" i="3"/>
  <c r="Z879" i="3"/>
  <c r="B60" i="18"/>
  <c r="H41" i="18"/>
  <c r="B52" i="18"/>
  <c r="N12" i="4"/>
  <c r="E25" i="18"/>
  <c r="T692" i="6"/>
  <c r="AF692" i="6"/>
  <c r="E14" i="9"/>
  <c r="G14" i="9"/>
  <c r="G21" i="9"/>
  <c r="I14" i="9"/>
  <c r="K14" i="9"/>
  <c r="B26" i="4"/>
  <c r="B80" i="4"/>
  <c r="B95" i="4"/>
  <c r="D12" i="4"/>
  <c r="B43" i="15"/>
  <c r="C43" i="15"/>
  <c r="E43" i="15"/>
  <c r="D43" i="15"/>
  <c r="G12" i="4"/>
  <c r="C104" i="15"/>
  <c r="B104" i="15"/>
  <c r="D104" i="15"/>
  <c r="B39" i="15"/>
  <c r="D39" i="15"/>
  <c r="AC42" i="9"/>
  <c r="B96" i="15"/>
  <c r="C96" i="15"/>
  <c r="E96" i="15" s="1"/>
  <c r="D96" i="15"/>
  <c r="B27" i="15"/>
  <c r="D27" i="15"/>
  <c r="C27" i="15"/>
  <c r="C81" i="15"/>
  <c r="B81" i="15"/>
  <c r="E81" i="15"/>
  <c r="D81" i="15"/>
  <c r="B11" i="4"/>
  <c r="B76" i="4"/>
  <c r="B77" i="15"/>
  <c r="C77" i="15"/>
  <c r="E77" i="15"/>
  <c r="D77" i="15"/>
  <c r="B8" i="4"/>
  <c r="B12" i="4"/>
  <c r="T62" i="4"/>
  <c r="B68" i="18"/>
  <c r="B70" i="15"/>
  <c r="E70" i="15"/>
  <c r="C70" i="15"/>
  <c r="D70" i="15"/>
  <c r="C62" i="15"/>
  <c r="E62" i="15"/>
  <c r="D62" i="15"/>
  <c r="B62" i="15"/>
  <c r="B54" i="15"/>
  <c r="C54" i="15"/>
  <c r="D54" i="15"/>
  <c r="B11" i="18"/>
  <c r="E50" i="25"/>
  <c r="G52" i="25"/>
  <c r="R951" i="3"/>
  <c r="R949" i="3"/>
  <c r="R947" i="3"/>
  <c r="T27" i="27"/>
  <c r="AB47" i="26"/>
  <c r="I61" i="18"/>
  <c r="I95" i="18"/>
  <c r="I103" i="18"/>
  <c r="I105" i="18"/>
  <c r="J61" i="18"/>
  <c r="J103" i="18"/>
  <c r="J105" i="18"/>
  <c r="K12" i="4"/>
  <c r="B42" i="4"/>
  <c r="J12" i="4"/>
  <c r="R11" i="4"/>
  <c r="R8" i="4"/>
  <c r="R12" i="4"/>
  <c r="D12" i="15"/>
  <c r="B103" i="4"/>
  <c r="C12" i="18"/>
  <c r="M62" i="4"/>
  <c r="M96" i="4"/>
  <c r="M104" i="4"/>
  <c r="C12" i="4"/>
  <c r="B12" i="18"/>
  <c r="R61" i="4"/>
  <c r="N62" i="4"/>
  <c r="N96" i="4"/>
  <c r="N104" i="4"/>
  <c r="B75" i="18"/>
  <c r="B8" i="18"/>
  <c r="L62" i="4"/>
  <c r="L96" i="4"/>
  <c r="L104" i="4"/>
  <c r="S62" i="4"/>
  <c r="S96" i="4" s="1"/>
  <c r="H11" i="18"/>
  <c r="K62" i="4"/>
  <c r="K96" i="4"/>
  <c r="K104" i="4"/>
  <c r="I62" i="4"/>
  <c r="I96" i="4"/>
  <c r="T96" i="4"/>
  <c r="H61" i="18"/>
  <c r="M12" i="4"/>
  <c r="D12" i="18"/>
  <c r="B69" i="4"/>
  <c r="G61" i="18"/>
  <c r="G95" i="18"/>
  <c r="G103" i="18"/>
  <c r="G105" i="18"/>
  <c r="B38" i="4"/>
  <c r="F61" i="18"/>
  <c r="F95" i="18"/>
  <c r="F103" i="18"/>
  <c r="F105" i="18"/>
  <c r="D61" i="18"/>
  <c r="D95" i="18"/>
  <c r="D103" i="18"/>
  <c r="AP383" i="6"/>
  <c r="AQ383" i="6"/>
  <c r="AF693" i="6"/>
  <c r="AQ370" i="6"/>
  <c r="Q588" i="6"/>
  <c r="W588" i="6"/>
  <c r="AC588" i="6"/>
  <c r="D100" i="25"/>
  <c r="D102" i="25"/>
  <c r="D104" i="25"/>
  <c r="D110" i="25"/>
  <c r="G38" i="25"/>
  <c r="O27" i="9"/>
  <c r="U27" i="9"/>
  <c r="W27" i="9"/>
  <c r="Y27" i="9"/>
  <c r="I27" i="9"/>
  <c r="Q27" i="9"/>
  <c r="AA27" i="9"/>
  <c r="AG27" i="9"/>
  <c r="AE27" i="9"/>
  <c r="K27" i="9"/>
  <c r="G27" i="9"/>
  <c r="S39" i="9"/>
  <c r="S42" i="9"/>
  <c r="AA39" i="9"/>
  <c r="AA42" i="9"/>
  <c r="Q39" i="9"/>
  <c r="G39" i="9"/>
  <c r="G42" i="9"/>
  <c r="CS628" i="3"/>
  <c r="T612" i="6"/>
  <c r="AP538" i="6"/>
  <c r="O39" i="9"/>
  <c r="O42" i="9"/>
  <c r="CC634" i="3"/>
  <c r="BS634" i="3"/>
  <c r="BS646" i="3"/>
  <c r="BW647" i="3"/>
  <c r="E42" i="9"/>
  <c r="CM634" i="3"/>
  <c r="CX628" i="3"/>
  <c r="T611" i="6"/>
  <c r="DH628" i="3"/>
  <c r="T609" i="6"/>
  <c r="DM628" i="3"/>
  <c r="T608" i="6"/>
  <c r="Y608" i="6"/>
  <c r="BO528" i="6"/>
  <c r="BO533" i="6"/>
  <c r="W39" i="9"/>
  <c r="AC861" i="3"/>
  <c r="AE39" i="9"/>
  <c r="AE42" i="9"/>
  <c r="K39" i="9"/>
  <c r="K42" i="9"/>
  <c r="AG39" i="9"/>
  <c r="BX634" i="3"/>
  <c r="BN634" i="3"/>
  <c r="CS634" i="3"/>
  <c r="U39" i="9"/>
  <c r="U42" i="9"/>
  <c r="Y39" i="9"/>
  <c r="Y42" i="9"/>
  <c r="DC628" i="3"/>
  <c r="T610" i="6"/>
  <c r="CH646" i="3"/>
  <c r="CL647" i="3"/>
  <c r="DR628" i="3"/>
  <c r="T607" i="6"/>
  <c r="CG647" i="3"/>
  <c r="AC862" i="3"/>
  <c r="BX646" i="3"/>
  <c r="CB647" i="3"/>
  <c r="CH634" i="3"/>
  <c r="AY932" i="3"/>
  <c r="AY924" i="3"/>
  <c r="AY928" i="3"/>
  <c r="AC27" i="9"/>
  <c r="BD526" i="6"/>
  <c r="I39" i="9"/>
  <c r="I42" i="9"/>
  <c r="G18" i="9"/>
  <c r="I18" i="9"/>
  <c r="K18" i="9"/>
  <c r="M18" i="9"/>
  <c r="O18" i="9"/>
  <c r="Q18" i="9"/>
  <c r="S18" i="9"/>
  <c r="U18" i="9"/>
  <c r="W18" i="9"/>
  <c r="Y18" i="9"/>
  <c r="AA18" i="9"/>
  <c r="AC18" i="9"/>
  <c r="AE18" i="9"/>
  <c r="AG18" i="9"/>
  <c r="AD63" i="5"/>
  <c r="T7" i="5"/>
  <c r="M39" i="9"/>
  <c r="M42" i="9"/>
  <c r="Y7" i="5"/>
  <c r="Y11" i="5"/>
  <c r="Y23" i="5" s="1"/>
  <c r="Y26" i="5" s="1"/>
  <c r="Y28" i="5" s="1"/>
  <c r="E104" i="15"/>
  <c r="E27" i="15"/>
  <c r="T27" i="26"/>
  <c r="Y27" i="5"/>
  <c r="Y27" i="27"/>
  <c r="AD27" i="26"/>
  <c r="AD27" i="5"/>
  <c r="Y27" i="26"/>
  <c r="AI27" i="26"/>
  <c r="T27" i="5"/>
  <c r="AI27" i="27"/>
  <c r="AD27" i="27"/>
  <c r="L28" i="28"/>
  <c r="V28" i="28"/>
  <c r="D13" i="15"/>
  <c r="BR647" i="3"/>
  <c r="AC863" i="3"/>
  <c r="AS357" i="6"/>
  <c r="AP535" i="6"/>
  <c r="BD585" i="6"/>
  <c r="BD590" i="6"/>
  <c r="BY531" i="6"/>
  <c r="BY533" i="6"/>
  <c r="B1013" i="3"/>
  <c r="T24" i="27"/>
  <c r="T24" i="26"/>
  <c r="BM528" i="6"/>
  <c r="BM533" i="6"/>
  <c r="BH585" i="6"/>
  <c r="AP550" i="6"/>
  <c r="AZ574" i="6"/>
  <c r="I8" i="9"/>
  <c r="G9" i="9"/>
  <c r="BL585" i="6"/>
  <c r="AD7" i="5"/>
  <c r="BU530" i="6"/>
  <c r="BU533" i="6"/>
  <c r="BQ529" i="6"/>
  <c r="BQ533" i="6"/>
  <c r="G28" i="9"/>
  <c r="Y28" i="9"/>
  <c r="AZ575" i="6"/>
  <c r="AA28" i="9"/>
  <c r="AZ576" i="6"/>
  <c r="E21" i="9"/>
  <c r="E34" i="9"/>
  <c r="O28" i="9"/>
  <c r="U28" i="9"/>
  <c r="Q28" i="9"/>
  <c r="S28" i="9"/>
  <c r="AK66" i="6"/>
  <c r="M14" i="9"/>
  <c r="M21" i="9"/>
  <c r="K21" i="9"/>
  <c r="K8" i="9"/>
  <c r="K9" i="9"/>
  <c r="I9" i="9"/>
  <c r="BE574" i="6"/>
  <c r="BM534" i="6"/>
  <c r="CH548" i="6"/>
  <c r="BE547" i="6"/>
  <c r="BE552" i="6"/>
  <c r="E69" i="9"/>
  <c r="AK285" i="6"/>
  <c r="T686" i="6"/>
  <c r="AO679" i="6"/>
  <c r="E54" i="15"/>
  <c r="R53" i="4"/>
  <c r="E62" i="4"/>
  <c r="E96" i="4" s="1"/>
  <c r="E104" i="4" s="1"/>
  <c r="E61" i="18"/>
  <c r="E95" i="15"/>
  <c r="AM706" i="3"/>
  <c r="AP584" i="6"/>
  <c r="AZ573" i="6"/>
  <c r="T613" i="6"/>
  <c r="Y607" i="6"/>
  <c r="BE573" i="6"/>
  <c r="AP583" i="6"/>
  <c r="BJ573" i="6"/>
  <c r="BJ579" i="6"/>
  <c r="BJ588" i="6"/>
  <c r="BJ590" i="6"/>
  <c r="BP588" i="6"/>
  <c r="O14" i="9"/>
  <c r="AX585" i="6"/>
  <c r="AX590" i="6"/>
  <c r="AX591" i="6"/>
  <c r="Q583" i="6"/>
  <c r="W583" i="6"/>
  <c r="AC583" i="6"/>
  <c r="F12" i="4"/>
  <c r="R62" i="4"/>
  <c r="CM646" i="3"/>
  <c r="Q591" i="6"/>
  <c r="W591" i="6"/>
  <c r="Q584" i="6"/>
  <c r="W584" i="6"/>
  <c r="AC584" i="6"/>
  <c r="Q585" i="6"/>
  <c r="W585" i="6"/>
  <c r="AC585" i="6"/>
  <c r="Q589" i="6"/>
  <c r="W589" i="6"/>
  <c r="AC589" i="6"/>
  <c r="AS359" i="6"/>
  <c r="AK476" i="6"/>
  <c r="T687" i="6"/>
  <c r="AO680" i="6"/>
  <c r="AO678" i="6"/>
  <c r="T685" i="6"/>
  <c r="AF685" i="6"/>
  <c r="I30" i="10"/>
  <c r="Z787" i="3"/>
  <c r="E6" i="9"/>
  <c r="O52" i="9"/>
  <c r="M8" i="9"/>
  <c r="G34" i="9"/>
  <c r="Q62" i="4"/>
  <c r="Q96" i="4"/>
  <c r="Q104" i="4"/>
  <c r="Q12" i="4"/>
  <c r="AZ578" i="6"/>
  <c r="CC532" i="6"/>
  <c r="CC533" i="6"/>
  <c r="Y612" i="6"/>
  <c r="AP539" i="6"/>
  <c r="BN589" i="6"/>
  <c r="BN590" i="6"/>
  <c r="T104" i="4"/>
  <c r="H95" i="18"/>
  <c r="AP537" i="6"/>
  <c r="AZ577" i="6"/>
  <c r="E12" i="4"/>
  <c r="I55" i="9"/>
  <c r="G57" i="9"/>
  <c r="Q587" i="6"/>
  <c r="W587" i="6"/>
  <c r="AC587" i="6"/>
  <c r="I21" i="9"/>
  <c r="I34" i="9"/>
  <c r="BK567" i="6"/>
  <c r="Q586" i="6"/>
  <c r="W586" i="6"/>
  <c r="AC586" i="6"/>
  <c r="BK628" i="3"/>
  <c r="AP536" i="6"/>
  <c r="Q42" i="9"/>
  <c r="BH714" i="3"/>
  <c r="BI714" i="3"/>
  <c r="BG628" i="3"/>
  <c r="AZ260" i="3"/>
  <c r="BO245" i="3"/>
  <c r="T269" i="3"/>
  <c r="G62" i="4"/>
  <c r="G96" i="4"/>
  <c r="G104" i="4"/>
  <c r="O610" i="6"/>
  <c r="E9" i="9"/>
  <c r="BX652" i="3"/>
  <c r="AB949" i="3"/>
  <c r="AJ949" i="3"/>
  <c r="AG42" i="9"/>
  <c r="AK542" i="6"/>
  <c r="R948" i="3"/>
  <c r="R950" i="3"/>
  <c r="Y779" i="3"/>
  <c r="Y778" i="3"/>
  <c r="C30" i="10"/>
  <c r="I104" i="4"/>
  <c r="G53" i="25"/>
  <c r="C61" i="18"/>
  <c r="C95" i="18"/>
  <c r="C103" i="18"/>
  <c r="R76" i="4"/>
  <c r="U69" i="25"/>
  <c r="BH742" i="3"/>
  <c r="BI742" i="3"/>
  <c r="BP585" i="6"/>
  <c r="BH733" i="3"/>
  <c r="BI733" i="3"/>
  <c r="AD20" i="27"/>
  <c r="AD22" i="27"/>
  <c r="B12" i="15"/>
  <c r="E12" i="15"/>
  <c r="E10" i="15"/>
  <c r="E5" i="15"/>
  <c r="B9" i="15"/>
  <c r="CH627" i="3"/>
  <c r="BS627" i="3"/>
  <c r="BG715" i="3"/>
  <c r="BH704" i="3"/>
  <c r="BI704" i="3"/>
  <c r="CC627" i="3"/>
  <c r="CM627" i="3"/>
  <c r="AM707" i="3"/>
  <c r="C13" i="15"/>
  <c r="BN627" i="3"/>
  <c r="B37" i="18"/>
  <c r="C39" i="15"/>
  <c r="E39" i="15"/>
  <c r="C67" i="25"/>
  <c r="J62" i="4"/>
  <c r="J96" i="4"/>
  <c r="J104" i="4"/>
  <c r="BH709" i="3"/>
  <c r="BI709" i="3"/>
  <c r="AD20" i="26"/>
  <c r="AD22" i="26"/>
  <c r="AI20" i="27"/>
  <c r="AI22" i="27"/>
  <c r="C62" i="4"/>
  <c r="BG746" i="3"/>
  <c r="BH730" i="3"/>
  <c r="BI730" i="3"/>
  <c r="E16" i="15"/>
  <c r="W28" i="9"/>
  <c r="K28" i="9"/>
  <c r="K34" i="9"/>
  <c r="M28" i="9"/>
  <c r="M34" i="9"/>
  <c r="AC28" i="9"/>
  <c r="L29" i="28"/>
  <c r="V29" i="28"/>
  <c r="CC652" i="3"/>
  <c r="AB950" i="3"/>
  <c r="CG628" i="3"/>
  <c r="O609" i="6"/>
  <c r="BW628" i="3"/>
  <c r="L27" i="28"/>
  <c r="V27" i="28"/>
  <c r="BS652" i="3"/>
  <c r="AB948" i="3"/>
  <c r="AJ948" i="3"/>
  <c r="O611" i="6"/>
  <c r="BH691" i="3"/>
  <c r="BI691" i="3"/>
  <c r="CQ628" i="3"/>
  <c r="O607" i="6"/>
  <c r="BH706" i="3"/>
  <c r="BI706" i="3"/>
  <c r="CC534" i="6"/>
  <c r="O8" i="9"/>
  <c r="M9" i="9"/>
  <c r="AC592" i="6"/>
  <c r="BR628" i="3"/>
  <c r="CQ629" i="3"/>
  <c r="O612" i="6"/>
  <c r="AU578" i="6"/>
  <c r="L26" i="28"/>
  <c r="BN652" i="3"/>
  <c r="AB947" i="3"/>
  <c r="E4" i="9"/>
  <c r="Z796" i="3"/>
  <c r="Q52" i="9"/>
  <c r="BH702" i="3"/>
  <c r="BI702" i="3"/>
  <c r="E13" i="15"/>
  <c r="BF587" i="6"/>
  <c r="BF590" i="6"/>
  <c r="BF591" i="6"/>
  <c r="BL587" i="6"/>
  <c r="BP587" i="6"/>
  <c r="CM652" i="3"/>
  <c r="CQ647" i="3"/>
  <c r="BH728" i="3"/>
  <c r="BI728" i="3"/>
  <c r="BH731" i="3"/>
  <c r="BI731" i="3"/>
  <c r="BH744" i="3"/>
  <c r="BI744" i="3"/>
  <c r="BH721" i="3"/>
  <c r="BH727" i="3"/>
  <c r="BI727" i="3"/>
  <c r="BH725" i="3"/>
  <c r="BI725" i="3"/>
  <c r="BH737" i="3"/>
  <c r="BI737" i="3"/>
  <c r="BH739" i="3"/>
  <c r="BI739" i="3"/>
  <c r="BH735" i="3"/>
  <c r="BI735" i="3"/>
  <c r="BH745" i="3"/>
  <c r="BI745" i="3"/>
  <c r="BH723" i="3"/>
  <c r="BI723" i="3"/>
  <c r="BH736" i="3"/>
  <c r="BI736" i="3"/>
  <c r="BH729" i="3"/>
  <c r="BI729" i="3"/>
  <c r="BH740" i="3"/>
  <c r="BI740" i="3"/>
  <c r="BH722" i="3"/>
  <c r="BI722" i="3"/>
  <c r="BH738" i="3"/>
  <c r="BI738" i="3"/>
  <c r="BH741" i="3"/>
  <c r="BI741" i="3"/>
  <c r="BH710" i="3"/>
  <c r="BI710" i="3"/>
  <c r="BH724" i="3"/>
  <c r="BI724" i="3"/>
  <c r="B13" i="15"/>
  <c r="BB586" i="6"/>
  <c r="BB590" i="6"/>
  <c r="BB591" i="6"/>
  <c r="BH586" i="6"/>
  <c r="BH590" i="6"/>
  <c r="BL586" i="6"/>
  <c r="BP586" i="6"/>
  <c r="T106" i="4"/>
  <c r="H105" i="18"/>
  <c r="H103" i="18"/>
  <c r="BH693" i="3"/>
  <c r="BI693" i="3"/>
  <c r="BH701" i="3"/>
  <c r="BI701" i="3"/>
  <c r="BH694" i="3"/>
  <c r="BI694" i="3"/>
  <c r="BH695" i="3"/>
  <c r="BI695" i="3"/>
  <c r="BH699" i="3"/>
  <c r="BI699" i="3"/>
  <c r="BH692" i="3"/>
  <c r="BI692" i="3"/>
  <c r="BH696" i="3"/>
  <c r="BI696" i="3"/>
  <c r="BH700" i="3"/>
  <c r="BI700" i="3"/>
  <c r="AJ950" i="3"/>
  <c r="G6" i="9"/>
  <c r="E7" i="9"/>
  <c r="CL628" i="3"/>
  <c r="CH652" i="3"/>
  <c r="O608" i="6"/>
  <c r="L30" i="28"/>
  <c r="V30" i="28"/>
  <c r="C96" i="4"/>
  <c r="B61" i="18"/>
  <c r="B63" i="15"/>
  <c r="D63" i="15"/>
  <c r="B62" i="4"/>
  <c r="C63" i="15"/>
  <c r="BP590" i="6"/>
  <c r="BN591" i="6"/>
  <c r="BH732" i="3"/>
  <c r="BI732" i="3"/>
  <c r="E9" i="15"/>
  <c r="BH703" i="3"/>
  <c r="BI703" i="3"/>
  <c r="BH712" i="3"/>
  <c r="BI712" i="3"/>
  <c r="BH705" i="3"/>
  <c r="BI705" i="3"/>
  <c r="O21" i="9"/>
  <c r="O34" i="9"/>
  <c r="Q14" i="9"/>
  <c r="BH708" i="3"/>
  <c r="BI708" i="3"/>
  <c r="AU576" i="6"/>
  <c r="Y610" i="6"/>
  <c r="R96" i="4"/>
  <c r="R104" i="4" s="1"/>
  <c r="BH690" i="3"/>
  <c r="BH697" i="3"/>
  <c r="BI697" i="3"/>
  <c r="BH726" i="3"/>
  <c r="BI726" i="3"/>
  <c r="BH698" i="3"/>
  <c r="BI698" i="3"/>
  <c r="BH734" i="3"/>
  <c r="BI734" i="3"/>
  <c r="BH743" i="3"/>
  <c r="BI743" i="3"/>
  <c r="BH711" i="3"/>
  <c r="BI711" i="3"/>
  <c r="BH707" i="3"/>
  <c r="BI707" i="3"/>
  <c r="K55" i="9"/>
  <c r="I57" i="9"/>
  <c r="CH552" i="6"/>
  <c r="BE578" i="6"/>
  <c r="AP588" i="6"/>
  <c r="CE532" i="6"/>
  <c r="CE533" i="6"/>
  <c r="BH713" i="3"/>
  <c r="BI713" i="3"/>
  <c r="CQ648" i="3"/>
  <c r="CQ650" i="3"/>
  <c r="U372" i="6"/>
  <c r="BO574" i="6"/>
  <c r="BO579" i="6"/>
  <c r="E63" i="15"/>
  <c r="AJ947" i="3"/>
  <c r="AJ953" i="3"/>
  <c r="T690" i="6"/>
  <c r="AK618" i="6"/>
  <c r="AU577" i="6"/>
  <c r="Y611" i="6"/>
  <c r="CC538" i="6"/>
  <c r="BW530" i="6"/>
  <c r="BW533" i="6"/>
  <c r="BU534" i="6"/>
  <c r="BE576" i="6"/>
  <c r="AP586" i="6"/>
  <c r="CH550" i="6"/>
  <c r="AU537" i="6"/>
  <c r="BL590" i="6"/>
  <c r="BJ591" i="6"/>
  <c r="BJ592" i="6"/>
  <c r="AV556" i="6"/>
  <c r="AU575" i="6"/>
  <c r="Y609" i="6"/>
  <c r="Q21" i="9"/>
  <c r="Q34" i="9"/>
  <c r="S14" i="9"/>
  <c r="BI721" i="3"/>
  <c r="BI746" i="3"/>
  <c r="AM731" i="3"/>
  <c r="BH746" i="3"/>
  <c r="L31" i="28"/>
  <c r="V26" i="28"/>
  <c r="V31" i="28"/>
  <c r="AD11" i="5"/>
  <c r="AD23" i="5"/>
  <c r="AD26" i="5"/>
  <c r="AD28" i="5"/>
  <c r="AD11" i="27"/>
  <c r="AD23" i="27"/>
  <c r="AD26" i="27"/>
  <c r="AD28" i="27"/>
  <c r="AD11" i="26"/>
  <c r="AD23" i="26"/>
  <c r="AD26" i="26"/>
  <c r="AD28" i="26"/>
  <c r="AI11" i="26"/>
  <c r="AI23" i="26"/>
  <c r="AI26" i="26"/>
  <c r="AI28" i="26"/>
  <c r="AD63" i="26"/>
  <c r="AI11" i="27"/>
  <c r="AI23" i="27"/>
  <c r="AI26" i="27"/>
  <c r="AI28" i="27"/>
  <c r="AD63" i="27"/>
  <c r="I6" i="9"/>
  <c r="G7" i="9"/>
  <c r="AB951" i="3"/>
  <c r="AJ951" i="3"/>
  <c r="M55" i="9"/>
  <c r="K57" i="9"/>
  <c r="BI690" i="3"/>
  <c r="BI715" i="3"/>
  <c r="AH731" i="3"/>
  <c r="BH715" i="3"/>
  <c r="BF567" i="6"/>
  <c r="BK570" i="6"/>
  <c r="AU548" i="6"/>
  <c r="AU574" i="6"/>
  <c r="AY543" i="6"/>
  <c r="Q8" i="9"/>
  <c r="O9" i="9"/>
  <c r="O734" i="3"/>
  <c r="P414" i="3"/>
  <c r="S52" i="9"/>
  <c r="AU573" i="6"/>
  <c r="O613" i="6"/>
  <c r="C104" i="4"/>
  <c r="B97" i="15"/>
  <c r="B95" i="18"/>
  <c r="D97" i="15"/>
  <c r="C97" i="15"/>
  <c r="E97" i="15" s="1"/>
  <c r="B96" i="4"/>
  <c r="E5" i="9"/>
  <c r="E10" i="9"/>
  <c r="E36" i="9"/>
  <c r="G4" i="9"/>
  <c r="E44" i="9"/>
  <c r="E48" i="9"/>
  <c r="AX548" i="6"/>
  <c r="AU551" i="6"/>
  <c r="AS544" i="6"/>
  <c r="CH551" i="6"/>
  <c r="BE577" i="6"/>
  <c r="AP587" i="6"/>
  <c r="CA531" i="6"/>
  <c r="CA533" i="6"/>
  <c r="BY534" i="6"/>
  <c r="AU538" i="6"/>
  <c r="T689" i="6"/>
  <c r="AO683" i="6"/>
  <c r="AF689" i="6"/>
  <c r="AF695" i="6"/>
  <c r="BU536" i="6"/>
  <c r="BS529" i="6"/>
  <c r="BS533" i="6"/>
  <c r="BQ534" i="6"/>
  <c r="AU536" i="6"/>
  <c r="BE575" i="6"/>
  <c r="AU535" i="6"/>
  <c r="CH549" i="6"/>
  <c r="BI548" i="6"/>
  <c r="BI552" i="6"/>
  <c r="AU539" i="6"/>
  <c r="AB952" i="3"/>
  <c r="S21" i="9"/>
  <c r="S34" i="9"/>
  <c r="U14" i="9"/>
  <c r="O55" i="9"/>
  <c r="M57" i="9"/>
  <c r="CC535" i="6"/>
  <c r="BM549" i="6"/>
  <c r="BM552" i="6"/>
  <c r="U52" i="9"/>
  <c r="B104" i="4"/>
  <c r="AB46" i="26" s="1"/>
  <c r="AB48" i="26" s="1"/>
  <c r="B105" i="15"/>
  <c r="B103" i="18"/>
  <c r="D105" i="15"/>
  <c r="C105" i="15"/>
  <c r="E105" i="15" s="1"/>
  <c r="AC448" i="3"/>
  <c r="G5" i="9"/>
  <c r="I4" i="9"/>
  <c r="G10" i="9"/>
  <c r="G36" i="9"/>
  <c r="S8" i="9"/>
  <c r="Q9" i="9"/>
  <c r="I7" i="9"/>
  <c r="K6" i="9"/>
  <c r="AP585" i="6"/>
  <c r="BT575" i="6"/>
  <c r="BQ535" i="6"/>
  <c r="BQ539" i="6"/>
  <c r="CC537" i="6"/>
  <c r="W52" i="9"/>
  <c r="U21" i="9"/>
  <c r="U34" i="9"/>
  <c r="W14" i="9"/>
  <c r="G44" i="9"/>
  <c r="G48" i="9"/>
  <c r="CC536" i="6"/>
  <c r="CC539" i="6"/>
  <c r="BU535" i="6"/>
  <c r="BU539" i="6"/>
  <c r="I5" i="9"/>
  <c r="I10" i="9"/>
  <c r="I36" i="9"/>
  <c r="K4" i="9"/>
  <c r="AB46" i="5"/>
  <c r="AB48" i="5"/>
  <c r="AB46" i="27"/>
  <c r="AB48" i="27"/>
  <c r="AB53" i="27" s="1"/>
  <c r="AB54" i="27" s="1"/>
  <c r="AC447" i="3"/>
  <c r="J58" i="25"/>
  <c r="G71" i="25" s="1"/>
  <c r="G72" i="25" s="1"/>
  <c r="B75" i="25" s="1"/>
  <c r="BQ550" i="6"/>
  <c r="K7" i="9"/>
  <c r="M6" i="9"/>
  <c r="U8" i="9"/>
  <c r="S9" i="9"/>
  <c r="BY535" i="6"/>
  <c r="BY536" i="6"/>
  <c r="BY537" i="6"/>
  <c r="Q55" i="9"/>
  <c r="O57" i="9"/>
  <c r="E46" i="9"/>
  <c r="E47" i="9"/>
  <c r="E59" i="9"/>
  <c r="E71" i="9"/>
  <c r="I48" i="9"/>
  <c r="I44" i="9"/>
  <c r="BQ552" i="6"/>
  <c r="BU551" i="6"/>
  <c r="BU552" i="6"/>
  <c r="G46" i="9"/>
  <c r="G47" i="9"/>
  <c r="G59" i="9"/>
  <c r="S55" i="9"/>
  <c r="Q57" i="9"/>
  <c r="Y14" i="9"/>
  <c r="W21" i="9"/>
  <c r="W34" i="9"/>
  <c r="BT579" i="6"/>
  <c r="BY576" i="6"/>
  <c r="W8" i="9"/>
  <c r="U9" i="9"/>
  <c r="Y52" i="9"/>
  <c r="O6" i="9"/>
  <c r="M7" i="9"/>
  <c r="M4" i="9"/>
  <c r="K5" i="9"/>
  <c r="K10" i="9"/>
  <c r="K36" i="9"/>
  <c r="BY539" i="6"/>
  <c r="CG539" i="6"/>
  <c r="I59" i="9"/>
  <c r="I46" i="9"/>
  <c r="I47" i="9"/>
  <c r="O7" i="9"/>
  <c r="Q6" i="9"/>
  <c r="AA14" i="9"/>
  <c r="Y21" i="9"/>
  <c r="Y34" i="9"/>
  <c r="AA52" i="9"/>
  <c r="K48" i="9"/>
  <c r="K44" i="9"/>
  <c r="Y8" i="9"/>
  <c r="W9" i="9"/>
  <c r="G68" i="9"/>
  <c r="G65" i="9"/>
  <c r="G67" i="9"/>
  <c r="G66" i="9"/>
  <c r="G61" i="9"/>
  <c r="BY579" i="6"/>
  <c r="CD577" i="6"/>
  <c r="CD579" i="6"/>
  <c r="O4" i="9"/>
  <c r="M5" i="9"/>
  <c r="M10" i="9"/>
  <c r="M36" i="9"/>
  <c r="U55" i="9"/>
  <c r="S57" i="9"/>
  <c r="CC552" i="6"/>
  <c r="M48" i="9"/>
  <c r="M44" i="9"/>
  <c r="Y9" i="9"/>
  <c r="AA8" i="9"/>
  <c r="AC14" i="9"/>
  <c r="AA21" i="9"/>
  <c r="AA34" i="9"/>
  <c r="W55" i="9"/>
  <c r="U57" i="9"/>
  <c r="AC52" i="9"/>
  <c r="I66" i="9"/>
  <c r="I65" i="9"/>
  <c r="I68" i="9"/>
  <c r="I61" i="9"/>
  <c r="I67" i="9"/>
  <c r="Q7" i="9"/>
  <c r="S6" i="9"/>
  <c r="CI578" i="6"/>
  <c r="CI579" i="6"/>
  <c r="CN579" i="6"/>
  <c r="BD560" i="6"/>
  <c r="Q4" i="9"/>
  <c r="O5" i="9"/>
  <c r="O10" i="9"/>
  <c r="O36" i="9"/>
  <c r="K47" i="9"/>
  <c r="K46" i="9"/>
  <c r="K59" i="9"/>
  <c r="G69" i="9"/>
  <c r="G71" i="9"/>
  <c r="I69" i="9"/>
  <c r="I71" i="9"/>
  <c r="AT562" i="6"/>
  <c r="AW564" i="6"/>
  <c r="U6" i="9"/>
  <c r="S7" i="9"/>
  <c r="K65" i="9"/>
  <c r="K67" i="9"/>
  <c r="K61" i="9"/>
  <c r="K66" i="9"/>
  <c r="K68" i="9"/>
  <c r="AE52" i="9"/>
  <c r="S4" i="9"/>
  <c r="Q5" i="9"/>
  <c r="Q10" i="9"/>
  <c r="Q36" i="9"/>
  <c r="AC8" i="9"/>
  <c r="AA9" i="9"/>
  <c r="M46" i="9"/>
  <c r="M59" i="9"/>
  <c r="M47" i="9"/>
  <c r="Y55" i="9"/>
  <c r="W57" i="9"/>
  <c r="O44" i="9"/>
  <c r="O48" i="9"/>
  <c r="AC21" i="9"/>
  <c r="AC34" i="9"/>
  <c r="AE14" i="9"/>
  <c r="Q44" i="9"/>
  <c r="Q48" i="9"/>
  <c r="AE21" i="9"/>
  <c r="AE34" i="9"/>
  <c r="AG14" i="9"/>
  <c r="AG21" i="9"/>
  <c r="AG34" i="9"/>
  <c r="AG52" i="9"/>
  <c r="W6" i="9"/>
  <c r="U7" i="9"/>
  <c r="S5" i="9"/>
  <c r="S10" i="9"/>
  <c r="S36" i="9"/>
  <c r="U4" i="9"/>
  <c r="M67" i="9"/>
  <c r="M66" i="9"/>
  <c r="M68" i="9"/>
  <c r="M61" i="9"/>
  <c r="M65" i="9"/>
  <c r="K69" i="9"/>
  <c r="K71" i="9"/>
  <c r="O46" i="9"/>
  <c r="O47" i="9"/>
  <c r="O59" i="9"/>
  <c r="AC9" i="9"/>
  <c r="AE8" i="9"/>
  <c r="AA55" i="9"/>
  <c r="Y57" i="9"/>
  <c r="O67" i="9"/>
  <c r="O66" i="9"/>
  <c r="O65" i="9"/>
  <c r="O61" i="9"/>
  <c r="O68" i="9"/>
  <c r="Y6" i="9"/>
  <c r="W7" i="9"/>
  <c r="S44" i="9"/>
  <c r="S48" i="9"/>
  <c r="AC55" i="9"/>
  <c r="AA57" i="9"/>
  <c r="U5" i="9"/>
  <c r="U10" i="9"/>
  <c r="U36" i="9"/>
  <c r="W4" i="9"/>
  <c r="AG8" i="9"/>
  <c r="AG9" i="9"/>
  <c r="AE9" i="9"/>
  <c r="M69" i="9"/>
  <c r="M71" i="9"/>
  <c r="Q59" i="9"/>
  <c r="Q46" i="9"/>
  <c r="Q47" i="9"/>
  <c r="U44" i="9"/>
  <c r="U48" i="9"/>
  <c r="Y7" i="9"/>
  <c r="AA6" i="9"/>
  <c r="Q68" i="9"/>
  <c r="Q61" i="9"/>
  <c r="Q66" i="9"/>
  <c r="Q67" i="9"/>
  <c r="Q65" i="9"/>
  <c r="AE55" i="9"/>
  <c r="AC57" i="9"/>
  <c r="S46" i="9"/>
  <c r="S47" i="9"/>
  <c r="S59" i="9"/>
  <c r="O69" i="9"/>
  <c r="O71" i="9"/>
  <c r="Y4" i="9"/>
  <c r="W5" i="9"/>
  <c r="W10" i="9"/>
  <c r="W36" i="9"/>
  <c r="W44" i="9"/>
  <c r="W48" i="9"/>
  <c r="S61" i="9"/>
  <c r="S66" i="9"/>
  <c r="S67" i="9"/>
  <c r="S68" i="9"/>
  <c r="S65" i="9"/>
  <c r="AA4" i="9"/>
  <c r="Y5" i="9"/>
  <c r="Y10" i="9"/>
  <c r="Y36" i="9"/>
  <c r="AG55" i="9"/>
  <c r="AG57" i="9"/>
  <c r="AE57" i="9"/>
  <c r="AA7" i="9"/>
  <c r="AC6" i="9"/>
  <c r="Q69" i="9"/>
  <c r="Q71" i="9"/>
  <c r="U47" i="9"/>
  <c r="U59" i="9"/>
  <c r="U46" i="9"/>
  <c r="Y48" i="9"/>
  <c r="Y44" i="9"/>
  <c r="U61" i="9"/>
  <c r="U68" i="9"/>
  <c r="U65" i="9"/>
  <c r="U67" i="9"/>
  <c r="U66" i="9"/>
  <c r="AC7" i="9"/>
  <c r="AE6" i="9"/>
  <c r="AA5" i="9"/>
  <c r="AA10" i="9"/>
  <c r="AA36" i="9"/>
  <c r="AC4" i="9"/>
  <c r="S69" i="9"/>
  <c r="S71" i="9"/>
  <c r="W46" i="9"/>
  <c r="W59" i="9"/>
  <c r="W47" i="9"/>
  <c r="U69" i="9"/>
  <c r="U71" i="9"/>
  <c r="W61" i="9"/>
  <c r="W65" i="9"/>
  <c r="W66" i="9"/>
  <c r="W67" i="9"/>
  <c r="W68" i="9"/>
  <c r="AA48" i="9"/>
  <c r="AA44" i="9"/>
  <c r="AG6" i="9"/>
  <c r="AG7" i="9"/>
  <c r="AE7" i="9"/>
  <c r="Y59" i="9"/>
  <c r="Y46" i="9"/>
  <c r="Y47" i="9"/>
  <c r="AE4" i="9"/>
  <c r="AC5" i="9"/>
  <c r="AC10" i="9"/>
  <c r="AC36" i="9"/>
  <c r="AC48" i="9"/>
  <c r="AC44" i="9"/>
  <c r="AG4" i="9"/>
  <c r="AE5" i="9"/>
  <c r="AE10" i="9"/>
  <c r="AE36" i="9"/>
  <c r="Y65" i="9"/>
  <c r="Y67" i="9"/>
  <c r="Y68" i="9"/>
  <c r="Y66" i="9"/>
  <c r="Y61" i="9"/>
  <c r="W69" i="9"/>
  <c r="W71" i="9"/>
  <c r="AA59" i="9"/>
  <c r="AA46" i="9"/>
  <c r="AA47" i="9"/>
  <c r="AE44" i="9"/>
  <c r="AE48" i="9"/>
  <c r="Y69" i="9"/>
  <c r="Y71" i="9"/>
  <c r="AA67" i="9"/>
  <c r="AA61" i="9"/>
  <c r="AA65" i="9"/>
  <c r="AA66" i="9"/>
  <c r="AA68" i="9"/>
  <c r="AG5" i="9"/>
  <c r="AG10" i="9"/>
  <c r="AG36" i="9"/>
  <c r="AC46" i="9"/>
  <c r="AC59" i="9"/>
  <c r="AC47" i="9"/>
  <c r="AA69" i="9"/>
  <c r="AA71" i="9"/>
  <c r="AG48" i="9"/>
  <c r="AG44" i="9"/>
  <c r="AC61" i="9"/>
  <c r="AC67" i="9"/>
  <c r="AC66" i="9"/>
  <c r="AC65" i="9"/>
  <c r="AC68" i="9"/>
  <c r="AE46" i="9"/>
  <c r="AE59" i="9"/>
  <c r="AE47" i="9"/>
  <c r="AC69" i="9"/>
  <c r="AC71" i="9"/>
  <c r="AE68" i="9"/>
  <c r="AE61" i="9"/>
  <c r="AE67" i="9"/>
  <c r="AE66" i="9"/>
  <c r="AE65" i="9"/>
  <c r="AE69" i="9"/>
  <c r="AG47" i="9"/>
  <c r="AG59" i="9"/>
  <c r="AG46" i="9"/>
  <c r="AE71" i="9"/>
  <c r="AG68" i="9"/>
  <c r="AG66" i="9"/>
  <c r="AG61" i="9"/>
  <c r="AG67" i="9"/>
  <c r="AG65" i="9"/>
  <c r="AG69" i="9"/>
  <c r="AG71" i="9"/>
  <c r="S104" i="4" l="1"/>
  <c r="S106" i="4" s="1"/>
  <c r="AC449" i="3" s="1"/>
  <c r="E95" i="18"/>
  <c r="AB53" i="26"/>
  <c r="AB54" i="26" s="1"/>
  <c r="B76" i="25"/>
  <c r="O76" i="25" s="1"/>
  <c r="AB53" i="5"/>
  <c r="AB54" i="5" s="1"/>
  <c r="E103" i="18" l="1"/>
  <c r="E105" i="18"/>
  <c r="T11" i="27" s="1"/>
  <c r="T23" i="27" s="1"/>
  <c r="X1006" i="3"/>
  <c r="X1007" i="3" s="1"/>
  <c r="D1008" i="3" s="1"/>
  <c r="Y11" i="26" l="1"/>
  <c r="Y23" i="26" s="1"/>
  <c r="Y26" i="26" s="1"/>
  <c r="Y28" i="26" s="1"/>
  <c r="Y63" i="26" s="1"/>
  <c r="Y67" i="26" s="1"/>
  <c r="T11" i="26"/>
  <c r="T23" i="26" s="1"/>
  <c r="T26" i="26" s="1"/>
  <c r="T28" i="26" s="1"/>
  <c r="T29" i="26" s="1"/>
  <c r="T11" i="5"/>
  <c r="T23" i="5" s="1"/>
  <c r="Y11" i="27"/>
  <c r="Y23" i="27" s="1"/>
  <c r="Y26" i="27" s="1"/>
  <c r="Y28" i="27" s="1"/>
  <c r="Y63" i="27" s="1"/>
  <c r="Y67" i="27" s="1"/>
  <c r="T26" i="27"/>
  <c r="T28" i="27" s="1"/>
  <c r="T29" i="27" s="1"/>
  <c r="AD38" i="27"/>
  <c r="AD40" i="27" s="1"/>
  <c r="Y38" i="27"/>
  <c r="Y40" i="27" s="1"/>
  <c r="BE16" i="28"/>
  <c r="Y38" i="26" l="1"/>
  <c r="Y40" i="26" s="1"/>
  <c r="AD38" i="26"/>
  <c r="AD40" i="26" s="1"/>
  <c r="Y41" i="27"/>
  <c r="AB55" i="27" s="1"/>
  <c r="AB56" i="27" s="1"/>
  <c r="Q71" i="25"/>
  <c r="O75" i="25" s="1"/>
  <c r="R75" i="25" s="1"/>
  <c r="T26" i="5"/>
  <c r="T28" i="5" s="1"/>
  <c r="AD38" i="5"/>
  <c r="AD40" i="5" s="1"/>
  <c r="Y41" i="26" l="1"/>
  <c r="AB55" i="26" s="1"/>
  <c r="AB56" i="26" s="1"/>
  <c r="AB58" i="26" s="1"/>
  <c r="AB75" i="26" s="1"/>
  <c r="AB76" i="26" s="1"/>
  <c r="AB77" i="26" s="1"/>
  <c r="AB79" i="26" s="1"/>
  <c r="J80" i="26" s="1"/>
  <c r="Y63" i="5"/>
  <c r="Y67" i="5" s="1"/>
  <c r="T29" i="5"/>
  <c r="Y38" i="5"/>
  <c r="Y40" i="5" s="1"/>
  <c r="AB58" i="27"/>
  <c r="F59" i="26" l="1"/>
  <c r="AR43" i="5"/>
  <c r="AR42" i="5"/>
  <c r="Y41" i="5" s="1"/>
  <c r="AB55" i="5" s="1"/>
  <c r="AB75" i="27"/>
  <c r="AB76" i="27" s="1"/>
  <c r="AB77" i="27" s="1"/>
  <c r="AB79" i="27" s="1"/>
  <c r="J80" i="27" s="1"/>
  <c r="F59" i="27"/>
  <c r="Q22" i="28" l="1"/>
  <c r="V33" i="28" s="1"/>
  <c r="V35" i="28" s="1"/>
  <c r="M25" i="3"/>
  <c r="AB56" i="5"/>
  <c r="BE15" i="28"/>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<sst xmlns="http://schemas.openxmlformats.org/spreadsheetml/2006/main" count="4712" uniqueCount="2492">
  <si>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</si>
  <si>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</si>
  <si>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</si>
  <si>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</si>
  <si>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</si>
  <si>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</si>
  <si>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</si>
  <si>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</si>
  <si>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</si>
  <si>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</si>
  <si>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</si>
  <si>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</si>
  <si>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</si>
  <si>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</si>
  <si>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</si>
  <si>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</si>
  <si>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</si>
  <si>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</si>
  <si>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</si>
  <si>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</si>
  <si>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</si>
  <si>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</si>
  <si>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</si>
  <si>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</si>
  <si>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</si>
  <si>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</si>
  <si>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</si>
  <si>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</si>
  <si>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</si>
  <si>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</si>
  <si>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</si>
  <si>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</si>
  <si>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</si>
  <si>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</si>
  <si>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</si>
  <si>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</si>
  <si>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</si>
  <si>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</si>
  <si>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</si>
  <si>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</si>
  <si>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</si>
  <si>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</si>
  <si>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</si>
  <si>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</si>
  <si>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</si>
  <si>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</si>
  <si>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</si>
  <si>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</si>
  <si>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</si>
  <si>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</si>
  <si>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</si>
  <si>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</si>
  <si>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</si>
  <si>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</si>
  <si>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</si>
  <si>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</si>
  <si>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</si>
  <si>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</si>
  <si>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</si>
  <si>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</si>
  <si>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</si>
  <si>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</si>
  <si>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</si>
  <si>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</si>
  <si>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</si>
  <si>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</si>
  <si>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</si>
  <si>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</si>
  <si>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</si>
  <si>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</si>
  <si>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</si>
  <si>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</si>
  <si>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</si>
  <si>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</si>
  <si>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</si>
  <si>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</si>
  <si>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</si>
  <si>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</si>
  <si>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</si>
  <si>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</si>
  <si>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</si>
  <si>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</si>
  <si>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</si>
  <si>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</si>
  <si>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</si>
  <si>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</si>
  <si>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</si>
  <si>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</si>
  <si>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</si>
  <si>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</si>
  <si>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</si>
  <si>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</si>
  <si>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</si>
  <si>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</si>
  <si>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</si>
  <si>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</si>
  <si>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</si>
  <si>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</si>
  <si>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</si>
  <si>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</si>
  <si>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</si>
  <si>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</si>
  <si>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</si>
  <si>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</si>
  <si>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</si>
  <si>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</si>
  <si>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</si>
  <si>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</si>
  <si>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</si>
  <si>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</si>
  <si>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</si>
  <si>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</si>
  <si>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</si>
  <si>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</si>
  <si>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</si>
  <si>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</si>
  <si>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</si>
  <si>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</si>
  <si>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</si>
  <si>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</si>
  <si>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</si>
  <si>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</si>
  <si>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</si>
  <si>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</si>
  <si>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</si>
  <si>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</si>
  <si>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</si>
  <si>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</si>
  <si>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</si>
  <si>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</si>
  <si>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</si>
  <si>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</si>
  <si>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</si>
  <si>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</si>
  <si>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</si>
  <si>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</si>
  <si>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</si>
  <si>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</si>
  <si>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</si>
  <si>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</si>
  <si>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</si>
  <si>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</si>
  <si>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</si>
  <si>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</si>
  <si>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</si>
  <si>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</si>
  <si>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</si>
  <si>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</si>
  <si>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</si>
  <si>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</si>
  <si>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</si>
  <si>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</si>
  <si>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</si>
  <si>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</si>
  <si>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</si>
  <si>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</si>
  <si>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</si>
  <si>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</si>
  <si>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</si>
  <si>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</si>
  <si>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</si>
  <si>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</si>
  <si>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</si>
  <si>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</si>
  <si>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</si>
  <si>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</si>
  <si>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</si>
  <si>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</si>
  <si>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</si>
  <si>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</si>
  <si>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</si>
  <si>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</si>
  <si>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</si>
  <si>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</si>
  <si>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</si>
  <si>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</si>
  <si>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</si>
  <si>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</si>
  <si>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</si>
  <si>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</si>
  <si>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</si>
  <si>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</si>
  <si>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</si>
  <si>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</si>
  <si>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</si>
  <si>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</si>
  <si>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</si>
  <si>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</si>
  <si>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</si>
  <si>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</si>
  <si>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</si>
  <si>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</si>
  <si>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</si>
  <si>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</si>
  <si>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</si>
  <si>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</si>
  <si>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</si>
  <si>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</si>
  <si>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</si>
  <si>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</si>
  <si>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</si>
  <si>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</si>
  <si>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</si>
  <si>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</si>
  <si>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</si>
  <si>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</si>
  <si>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</si>
  <si>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</si>
  <si>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</si>
  <si>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</si>
  <si>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</si>
  <si>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</si>
  <si>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</si>
  <si>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</si>
  <si>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</si>
  <si>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</si>
  <si>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</si>
  <si>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</si>
  <si>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</si>
  <si>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</si>
  <si>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</si>
  <si>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</si>
  <si>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</si>
  <si>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</si>
  <si>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</si>
  <si>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</si>
  <si>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</si>
  <si>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</si>
  <si>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</si>
  <si>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</si>
  <si>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</si>
  <si>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</si>
  <si>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</si>
  <si>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</si>
  <si>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</si>
  <si>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</si>
  <si>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</si>
  <si>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</si>
  <si>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</si>
  <si>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</si>
  <si>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</si>
  <si>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</si>
  <si>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</si>
  <si>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</si>
  <si>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</si>
  <si>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</si>
  <si>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</si>
  <si>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</si>
  <si>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</si>
  <si>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</si>
  <si>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</si>
  <si>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</si>
  <si>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</si>
  <si>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</si>
  <si>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</si>
  <si>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</si>
  <si>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</si>
  <si>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</si>
  <si>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</si>
  <si>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</si>
  <si>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</si>
  <si>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</si>
  <si>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</si>
  <si>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</si>
  <si>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</si>
  <si>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</si>
  <si>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</si>
  <si>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</si>
  <si>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</si>
  <si>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</si>
  <si>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</si>
  <si>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</si>
  <si>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</si>
  <si>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</si>
  <si>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</si>
  <si>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</si>
  <si>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</si>
  <si>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</si>
  <si>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</si>
  <si>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</si>
  <si>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</si>
  <si>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</si>
  <si>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</si>
  <si>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</si>
  <si>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</si>
  <si>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</si>
  <si>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</si>
  <si>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</si>
  <si>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</si>
  <si>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</si>
  <si>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</si>
  <si>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</si>
  <si>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</si>
  <si>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</si>
  <si>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</si>
  <si>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</si>
  <si>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</si>
  <si>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</si>
  <si>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</si>
  <si>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</si>
  <si>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</si>
  <si>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</si>
  <si>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</si>
  <si>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</si>
  <si>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</si>
  <si>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</si>
  <si>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</si>
  <si>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</si>
  <si>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</si>
  <si>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</si>
  <si>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</si>
  <si>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</si>
  <si>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</si>
  <si>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</si>
  <si>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</si>
  <si>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</si>
  <si>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</si>
  <si>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</si>
  <si>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</si>
  <si>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</si>
  <si>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</si>
  <si>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</si>
  <si>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</si>
  <si>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</si>
  <si>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</si>
  <si>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</si>
  <si>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</si>
  <si>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</si>
  <si>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</si>
  <si>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</si>
  <si>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</si>
  <si>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</si>
  <si>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</si>
  <si>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</si>
  <si>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</si>
  <si>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</si>
  <si>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</si>
  <si>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</si>
  <si>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</si>
  <si>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</si>
  <si>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</si>
  <si>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</si>
  <si>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</si>
  <si>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</si>
  <si>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</si>
  <si>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</si>
  <si>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</si>
  <si>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</si>
  <si>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</si>
  <si>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</si>
  <si>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</si>
  <si>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</si>
  <si>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</si>
  <si>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</si>
  <si>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</si>
  <si>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</si>
  <si>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</si>
  <si>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</si>
  <si>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</si>
  <si>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</si>
  <si>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</si>
  <si>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</si>
  <si>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</si>
  <si>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</si>
  <si>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</si>
  <si>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</si>
  <si>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</si>
  <si>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</si>
  <si>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</si>
  <si>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</si>
  <si>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</si>
  <si>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</si>
  <si>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</si>
  <si>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</si>
  <si>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</si>
  <si>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</si>
  <si>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</si>
  <si>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</si>
  <si>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</si>
  <si>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</si>
  <si>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</si>
  <si>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</si>
  <si>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</si>
  <si>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</si>
  <si>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</si>
  <si>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</si>
  <si>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</si>
  <si>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</si>
  <si>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</si>
  <si>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</si>
  <si>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</si>
  <si>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</si>
  <si>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</si>
  <si>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</si>
  <si>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</si>
  <si>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</si>
  <si>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</si>
  <si>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</si>
  <si>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</si>
  <si>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</si>
  <si>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</si>
  <si>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</si>
  <si>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</si>
  <si>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</si>
  <si>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</si>
  <si>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</si>
  <si>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</si>
  <si>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</si>
  <si>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</si>
  <si>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</si>
  <si>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</si>
  <si>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</si>
  <si>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</si>
  <si>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</si>
  <si>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</si>
  <si>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</si>
  <si>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</si>
  <si>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</si>
  <si>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</si>
  <si>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</si>
  <si>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</si>
  <si>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</si>
  <si>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</si>
  <si>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</si>
  <si>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</si>
  <si>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</si>
  <si>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</si>
  <si>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</si>
  <si>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</si>
  <si>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</si>
  <si>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</si>
  <si>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</si>
  <si>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</si>
  <si>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</si>
  <si>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</si>
  <si>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</si>
  <si>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</si>
  <si>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</si>
  <si>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</si>
  <si>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</si>
  <si>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</si>
  <si>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</si>
  <si>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</si>
  <si>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</si>
  <si>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</si>
  <si>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</si>
  <si>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</si>
  <si>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</si>
  <si>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</si>
  <si>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</si>
  <si>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</si>
  <si>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</si>
  <si>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</si>
  <si>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</si>
  <si>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</si>
  <si>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</si>
  <si>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</si>
  <si>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</si>
  <si>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</si>
  <si>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</si>
  <si>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</si>
  <si>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</si>
  <si>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</si>
  <si>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</si>
  <si>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</si>
  <si>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</si>
  <si>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</si>
  <si>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</si>
  <si>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</si>
  <si>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</si>
  <si>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</si>
  <si>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</si>
  <si>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</si>
  <si>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</si>
  <si>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</si>
  <si>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</si>
  <si>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</si>
  <si>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</si>
  <si>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</si>
  <si>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</si>
  <si>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</si>
  <si>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</si>
  <si>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</si>
  <si>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</si>
  <si>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</si>
  <si>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</si>
  <si>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</si>
  <si>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</si>
  <si>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</si>
  <si>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</si>
  <si>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</si>
  <si>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</si>
  <si>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</si>
  <si>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</si>
  <si>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</si>
  <si>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</si>
  <si>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</si>
  <si>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</si>
  <si>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</si>
  <si>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</si>
  <si>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</si>
  <si>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</si>
  <si>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</si>
  <si>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</si>
  <si>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</si>
  <si>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</si>
  <si>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</si>
  <si>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</si>
  <si>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</si>
  <si>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</si>
  <si>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</si>
  <si>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</si>
  <si>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</si>
  <si>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</si>
  <si>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</si>
  <si>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</si>
  <si>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</si>
  <si>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</si>
  <si>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</si>
  <si>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</si>
  <si>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</si>
  <si>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</si>
  <si>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</si>
  <si>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</si>
  <si>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</si>
  <si>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</si>
  <si>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</si>
  <si>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</si>
  <si>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</si>
  <si>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</si>
  <si>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</si>
  <si>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</si>
  <si>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</si>
  <si>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</si>
  <si>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</si>
  <si>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</si>
  <si>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</si>
  <si>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</si>
  <si>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</si>
  <si>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</si>
  <si>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</si>
  <si>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</si>
  <si>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</si>
  <si>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</si>
  <si>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</si>
  <si>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</si>
  <si>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</si>
  <si>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</si>
  <si>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</si>
  <si>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</si>
  <si>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</si>
  <si>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</si>
  <si>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</si>
  <si>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</si>
  <si>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</si>
  <si>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</si>
  <si>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</si>
  <si>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</si>
  <si>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</si>
  <si>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</si>
  <si>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</si>
  <si>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</si>
  <si>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</si>
  <si>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</si>
  <si>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</si>
  <si>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</si>
  <si>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</si>
  <si>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</si>
  <si>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</si>
  <si>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</si>
  <si>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</si>
  <si>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</si>
  <si>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</si>
  <si>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</si>
  <si>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</si>
  <si>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</si>
  <si>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</si>
  <si>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</si>
  <si>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</si>
  <si>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</si>
  <si>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</si>
  <si>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</si>
  <si>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</si>
  <si>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</si>
  <si>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</si>
  <si>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</si>
  <si>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</si>
  <si>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</si>
  <si>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</si>
  <si>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</si>
  <si>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</si>
  <si>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</si>
  <si>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</si>
  <si>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</si>
  <si>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</si>
  <si>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</si>
  <si>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</si>
  <si>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</si>
  <si>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</si>
  <si>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</si>
  <si>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</si>
  <si>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</si>
  <si>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</si>
  <si>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</si>
  <si>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</si>
  <si>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</si>
  <si>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</si>
  <si>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</si>
  <si>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</si>
  <si>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</si>
  <si>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</si>
  <si>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</si>
  <si>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</si>
  <si>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</si>
  <si>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</si>
  <si>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</si>
  <si>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</si>
  <si>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</si>
  <si>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</si>
  <si>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</si>
  <si>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</si>
  <si>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</si>
  <si>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</si>
  <si>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</si>
  <si>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</si>
  <si>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</si>
  <si>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</si>
  <si>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</si>
  <si>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</si>
  <si>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</si>
  <si>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</si>
  <si>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</si>
  <si>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</si>
  <si>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</si>
  <si>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</si>
  <si>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</si>
  <si>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</si>
  <si>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</si>
  <si>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</si>
  <si>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</si>
  <si>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</si>
  <si>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</si>
  <si>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</si>
  <si>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</si>
  <si>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</si>
  <si>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</si>
  <si>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</si>
  <si>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</si>
  <si>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</si>
  <si>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</si>
  <si>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</si>
  <si>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</si>
  <si>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</si>
  <si>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</si>
  <si>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</si>
  <si>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</si>
  <si>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</si>
  <si>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</si>
  <si>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</si>
  <si>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</si>
  <si>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</si>
  <si>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</si>
  <si>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</si>
  <si>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</si>
  <si>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</si>
  <si>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</si>
  <si>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</si>
  <si>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</si>
  <si>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</si>
  <si>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</si>
  <si>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</si>
  <si>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</si>
  <si>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</si>
  <si>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</si>
  <si>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</si>
  <si>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</si>
  <si>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</si>
  <si>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</si>
  <si>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</si>
  <si>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</si>
  <si>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</si>
  <si>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</si>
  <si>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</si>
  <si>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</si>
  <si>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</si>
  <si>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</si>
  <si>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</si>
  <si>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</si>
  <si>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</si>
  <si>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</si>
  <si>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</si>
  <si>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</si>
  <si>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</si>
  <si>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</si>
  <si>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</si>
  <si>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</si>
  <si>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</si>
  <si>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</si>
  <si>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</si>
  <si>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</si>
  <si>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</si>
  <si>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</si>
  <si>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</si>
  <si>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</si>
  <si>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</si>
  <si>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</si>
  <si>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</si>
  <si>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</si>
  <si>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</si>
  <si>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</si>
  <si>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</si>
  <si>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</si>
  <si>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</si>
  <si>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</si>
  <si>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</si>
  <si>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</si>
  <si>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</si>
  <si>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</si>
  <si>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</si>
  <si>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</si>
  <si>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</si>
  <si>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</si>
  <si>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</si>
  <si>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</si>
  <si>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</si>
  <si>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</si>
  <si>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</si>
  <si>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</si>
  <si>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</si>
  <si>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</si>
  <si>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</si>
  <si>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</si>
  <si>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</si>
  <si>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</si>
  <si>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</si>
  <si>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</si>
  <si>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</si>
  <si>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</si>
  <si>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</si>
  <si>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</si>
  <si>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</si>
  <si>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</si>
  <si>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</si>
  <si>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</si>
  <si>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</si>
  <si>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</si>
  <si>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</si>
  <si>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</si>
  <si>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</si>
  <si>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</si>
  <si>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</si>
  <si>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</si>
  <si>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</si>
  <si>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</si>
  <si>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</si>
  <si>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</si>
  <si>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</si>
  <si>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</si>
  <si>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</si>
  <si>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</si>
  <si>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</si>
  <si>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</si>
  <si>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</si>
  <si>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</si>
  <si>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</si>
  <si>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</si>
  <si>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</si>
  <si>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</si>
  <si>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</si>
  <si>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</si>
  <si>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</si>
  <si>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</si>
  <si>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</si>
  <si>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</si>
  <si>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</si>
  <si>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</si>
  <si>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</si>
  <si>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</si>
  <si>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</si>
  <si>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</si>
  <si>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</si>
  <si>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</si>
  <si>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</si>
  <si>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</si>
  <si>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</si>
  <si>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</si>
  <si>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</si>
  <si>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</si>
  <si>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</si>
  <si>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</si>
  <si>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</si>
  <si>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</si>
  <si>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</si>
  <si>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</si>
  <si>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</si>
  <si>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</si>
  <si>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</si>
  <si>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</si>
  <si>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</si>
  <si>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</si>
  <si>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</si>
  <si>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</si>
  <si>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</si>
  <si>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</si>
  <si>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</si>
  <si>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</si>
  <si>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</si>
  <si>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</si>
  <si>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</si>
  <si>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</si>
  <si>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</si>
  <si>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</si>
  <si>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</si>
  <si>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</si>
  <si>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</si>
  <si>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</si>
  <si>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</si>
  <si>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</si>
  <si>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</si>
  <si>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</si>
  <si>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</si>
  <si>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</si>
  <si>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</si>
  <si>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</si>
  <si>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</si>
  <si>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</si>
  <si>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</si>
  <si>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</si>
  <si>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</si>
  <si>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</si>
  <si>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</si>
  <si>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</si>
  <si>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</si>
  <si>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</si>
  <si>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</si>
  <si>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</si>
  <si>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</si>
  <si>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</si>
  <si>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</si>
  <si>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</si>
  <si>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</si>
  <si>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</si>
  <si>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</si>
  <si>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</si>
  <si>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</si>
  <si>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</si>
  <si>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</si>
  <si>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</si>
  <si>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</si>
  <si>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</si>
  <si>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</si>
  <si>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</si>
  <si>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</si>
  <si>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</si>
  <si>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</si>
  <si>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</si>
  <si>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</si>
  <si>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</si>
  <si>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</si>
  <si>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</si>
  <si>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</si>
  <si>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</si>
  <si>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</si>
  <si>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</si>
  <si>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</si>
  <si>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</si>
  <si>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</si>
  <si>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</si>
  <si>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</si>
  <si>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</si>
  <si>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</si>
  <si>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</si>
  <si>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</si>
  <si>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</si>
  <si>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</si>
  <si>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</si>
  <si>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</si>
  <si>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</si>
  <si>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</si>
  <si>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</si>
  <si>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</si>
  <si>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</si>
  <si>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</si>
  <si>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</si>
  <si>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</si>
  <si>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</si>
  <si>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</si>
  <si>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</si>
  <si>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</si>
  <si>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</si>
  <si>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</si>
  <si>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</si>
  <si>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</si>
  <si>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</si>
  <si>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</si>
  <si>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</si>
  <si>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</si>
  <si>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</si>
  <si>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</si>
  <si>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</si>
  <si>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</si>
  <si>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</si>
  <si>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</si>
  <si>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</si>
  <si>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</si>
  <si>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</si>
  <si>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</si>
  <si>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</si>
  <si>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</si>
  <si>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</si>
  <si>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</si>
  <si>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</si>
  <si>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</si>
  <si>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</si>
  <si>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</si>
  <si>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</si>
  <si>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</si>
  <si>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</si>
  <si>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</si>
  <si>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</si>
  <si>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</si>
  <si>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</si>
  <si>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</si>
  <si>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</si>
  <si>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</si>
  <si>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</si>
  <si>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</si>
  <si>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</si>
  <si>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</si>
  <si>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</si>
  <si>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</si>
  <si>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</si>
  <si>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</si>
  <si>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</si>
  <si>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</si>
  <si>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</si>
  <si>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</si>
  <si>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</si>
  <si>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</si>
  <si>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</si>
  <si>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</si>
  <si>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</si>
  <si>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</si>
  <si>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</si>
  <si>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</si>
  <si>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</si>
  <si>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</si>
  <si>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</si>
  <si>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</si>
  <si>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</si>
  <si>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</si>
  <si>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</si>
  <si>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</si>
  <si>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</si>
  <si>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</si>
  <si>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</si>
  <si>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</si>
  <si>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</si>
  <si>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</si>
  <si>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</si>
  <si>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</si>
  <si>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</si>
  <si>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</si>
  <si>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</si>
  <si>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</si>
  <si>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</si>
  <si>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</si>
  <si>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</si>
  <si>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</si>
  <si>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</si>
  <si>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</si>
  <si>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</si>
  <si>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</si>
  <si>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</si>
  <si>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</si>
  <si>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</si>
  <si>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</si>
  <si>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</si>
  <si>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</si>
  <si>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</si>
  <si>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</si>
  <si>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</si>
  <si>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</si>
  <si>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</si>
  <si>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</si>
  <si>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</si>
  <si>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</si>
  <si>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</si>
  <si>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</si>
  <si>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</si>
  <si>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</si>
  <si>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</si>
  <si>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</si>
  <si>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</si>
  <si>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</si>
  <si>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</si>
  <si>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</si>
  <si>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</si>
  <si>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</si>
  <si>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</si>
  <si>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</si>
  <si>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</si>
  <si>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</si>
  <si>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</si>
  <si>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</si>
  <si>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</si>
  <si>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</si>
  <si>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</si>
  <si>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</si>
  <si>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</si>
  <si>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</si>
  <si>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</si>
  <si>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</si>
  <si>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</si>
  <si>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</si>
  <si>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</si>
  <si>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</si>
  <si>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</si>
  <si>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</si>
  <si>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</si>
  <si>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</si>
  <si>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</si>
  <si>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</si>
  <si>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</si>
  <si>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</si>
  <si>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</si>
  <si>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</si>
  <si>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</si>
  <si>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</si>
  <si>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</si>
  <si>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</si>
  <si>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</si>
  <si>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</si>
  <si>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</si>
  <si>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</si>
  <si>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</si>
  <si>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</si>
  <si>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</si>
  <si>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</si>
  <si>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</si>
  <si>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</si>
  <si>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</si>
  <si>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</si>
  <si>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</si>
  <si>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</si>
  <si>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</si>
  <si>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</si>
  <si>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</si>
  <si>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</si>
  <si>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</si>
  <si>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</si>
  <si>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</si>
  <si>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</si>
  <si>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</si>
  <si>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</si>
  <si>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</si>
  <si>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</si>
  <si>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</si>
  <si>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</si>
  <si>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</si>
  <si>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</si>
  <si>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</si>
  <si>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</si>
  <si>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</si>
  <si>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</si>
  <si>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</si>
  <si>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</si>
  <si>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</si>
  <si>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</si>
  <si>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</si>
  <si>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</si>
  <si>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</si>
  <si>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</si>
  <si>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</si>
  <si>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</si>
  <si>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</si>
  <si>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</si>
  <si>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</si>
  <si>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</si>
  <si>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</si>
  <si>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</si>
  <si>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</si>
  <si>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</si>
  <si>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</si>
  <si>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</si>
  <si>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</si>
  <si>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</si>
  <si>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</si>
  <si>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</si>
  <si>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</si>
  <si>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</si>
  <si>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</si>
  <si>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</si>
  <si>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</si>
  <si>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</si>
  <si>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</si>
  <si>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</si>
  <si>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</si>
  <si>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</si>
  <si>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</si>
  <si>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</si>
  <si>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</si>
  <si>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</si>
  <si>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</si>
  <si>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</si>
  <si>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</si>
  <si>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</si>
  <si>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</si>
  <si>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</si>
  <si>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</si>
  <si>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</si>
  <si>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</si>
  <si>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</si>
  <si>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</si>
  <si>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</si>
  <si>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</si>
  <si>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</si>
  <si>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</si>
  <si>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</si>
  <si>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</si>
  <si>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</si>
  <si>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</si>
  <si>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</si>
  <si>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</si>
  <si>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</si>
  <si>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</si>
  <si>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</si>
  <si>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</si>
  <si>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</si>
  <si>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</si>
  <si>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</si>
  <si>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</si>
  <si>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</si>
  <si>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</si>
  <si>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</si>
  <si>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</si>
  <si>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</si>
  <si>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</si>
  <si>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</si>
  <si>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</si>
  <si>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</si>
  <si>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</si>
  <si>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</si>
  <si>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</si>
  <si>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</si>
  <si>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</si>
  <si>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</si>
  <si>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</si>
  <si>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</si>
  <si>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</si>
  <si>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</si>
  <si>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</si>
  <si>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</si>
  <si>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</si>
  <si>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</si>
  <si>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</si>
  <si>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</si>
  <si>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</si>
  <si>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</si>
  <si>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</si>
  <si>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</si>
  <si>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</si>
  <si>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</si>
  <si>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</si>
  <si>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</si>
  <si>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</si>
  <si>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</si>
  <si>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</si>
  <si>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</si>
  <si>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</si>
  <si>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</si>
  <si>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</si>
  <si>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</si>
  <si>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</si>
  <si>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</si>
  <si>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</si>
  <si>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</si>
  <si>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</si>
  <si>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</si>
  <si>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</si>
  <si>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</si>
  <si>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</si>
  <si>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</si>
  <si>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</si>
  <si>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</si>
  <si>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</si>
  <si>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</si>
  <si>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</si>
  <si>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</si>
  <si>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</si>
  <si>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</si>
  <si>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</si>
  <si>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</si>
  <si>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</si>
  <si>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</si>
  <si>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</si>
  <si>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</si>
  <si>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</si>
  <si>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</si>
  <si>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</si>
  <si>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</si>
  <si>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</si>
  <si>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</si>
  <si>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</si>
  <si>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</si>
  <si>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</si>
  <si>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</si>
  <si>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</si>
  <si>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</si>
  <si>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</si>
  <si>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</si>
  <si>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</si>
  <si>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</si>
  <si>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</si>
  <si>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</si>
  <si>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</si>
  <si>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</si>
  <si>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</si>
  <si>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</si>
  <si>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</si>
  <si>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</si>
  <si>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</si>
  <si>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</si>
  <si>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</si>
  <si>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</si>
  <si>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</si>
  <si>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</si>
  <si>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</si>
  <si>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</si>
  <si>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</si>
  <si>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</si>
  <si>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</si>
  <si>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</si>
  <si>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</si>
  <si>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</si>
  <si>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</si>
  <si>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</si>
  <si>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</si>
  <si>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</si>
  <si>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</si>
  <si>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</si>
  <si>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</si>
  <si>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</si>
  <si>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</si>
  <si>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</si>
  <si>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</si>
  <si>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</si>
  <si>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</si>
  <si>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</si>
  <si>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</si>
  <si>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</si>
  <si>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</si>
  <si>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</si>
  <si>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</si>
  <si>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</si>
  <si>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</si>
  <si>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</si>
  <si>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</si>
  <si>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</si>
  <si>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</si>
  <si>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</si>
  <si>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</si>
  <si>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</si>
  <si>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</si>
  <si>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</si>
  <si>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</si>
  <si>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</si>
  <si>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</si>
  <si>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</si>
  <si>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</si>
  <si>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</si>
  <si>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</si>
  <si>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</si>
  <si>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</si>
  <si>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</si>
  <si>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</si>
  <si>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</si>
  <si>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</si>
  <si>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</si>
  <si>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</si>
  <si>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</si>
  <si>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</si>
  <si>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</si>
  <si>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</si>
  <si>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</si>
  <si>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</si>
  <si>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</si>
  <si>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</si>
  <si>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</si>
  <si>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</si>
  <si>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</si>
  <si>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</si>
  <si>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</si>
  <si>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</si>
  <si>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</si>
  <si>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</si>
  <si>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</si>
  <si>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</si>
  <si>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</si>
  <si>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</si>
  <si>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</si>
  <si>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</si>
  <si>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</si>
  <si>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</si>
  <si>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</si>
  <si>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</si>
  <si>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</si>
  <si>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</si>
  <si>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</si>
  <si>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</si>
  <si>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</si>
  <si>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</si>
  <si>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</si>
  <si>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</si>
  <si>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</si>
  <si>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</si>
  <si>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</si>
  <si>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</si>
  <si>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</si>
  <si>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</si>
  <si>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</si>
  <si>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</si>
  <si>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</si>
  <si>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</si>
  <si>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</si>
  <si>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</si>
  <si>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</si>
  <si>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</si>
  <si>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</si>
  <si>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</si>
  <si>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</si>
  <si>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</si>
  <si>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</si>
  <si>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</si>
  <si>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</si>
  <si>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</si>
  <si>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</si>
  <si>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</si>
  <si>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</si>
  <si>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</si>
  <si>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</si>
  <si>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</si>
  <si>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</si>
  <si>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</si>
  <si>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</si>
  <si>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</si>
  <si>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</si>
  <si>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</si>
  <si>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</si>
  <si>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</si>
  <si>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</si>
  <si>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</si>
  <si>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</si>
  <si>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</si>
  <si>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</si>
  <si>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</si>
  <si>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</si>
  <si>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</si>
  <si>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</si>
  <si>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</si>
  <si>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</si>
  <si>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</si>
  <si>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</si>
  <si>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</si>
  <si>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</si>
  <si>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</si>
  <si>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</si>
  <si>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</si>
  <si>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</si>
  <si>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</si>
  <si>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</si>
  <si>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</si>
  <si>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</si>
  <si>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</si>
  <si>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</si>
  <si>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</si>
  <si>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</si>
  <si>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</si>
  <si>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</si>
  <si>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</si>
  <si>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</si>
  <si>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</si>
  <si>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</si>
  <si>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</si>
  <si>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</si>
  <si>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</si>
  <si>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</si>
  <si>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</si>
  <si>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</si>
  <si>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</si>
  <si>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</si>
  <si>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</si>
  <si>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</si>
  <si>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</si>
  <si>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</si>
  <si>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</si>
  <si>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</si>
  <si>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</si>
  <si>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</si>
  <si>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</si>
  <si>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</si>
  <si>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</si>
  <si>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</si>
  <si>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</si>
  <si>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</si>
  <si>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</si>
  <si>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</si>
  <si>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</si>
  <si>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</si>
  <si>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</si>
  <si>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</si>
  <si>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</si>
  <si>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</si>
  <si>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</si>
  <si>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</si>
  <si>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</si>
  <si>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</si>
  <si>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</si>
  <si>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</si>
  <si>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</si>
  <si>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</si>
  <si>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</si>
  <si>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</si>
  <si>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</si>
  <si>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</si>
  <si>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</si>
  <si>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</si>
  <si>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</si>
  <si>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</si>
  <si>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</si>
  <si>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</si>
  <si>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</si>
  <si>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</si>
  <si>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</si>
  <si>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</si>
  <si>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</si>
  <si>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</si>
  <si>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</si>
  <si>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</si>
  <si>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</si>
  <si>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</si>
  <si>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</si>
  <si>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</si>
  <si>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</si>
  <si>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</si>
  <si>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</si>
  <si>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</si>
  <si>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</si>
  <si>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</si>
  <si>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</si>
  <si>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</si>
  <si>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</si>
  <si>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</si>
  <si>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</si>
  <si>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</si>
  <si>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</si>
  <si>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</si>
  <si>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</si>
  <si>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</si>
  <si>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</si>
  <si>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</si>
  <si>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</si>
  <si>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</si>
  <si>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</si>
  <si>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</si>
  <si>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</si>
  <si>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</si>
  <si>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</si>
  <si>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</si>
  <si>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</si>
  <si>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</si>
  <si>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</si>
  <si>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</si>
  <si>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</si>
  <si>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</si>
  <si>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</si>
  <si>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</si>
  <si>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</si>
  <si>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</si>
  <si>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</si>
  <si>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</si>
  <si>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</si>
  <si>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</si>
  <si>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</si>
  <si>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</si>
  <si>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</si>
  <si>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</si>
  <si>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</si>
  <si>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</si>
  <si>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</si>
  <si>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</si>
  <si>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</si>
  <si>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</si>
  <si>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</si>
  <si>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</si>
  <si>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</si>
  <si>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</si>
  <si>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</si>
  <si>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</si>
  <si>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</si>
  <si>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</si>
  <si>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</si>
  <si>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</si>
  <si>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</si>
  <si>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</si>
  <si>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</si>
  <si>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</si>
  <si>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</si>
  <si>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</si>
  <si>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</si>
  <si>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</si>
  <si>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</si>
  <si>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</si>
  <si>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</si>
  <si>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</si>
  <si>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</si>
  <si>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</si>
  <si>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</si>
  <si>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</si>
  <si>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</si>
  <si>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</si>
  <si>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</si>
  <si>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</si>
  <si>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</si>
  <si>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</si>
  <si>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</si>
  <si>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</si>
  <si>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</si>
  <si>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</si>
  <si>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</si>
  <si>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</si>
  <si>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</si>
  <si>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</si>
  <si>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</si>
  <si>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</si>
  <si>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</si>
  <si>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</si>
  <si>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</si>
  <si>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</si>
  <si>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</si>
  <si>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</si>
  <si>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</si>
  <si>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</si>
  <si>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</si>
  <si>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</si>
  <si>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</si>
  <si>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</si>
  <si>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</si>
  <si>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</si>
  <si>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</si>
  <si>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</si>
  <si>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</si>
  <si>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</si>
  <si>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</si>
  <si>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</si>
  <si>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</si>
  <si>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</si>
  <si>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</si>
  <si>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</si>
  <si>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</si>
  <si>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</si>
  <si>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</si>
  <si>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</si>
  <si>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</si>
  <si>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</si>
  <si>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</si>
  <si>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</si>
  <si>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</si>
  <si>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</si>
  <si>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</si>
  <si>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</si>
  <si>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</si>
  <si>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</si>
  <si>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</si>
  <si>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</si>
  <si>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</si>
  <si>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</si>
  <si>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</si>
  <si>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</si>
  <si>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</si>
  <si>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</si>
  <si>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</si>
  <si>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</si>
  <si>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</si>
  <si>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</si>
  <si>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</si>
  <si>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</si>
  <si>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</si>
  <si>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</si>
  <si>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</si>
  <si>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</si>
  <si>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</si>
  <si>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</si>
  <si>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</si>
  <si>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</si>
  <si>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</si>
  <si>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</si>
  <si>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</si>
  <si>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</si>
  <si>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</si>
  <si>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</si>
  <si>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</si>
  <si>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</si>
  <si>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</si>
  <si>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</si>
  <si>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</si>
  <si>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</si>
  <si>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</si>
  <si>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</si>
  <si>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</si>
  <si>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</si>
  <si>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</si>
  <si>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</si>
  <si>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</si>
  <si>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</si>
  <si>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</si>
  <si>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</si>
  <si>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</si>
  <si>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</si>
  <si>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</si>
  <si>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</si>
  <si>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</si>
  <si>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</si>
  <si>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</si>
  <si>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</si>
  <si>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</si>
  <si>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</si>
  <si>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</si>
  <si>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</si>
  <si>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</si>
  <si>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</si>
  <si>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</si>
  <si>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</si>
  <si>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</si>
  <si>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</si>
  <si>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</si>
  <si>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</si>
  <si>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</si>
  <si>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</si>
  <si>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</si>
  <si>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</si>
  <si>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</si>
  <si>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</si>
  <si>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</si>
  <si>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</si>
  <si>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</si>
  <si>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</si>
  <si>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</si>
  <si>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</si>
  <si>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</si>
  <si>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</si>
  <si>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</si>
  <si>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</si>
  <si>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</si>
  <si>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</si>
  <si>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</si>
  <si>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</si>
  <si>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</si>
  <si>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</si>
  <si>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</si>
  <si>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</si>
  <si>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</si>
  <si>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</si>
  <si>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</si>
  <si>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</si>
  <si>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</si>
  <si>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</si>
  <si>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</si>
  <si>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</si>
  <si>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</si>
  <si>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</si>
  <si>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</si>
  <si>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</si>
  <si>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</si>
  <si>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</si>
  <si>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</si>
  <si>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</si>
  <si>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</si>
  <si>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</si>
  <si>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</si>
  <si>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</si>
  <si>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</si>
  <si>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</si>
  <si>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</si>
  <si>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</si>
  <si>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</si>
  <si>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</si>
  <si>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</si>
  <si>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</si>
  <si>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</si>
  <si>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</si>
  <si>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</si>
  <si>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</si>
  <si>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</si>
  <si>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</si>
  <si>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</si>
  <si>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</si>
  <si>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</si>
  <si>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</si>
  <si>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</si>
  <si>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</si>
  <si>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</si>
  <si>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</si>
  <si>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</si>
  <si>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</si>
  <si>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</si>
  <si>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</si>
  <si>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</si>
  <si>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</si>
  <si>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</si>
  <si>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</si>
  <si>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</si>
  <si>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</si>
  <si>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</si>
  <si>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</si>
  <si>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</si>
  <si>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</si>
  <si>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</si>
  <si>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</si>
  <si>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</si>
  <si>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</si>
  <si>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</si>
  <si>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</si>
  <si>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</si>
  <si>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</si>
  <si>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</si>
  <si>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</si>
  <si>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</si>
  <si>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</si>
  <si>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</si>
  <si>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</si>
  <si>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</si>
  <si>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</si>
  <si>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</si>
  <si>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</si>
  <si>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</si>
  <si>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</si>
  <si>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</si>
  <si>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</si>
  <si>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</si>
  <si>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</si>
  <si>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</si>
  <si>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</si>
  <si>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</si>
  <si>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</si>
  <si>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</si>
  <si>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</si>
  <si>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</si>
  <si>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</si>
  <si>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</si>
  <si>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</si>
  <si>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</si>
  <si>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</si>
  <si>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</si>
  <si>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</si>
  <si>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</si>
  <si>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</si>
  <si>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</si>
  <si>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</si>
  <si>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</si>
  <si>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</si>
  <si>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</si>
  <si>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</si>
  <si>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</si>
  <si>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</si>
  <si>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</si>
  <si>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</si>
  <si>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</si>
  <si>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</si>
  <si>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</si>
  <si>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</si>
  <si>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</si>
  <si>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</si>
  <si>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</si>
  <si>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</si>
  <si>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</si>
  <si>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</si>
  <si>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</si>
  <si>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</si>
  <si>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</si>
  <si>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</si>
  <si>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</si>
  <si>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</si>
  <si>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</si>
  <si>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</si>
  <si>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</si>
  <si>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</si>
  <si>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</si>
  <si>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</si>
  <si>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</si>
  <si>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</si>
  <si>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</si>
  <si>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</si>
  <si>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</si>
  <si>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</si>
  <si>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</si>
  <si>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</si>
  <si>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</si>
  <si>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</si>
  <si>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</si>
  <si>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</si>
  <si>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</si>
  <si>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</si>
  <si>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</si>
  <si>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</si>
  <si>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</si>
  <si>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</si>
  <si>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</si>
  <si>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</si>
  <si>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</si>
  <si>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</si>
  <si>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</si>
  <si>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</si>
  <si>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</si>
  <si>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</si>
  <si>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</si>
  <si>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</si>
  <si>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</si>
  <si>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</si>
  <si>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</si>
  <si>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</si>
  <si>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</si>
  <si>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</si>
  <si>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</si>
  <si>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</si>
  <si>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</si>
  <si>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</si>
  <si>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</si>
  <si>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</si>
  <si>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</si>
  <si>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</si>
  <si>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</si>
  <si>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</si>
  <si>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</si>
  <si>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</si>
  <si>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</si>
  <si>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</si>
  <si>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</si>
  <si>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</si>
  <si>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</si>
  <si>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</si>
  <si>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</si>
  <si>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</si>
  <si>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</si>
  <si>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</si>
  <si>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</si>
  <si>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</si>
  <si>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</si>
  <si>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</si>
  <si>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</si>
  <si>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</si>
  <si>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</si>
  <si>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</si>
  <si>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</si>
  <si>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</si>
  <si>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</si>
  <si>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</si>
  <si>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</si>
  <si>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</si>
  <si>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</si>
  <si>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</si>
  <si>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</si>
  <si>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</si>
  <si>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</si>
  <si>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</si>
  <si>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</si>
  <si>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</si>
  <si>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</si>
  <si>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</si>
  <si>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</si>
  <si>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</si>
  <si>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</si>
  <si>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</si>
  <si>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</si>
  <si>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</si>
  <si>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</si>
  <si>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</si>
  <si>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</si>
  <si>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</si>
  <si>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</si>
  <si>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</si>
  <si>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</si>
  <si>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</si>
  <si>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</si>
  <si>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</si>
  <si>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</si>
  <si>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</si>
  <si>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</si>
  <si>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</si>
  <si>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</si>
  <si>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</si>
  <si>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</si>
  <si>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</si>
  <si>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</si>
  <si>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</si>
  <si>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</si>
  <si>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</si>
  <si>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</si>
  <si>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</si>
  <si>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</si>
  <si>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</si>
  <si>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</si>
  <si>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</si>
  <si>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</si>
  <si>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</si>
  <si>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</si>
  <si>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</si>
  <si>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</si>
  <si>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</si>
  <si>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</si>
  <si>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</si>
  <si>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</si>
  <si>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</si>
  <si>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</si>
  <si>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</si>
  <si>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</si>
  <si>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</si>
  <si>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</si>
  <si>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</si>
  <si>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</si>
  <si>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</si>
  <si>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</si>
  <si>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</si>
  <si>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</si>
  <si>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</si>
  <si>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</si>
  <si>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</si>
  <si>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</si>
  <si>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</si>
  <si>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</si>
  <si>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</si>
  <si>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</si>
  <si>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</si>
  <si>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</si>
  <si>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</si>
  <si>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</si>
  <si>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</si>
  <si>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</si>
  <si>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</si>
  <si>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</si>
  <si>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</si>
  <si>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</si>
  <si>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</si>
  <si>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</si>
  <si>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</si>
  <si>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</si>
  <si>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</si>
  <si>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</si>
  <si>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</si>
  <si>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</si>
  <si>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</si>
  <si>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</si>
  <si>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</si>
  <si>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</si>
  <si>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</si>
  <si>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</si>
  <si>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</si>
  <si>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</si>
  <si>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</si>
  <si>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</si>
  <si>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</si>
  <si>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</si>
  <si>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</si>
  <si>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</si>
  <si>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</si>
  <si>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</si>
  <si>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</si>
  <si>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</si>
  <si>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</si>
  <si>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</si>
  <si>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</si>
  <si>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</si>
  <si>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</si>
  <si>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</si>
  <si>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</si>
  <si>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</si>
  <si>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</si>
  <si>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</si>
  <si>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</si>
  <si>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</si>
  <si>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</si>
  <si>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</si>
  <si>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</si>
  <si>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</si>
  <si>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</si>
  <si>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</si>
  <si>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</si>
  <si>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</si>
  <si>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</si>
  <si>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</si>
  <si>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</si>
  <si>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</si>
  <si>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</si>
  <si>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</si>
  <si>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</si>
  <si>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</si>
  <si>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</si>
  <si>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</si>
  <si>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</si>
  <si>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</si>
  <si>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</si>
  <si>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</si>
  <si>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</si>
  <si>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</si>
  <si>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</si>
  <si>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</si>
  <si>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</si>
  <si>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</si>
  <si>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</si>
  <si>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</si>
  <si>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</si>
  <si>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</si>
  <si>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</si>
  <si>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</si>
  <si>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</si>
  <si>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</si>
  <si>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</si>
  <si>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</si>
  <si>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</si>
  <si>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</si>
  <si>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</si>
  <si>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</si>
  <si>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</si>
  <si>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</si>
  <si>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</si>
  <si>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</si>
  <si>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</si>
  <si>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</si>
  <si>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</si>
  <si>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</si>
  <si>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</si>
  <si>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</si>
  <si>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</si>
  <si>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</si>
  <si>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</si>
  <si>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</si>
  <si>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</si>
  <si>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</si>
  <si>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</si>
  <si>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</si>
  <si>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</si>
  <si>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</si>
  <si>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</si>
  <si>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</si>
  <si>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</si>
  <si>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</si>
  <si>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</si>
  <si>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</si>
  <si>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</si>
  <si>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</si>
  <si>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</si>
  <si>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</si>
  <si>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</si>
  <si>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</si>
  <si>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</si>
  <si>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</si>
  <si>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</si>
  <si>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</si>
  <si>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</si>
  <si>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</si>
  <si>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</si>
  <si>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</si>
  <si>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</si>
  <si>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</si>
  <si>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</si>
  <si>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</si>
  <si>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</si>
  <si>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</si>
  <si>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</si>
  <si>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</si>
  <si>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</si>
  <si>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</si>
  <si>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</si>
  <si>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</si>
  <si>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</si>
  <si>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</si>
  <si>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</si>
  <si>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</si>
  <si>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</si>
  <si>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</si>
  <si>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</si>
  <si>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</si>
  <si>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</si>
  <si>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</si>
  <si>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</si>
  <si>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</si>
  <si>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</si>
  <si>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</si>
  <si>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</si>
  <si>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</si>
  <si>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</si>
  <si>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</si>
  <si>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</si>
  <si>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</si>
  <si>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</si>
  <si>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</si>
  <si>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</si>
  <si>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</si>
  <si>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</si>
  <si>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</si>
  <si>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</si>
  <si>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</si>
  <si>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</si>
  <si>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</si>
  <si>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</si>
  <si>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</si>
  <si>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</si>
  <si>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</si>
  <si>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</si>
  <si>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</si>
  <si>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</si>
  <si>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</si>
  <si>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</si>
  <si>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</si>
  <si>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</si>
  <si>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</si>
  <si>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</si>
  <si>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</si>
  <si>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</si>
  <si>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</si>
  <si>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</si>
  <si>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</si>
  <si>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</si>
  <si>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</si>
  <si>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</si>
  <si>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</si>
  <si>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</si>
  <si>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</si>
  <si>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</si>
  <si>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</si>
  <si>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</si>
  <si>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</si>
  <si>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</si>
  <si>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</si>
  <si>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</si>
  <si>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</si>
  <si>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</si>
  <si>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</si>
  <si>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</si>
  <si>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</si>
  <si>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</si>
  <si>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</si>
  <si>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</si>
  <si>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</si>
  <si>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</si>
  <si>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</si>
  <si>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</si>
  <si>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</si>
  <si>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</si>
  <si>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</si>
  <si>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</si>
  <si>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</si>
  <si>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</si>
  <si>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</si>
  <si>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</si>
  <si>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</si>
  <si>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</si>
  <si>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</si>
  <si>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</si>
  <si>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</si>
  <si>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</si>
  <si>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</si>
  <si>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</si>
  <si>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</si>
  <si>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</si>
  <si>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</si>
  <si>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</si>
  <si>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</si>
  <si>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</si>
  <si>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</si>
  <si>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</si>
  <si>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</si>
  <si>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</si>
  <si>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</si>
  <si>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</si>
  <si>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</si>
  <si>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</si>
  <si>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</si>
  <si>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</si>
  <si>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</si>
  <si>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</si>
  <si>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</si>
  <si>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</si>
  <si>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</si>
  <si>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</si>
  <si>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</si>
  <si>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</si>
  <si>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</si>
  <si>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</si>
  <si>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</si>
  <si>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</si>
  <si>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</si>
  <si>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</si>
  <si>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</si>
  <si>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</si>
  <si>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</si>
  <si>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</si>
  <si>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</si>
  <si>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</si>
  <si>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</si>
  <si>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</si>
  <si>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</si>
  <si>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</si>
  <si>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</si>
  <si>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</si>
  <si>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</si>
  <si>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</si>
  <si>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</si>
  <si>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</si>
  <si>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</si>
  <si>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</si>
  <si>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</si>
  <si>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</si>
  <si>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</si>
  <si>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</si>
  <si>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</si>
  <si>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</si>
  <si>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</si>
  <si>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</si>
  <si>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</si>
  <si>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</si>
  <si>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</si>
  <si>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</si>
  <si>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</si>
  <si>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</si>
  <si>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</si>
  <si>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</si>
  <si>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</si>
  <si>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</si>
  <si>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</si>
  <si>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</si>
  <si>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</si>
  <si>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</si>
  <si>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</si>
  <si>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</si>
  <si>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</si>
  <si>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</si>
  <si>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</si>
  <si>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</si>
  <si>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</si>
  <si>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</si>
  <si>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</si>
  <si>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</si>
  <si>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</si>
  <si>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</si>
  <si>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</si>
  <si>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</si>
  <si>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</si>
  <si>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</si>
  <si>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</si>
  <si>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</si>
  <si>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</si>
  <si>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</si>
  <si>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</si>
  <si>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</si>
  <si>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</si>
  <si>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</si>
  <si>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</si>
  <si>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</si>
  <si>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</si>
  <si>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</si>
  <si>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</si>
  <si>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</si>
  <si>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</si>
  <si>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</si>
  <si>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</si>
  <si>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</si>
  <si>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</si>
  <si>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</si>
  <si>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</si>
  <si>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</si>
  <si>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</si>
  <si>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</si>
  <si>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</si>
  <si>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</si>
  <si>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</si>
  <si>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</si>
  <si>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</si>
  <si>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</si>
  <si>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</si>
  <si>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</si>
  <si>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</si>
  <si>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</si>
  <si>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</si>
  <si>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</si>
  <si>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</si>
  <si>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</si>
  <si>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</si>
  <si>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</si>
  <si>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</si>
  <si>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</si>
  <si>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</si>
  <si>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</si>
  <si>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</si>
  <si>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</si>
  <si>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</si>
  <si>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</si>
  <si>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</si>
  <si>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</si>
  <si>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</si>
  <si>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</si>
  <si>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</si>
  <si>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</si>
  <si>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</si>
  <si>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</si>
  <si>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</si>
  <si>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</si>
  <si>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</si>
  <si>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</si>
  <si>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</si>
  <si>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</si>
  <si>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</si>
  <si>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</si>
  <si>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</si>
  <si>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</si>
  <si>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</si>
  <si>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</si>
  <si>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</si>
  <si>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</si>
  <si>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</si>
  <si>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</si>
  <si>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</si>
  <si>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</si>
  <si>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</si>
  <si>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</si>
  <si>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</si>
  <si>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</si>
  <si>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</si>
  <si>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</si>
  <si>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</si>
  <si>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</si>
  <si>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</si>
  <si>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</si>
  <si>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</si>
  <si>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</si>
  <si>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</si>
  <si>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</si>
  <si>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Lancaster HNR-1 Apartments</t>
  </si>
  <si>
    <t>City of Lancaster, California</t>
  </si>
  <si>
    <t>Jason Caudle</t>
  </si>
  <si>
    <t>44933 Fern Avenue</t>
  </si>
  <si>
    <t>Lancaster</t>
  </si>
  <si>
    <t>(661) 723-6000</t>
  </si>
  <si>
    <t>n/a</t>
  </si>
  <si>
    <t>jcaudle@cityoflancasterca.gov</t>
  </si>
  <si>
    <t>Southwest corner of Avenue I and Sierra Highway in Lancaster</t>
  </si>
  <si>
    <t xml:space="preserve">Lancaster  </t>
  </si>
  <si>
    <t>3134-001-902, 905, 908, 910; 3134-002-903, 904,  906, 908; 3134-003-910, 911, 907, 905, 916, 919; 3134-004-912, 913, 915, 916, 917, 918</t>
  </si>
  <si>
    <t>40%/60%</t>
  </si>
  <si>
    <t>CA</t>
  </si>
  <si>
    <t>Chris Aune</t>
  </si>
  <si>
    <t>600 California Street, Suite 900</t>
  </si>
  <si>
    <t>Anna Slaby</t>
  </si>
  <si>
    <t>858.248.2416</t>
  </si>
  <si>
    <t>aslaby@bridgehousing.com</t>
  </si>
  <si>
    <t>BRIDGE Housing Corporation</t>
  </si>
  <si>
    <t>HNR-1, LLC</t>
  </si>
  <si>
    <t>Managing GP</t>
  </si>
  <si>
    <t>Developer</t>
  </si>
  <si>
    <t>San Francisco, CA 94108</t>
  </si>
  <si>
    <t>Katten Muchin Rosenman LLP</t>
  </si>
  <si>
    <t>2029 Century Park East, Suite 2600</t>
  </si>
  <si>
    <t>Los Angeles, CA 90067</t>
  </si>
  <si>
    <t>David Cohen</t>
  </si>
  <si>
    <t>312.902.1061</t>
  </si>
  <si>
    <t>David.Cohen@katten.com</t>
  </si>
  <si>
    <t>Cohn Reznick</t>
  </si>
  <si>
    <t>400 Capitol Mall, Suite 1200</t>
  </si>
  <si>
    <t>Sacramento, CA 95814</t>
  </si>
  <si>
    <t>Brian Brewer</t>
  </si>
  <si>
    <t>916.442.9100</t>
  </si>
  <si>
    <t>Brian.Brewer@CohnReznick.com</t>
  </si>
  <si>
    <t>California Housing Partnership</t>
  </si>
  <si>
    <t>600 Wilshire Blvd, Suite 890</t>
  </si>
  <si>
    <t>Los Angeles, CA 90017</t>
  </si>
  <si>
    <t>Chad Horsford</t>
  </si>
  <si>
    <t>213.892.8277</t>
  </si>
  <si>
    <t>chorsford@chpc.net</t>
  </si>
  <si>
    <t>Voltz Commercial Realty Advisors</t>
  </si>
  <si>
    <t>25350 Magic Mountain Pkwy, #300</t>
  </si>
  <si>
    <t>Valencia, CA 91355</t>
  </si>
  <si>
    <t>Scott Voltz</t>
  </si>
  <si>
    <t>661.259.8009</t>
  </si>
  <si>
    <t>Scott@Voltzrealestate.com</t>
  </si>
  <si>
    <t>600 Newport Center Dr. Suite 300</t>
  </si>
  <si>
    <t>Newport Beach, CA 92660</t>
  </si>
  <si>
    <t>Nick Manea</t>
  </si>
  <si>
    <t>949.250.0607</t>
  </si>
  <si>
    <t>nmania@whainc.com</t>
  </si>
  <si>
    <t>TBD</t>
  </si>
  <si>
    <t>Raney Planning and Management</t>
  </si>
  <si>
    <t>1501 Sports Drive, Suite A</t>
  </si>
  <si>
    <t>Sacramento, CA 95834</t>
  </si>
  <si>
    <t>Stefanie Williams</t>
  </si>
  <si>
    <t>916.372.1860</t>
  </si>
  <si>
    <t>swilliams@laurinassociates.com</t>
  </si>
  <si>
    <t>BRIDGE Property Management Company</t>
  </si>
  <si>
    <t>415.989.9111</t>
  </si>
  <si>
    <t>Christian Weidle</t>
  </si>
  <si>
    <t>Cweidle@bridgehousing.com</t>
  </si>
  <si>
    <t>City of Lancaster</t>
  </si>
  <si>
    <t>Secured by both Leasehold &amp; Fee Interests</t>
  </si>
  <si>
    <t>One or Two Story Garden</t>
  </si>
  <si>
    <t>7a</t>
  </si>
  <si>
    <t>7b</t>
  </si>
  <si>
    <t>8a</t>
  </si>
  <si>
    <t>7c</t>
  </si>
  <si>
    <t>Commercial</t>
  </si>
  <si>
    <t>HDR zone 15.1-30/acre</t>
  </si>
  <si>
    <t>HDR zone 20.14/acre</t>
  </si>
  <si>
    <t>Zoning variances granted: reduction of side yard, onsite laundry ILO in unit laundry and waiver from providing community pool</t>
  </si>
  <si>
    <t>1.5:1</t>
  </si>
  <si>
    <t>AHSC Grant &amp; Loan</t>
  </si>
  <si>
    <t>City Land Loan</t>
  </si>
  <si>
    <t>Costs Deferred Until Completion</t>
  </si>
  <si>
    <t>Capital Contributions</t>
  </si>
  <si>
    <t>Soft Debt</t>
  </si>
  <si>
    <t>Soft debt</t>
  </si>
  <si>
    <t>A/C</t>
  </si>
  <si>
    <t>Los Angeles County Development Authority 07-01-2021</t>
  </si>
  <si>
    <t>SW corner of W. Ave I and Sierra Hwy, Lancaster, CA</t>
  </si>
  <si>
    <t>Fixed</t>
  </si>
  <si>
    <t>600 California Street, Suite 600</t>
  </si>
  <si>
    <t>(858) 248-2416</t>
  </si>
  <si>
    <t>Deferred Costs</t>
  </si>
  <si>
    <t>HCD AHSC AHD</t>
  </si>
  <si>
    <t>City of Lancaster Land Loan</t>
  </si>
  <si>
    <t>2020 W. El Camino Avenue, Suite 670</t>
  </si>
  <si>
    <t>Rob Leonard</t>
  </si>
  <si>
    <t>(916) 263-2771</t>
  </si>
  <si>
    <t>Residual Receipts Loan</t>
  </si>
  <si>
    <t>Residual Receipts</t>
  </si>
  <si>
    <t>Off exp, postage, copies, travel, bank fees</t>
  </si>
  <si>
    <t>Janitorial, Fire</t>
  </si>
  <si>
    <t>Tax/License</t>
  </si>
  <si>
    <t>Photovoltaic</t>
  </si>
  <si>
    <t>Transit Passes</t>
  </si>
  <si>
    <t>Construction Lender Expenses</t>
  </si>
  <si>
    <t>Start up Lease up</t>
  </si>
  <si>
    <t>AHSC</t>
  </si>
  <si>
    <t>HCD Mandatory Payment</t>
  </si>
  <si>
    <t>Lancaster Library</t>
  </si>
  <si>
    <t>601 W Lancaster Blvd</t>
  </si>
  <si>
    <t>Lancaster, 93534</t>
  </si>
  <si>
    <t>www.Lancasterpubliclibrary.org</t>
  </si>
  <si>
    <t>1801 W Avenue I</t>
  </si>
  <si>
    <t>44900 Division St</t>
  </si>
  <si>
    <t>Lancaster, 93535</t>
  </si>
  <si>
    <t>Antelopevalleyhs.org</t>
  </si>
  <si>
    <t>Antelope Valley Senior Center</t>
  </si>
  <si>
    <t>777 W. Jackman St</t>
  </si>
  <si>
    <t>Wesley Health Centers JWCH Institute</t>
  </si>
  <si>
    <t>45104 10th St W</t>
  </si>
  <si>
    <t>jwchinstitute.org</t>
  </si>
  <si>
    <t>866 W Lancaster Blvd</t>
  </si>
  <si>
    <t>Lancaster 93534</t>
  </si>
  <si>
    <t>theburnspharmacy.com</t>
  </si>
  <si>
    <t>Vallarta Supermarket</t>
  </si>
  <si>
    <t>Antelope Valley High School</t>
  </si>
  <si>
    <t>Burns Prescription Pharmacy</t>
  </si>
  <si>
    <t>William Hezmalhalch Architects</t>
  </si>
  <si>
    <t>Lancaster, CA 93534</t>
  </si>
  <si>
    <t>44933 Fern Avenue,</t>
  </si>
  <si>
    <t>Licenses and tax</t>
  </si>
  <si>
    <t>Owner construction closing legal</t>
  </si>
  <si>
    <t>Expenses and Legal</t>
  </si>
  <si>
    <t>Prevailing wage monitor + enveloper</t>
  </si>
  <si>
    <t>June</t>
  </si>
  <si>
    <t>Kimberly McKay</t>
  </si>
  <si>
    <t>Executive Vice President</t>
  </si>
  <si>
    <t>JP Morgan Chase Bank, NA</t>
  </si>
  <si>
    <t>300 S Grand Avenue, Suite 300</t>
  </si>
  <si>
    <t>Los Angeles, CA 90071</t>
  </si>
  <si>
    <t>Eri Kameyama</t>
  </si>
  <si>
    <t>(213) 621-8310</t>
  </si>
  <si>
    <t>Construction Period Debt</t>
  </si>
  <si>
    <t>300 S. Grand Avenue, Suite 300</t>
  </si>
  <si>
    <t>Permanent Loan</t>
  </si>
  <si>
    <t>AVTA stop 1010, Route 1</t>
  </si>
  <si>
    <t>The Boulevard Transit Station</t>
  </si>
  <si>
    <t>www.avta.com</t>
  </si>
  <si>
    <t>www.Vallartasupermarkets.com</t>
  </si>
  <si>
    <t>www.wdacs.lacounty.gov</t>
  </si>
  <si>
    <t>AHSC NOFA Round 6 obligation</t>
  </si>
  <si>
    <t>James Royal</t>
  </si>
  <si>
    <t>661-945-9445</t>
  </si>
  <si>
    <t>Lissa Holland</t>
  </si>
  <si>
    <t>Jennifer Bascom</t>
  </si>
  <si>
    <t>Cynthia Lopez</t>
  </si>
  <si>
    <t>Lara Agopian</t>
  </si>
  <si>
    <t>Cynthia Parker</t>
  </si>
  <si>
    <t>Trey Lindle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</si>
</sst>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3" fontId="3" fillId="52" borderId="3"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8" t="s">
        <v>2062</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2066</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2237</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2289</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2290</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2234</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1390</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1234</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22" t="s">
        <v>2061</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4" t="s">
        <v>2063</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212</v>
      </c>
      <c r="G51" s="1525" t="s">
        <v>1847</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212</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212</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1861</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1992</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982</v>
      </c>
      <c r="F348" s="1522" t="s">
        <v>1993</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983</v>
      </c>
      <c r="F352" s="1522" t="s">
        <v>1994</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1989</v>
      </c>
    </row>
    <row r="366" spans="1:38" s="1528" customFormat="1">
      <c r="A366" s="1"/>
      <c r="B366" s="358"/>
      <c r="C366" s="1"/>
      <c r="D366" s="1"/>
    </row>
    <row r="367" spans="1:38">
      <c r="A367" s="1"/>
      <c r="B367" s="358"/>
      <c r="C367" s="1"/>
      <c r="D367" s="1"/>
      <c r="E367" s="1"/>
      <c r="F367" s="1526" t="s">
        <v>1990</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331</v>
      </c>
      <c r="B2" s="1538"/>
      <c r="C2" s="1538"/>
      <c r="D2" s="1538"/>
      <c r="E2" s="1538"/>
      <c r="F2" s="1538"/>
      <c r="G2" s="1538"/>
      <c r="H2" s="1538"/>
      <c r="I2" s="1538"/>
      <c r="J2" s="1538"/>
    </row>
    <row r="3" spans="1:10" ht="15">
      <c r="A3" s="1539" t="s">
        <v>2291</v>
      </c>
      <c r="B3" s="1538"/>
      <c r="C3" s="1538"/>
      <c r="D3" s="1538"/>
      <c r="E3" s="1538"/>
      <c r="F3" s="1538"/>
      <c r="G3" s="1538"/>
      <c r="H3" s="1538"/>
      <c r="I3" s="1538"/>
      <c r="J3" s="1538"/>
    </row>
    <row r="4" spans="1:10"/>
    <row r="5" spans="1:10" ht="12.75" customHeight="1">
      <c r="A5" s="1544" t="s">
        <v>2235</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2332</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2059</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5">
      <c r="A23" s="1079" t="s">
        <v>253</v>
      </c>
      <c r="B23" s="1079"/>
      <c r="C23" s="1079"/>
      <c r="D23" s="1079"/>
      <c r="E23" s="1079"/>
      <c r="F23" s="1079"/>
      <c r="G23" s="1079"/>
      <c r="H23" s="1079"/>
      <c r="I23" s="1079"/>
      <c r="J23" s="1515"/>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c r="A76" s="1536" t="s">
        <v>1233</v>
      </c>
      <c r="B76" s="1536"/>
      <c r="C76" s="1536"/>
      <c r="D76" s="1536"/>
      <c r="E76" s="1536"/>
      <c r="F76" s="1536"/>
      <c r="G76" s="1536"/>
      <c r="H76" s="1536"/>
      <c r="I76" s="1536"/>
    </row>
    <row r="77" spans="1:9">
      <c r="A77" s="1535" t="s">
        <v>1392</v>
      </c>
      <c r="B77" s="1535"/>
      <c r="C77" s="1535"/>
      <c r="D77" s="1535"/>
      <c r="E77" s="1535"/>
      <c r="F77" s="1077"/>
    </row>
    <row r="78" spans="1:9">
      <c r="A78" s="1535" t="s">
        <v>1391</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46" workbookViewId="0">
      <selection activeCell="B40" sqref="B4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2292</v>
      </c>
      <c r="B2" s="1588"/>
      <c r="C2" s="1589"/>
      <c r="D2" s="1589"/>
      <c r="E2" s="1589"/>
      <c r="F2" s="1589"/>
      <c r="G2" s="1589"/>
      <c r="I2" s="2" t="s">
        <v>85</v>
      </c>
    </row>
    <row r="3" spans="1:9" ht="12.75">
      <c r="A3" s="298"/>
      <c r="B3" s="298"/>
      <c r="C3" s="13"/>
      <c r="D3" s="13"/>
      <c r="E3" s="13"/>
      <c r="F3" s="13"/>
      <c r="G3" s="687"/>
      <c r="I3" s="329" t="s">
        <v>1514</v>
      </c>
    </row>
    <row r="4" spans="1:9" ht="12.75">
      <c r="A4" s="1590" t="s">
        <v>1127</v>
      </c>
      <c r="B4" s="1590"/>
      <c r="C4" s="1591"/>
      <c r="D4" s="1591"/>
      <c r="E4" s="1591"/>
      <c r="F4" s="1591"/>
      <c r="G4" s="1591"/>
      <c r="I4" s="329" t="s">
        <v>1498</v>
      </c>
    </row>
    <row r="5" spans="1:9" ht="12.75">
      <c r="A5" s="1590" t="s">
        <v>1128</v>
      </c>
      <c r="B5" s="1590"/>
      <c r="C5" s="1591"/>
      <c r="D5" s="1591"/>
      <c r="E5" s="1591"/>
      <c r="F5" s="1591"/>
      <c r="G5" s="1591"/>
      <c r="I5" s="2" t="s">
        <v>134</v>
      </c>
    </row>
    <row r="6" spans="1:9" ht="13.7" customHeight="1">
      <c r="A6" s="14"/>
      <c r="B6" s="14"/>
      <c r="C6" s="14"/>
      <c r="D6" s="282"/>
      <c r="E6" s="282"/>
      <c r="F6" s="282"/>
    </row>
    <row r="7" spans="1:9" ht="12.75">
      <c r="A7" s="1592" t="s">
        <v>1551</v>
      </c>
      <c r="B7" s="1592"/>
      <c r="C7" s="1593"/>
      <c r="D7" s="1593"/>
      <c r="E7" s="1593"/>
      <c r="F7" s="1593"/>
      <c r="G7" s="1593"/>
    </row>
    <row r="8" spans="1:9" ht="12.75">
      <c r="A8" s="1592" t="s">
        <v>1552</v>
      </c>
      <c r="B8" s="1592"/>
      <c r="C8" s="1593"/>
      <c r="D8" s="1593"/>
      <c r="E8" s="1593"/>
      <c r="F8" s="1593"/>
      <c r="G8" s="1593"/>
    </row>
    <row r="9" spans="1:9" ht="12.75">
      <c r="A9" s="301"/>
      <c r="B9" s="301"/>
      <c r="C9" s="298"/>
      <c r="D9" s="298"/>
      <c r="E9" s="298"/>
      <c r="F9" s="298"/>
      <c r="G9" s="406"/>
    </row>
    <row r="10" spans="1:9" ht="12.75">
      <c r="A10" s="1594" t="s">
        <v>1685</v>
      </c>
      <c r="B10" s="1594"/>
      <c r="C10" s="1594"/>
      <c r="D10" s="1594"/>
      <c r="E10" s="1594"/>
      <c r="F10" s="1594"/>
      <c r="G10" s="1594"/>
    </row>
    <row r="11" spans="1:9" ht="12.75">
      <c r="A11" s="414"/>
      <c r="B11" s="414"/>
      <c r="C11" s="14"/>
      <c r="D11" s="282"/>
      <c r="E11" s="282"/>
      <c r="F11" s="282"/>
    </row>
    <row r="12" spans="1:9" ht="13.7" customHeight="1">
      <c r="A12" s="140"/>
      <c r="B12" s="140"/>
      <c r="C12" s="298"/>
      <c r="D12" s="1595" t="s">
        <v>1684</v>
      </c>
      <c r="E12" s="1595"/>
      <c r="F12" s="1595"/>
      <c r="G12" s="925"/>
    </row>
    <row r="13" spans="1:9" ht="12.75">
      <c r="A13" s="140"/>
      <c r="B13" s="140"/>
      <c r="C13" s="298"/>
      <c r="D13" s="1595"/>
      <c r="E13" s="1595"/>
      <c r="F13" s="1595"/>
      <c r="G13" s="925"/>
    </row>
    <row r="14" spans="1:9" ht="12.75">
      <c r="A14" s="415"/>
      <c r="B14" s="415"/>
      <c r="C14" s="299"/>
      <c r="D14" s="1555" t="s">
        <v>1538</v>
      </c>
      <c r="E14" s="1555"/>
      <c r="F14" s="1555"/>
      <c r="G14" s="467"/>
    </row>
    <row r="15" spans="1:9" ht="12.75">
      <c r="A15" s="415"/>
      <c r="B15" s="415"/>
      <c r="C15" s="299"/>
      <c r="D15" s="282"/>
      <c r="E15" s="282"/>
      <c r="F15" s="282"/>
    </row>
    <row r="16" spans="1:9" ht="14.45" customHeight="1">
      <c r="A16" s="413"/>
      <c r="B16" s="924" t="s">
        <v>134</v>
      </c>
      <c r="C16" s="299"/>
      <c r="D16" s="1587" t="s">
        <v>2296</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2297</v>
      </c>
      <c r="F19" s="1501"/>
      <c r="G19" s="550"/>
    </row>
    <row r="20" spans="1:7" ht="12.75">
      <c r="A20" s="415"/>
      <c r="B20" s="415"/>
      <c r="C20" s="299"/>
      <c r="D20" s="282"/>
      <c r="E20" s="282"/>
      <c r="F20" s="282"/>
    </row>
    <row r="21" spans="1:7" ht="14.25">
      <c r="A21" s="413"/>
      <c r="B21" s="924" t="s">
        <v>1498</v>
      </c>
      <c r="C21" s="14"/>
      <c r="D21" s="1587" t="s">
        <v>2298</v>
      </c>
      <c r="E21" s="1553"/>
      <c r="F21" s="1553"/>
    </row>
    <row r="22" spans="1:7" ht="12.75">
      <c r="A22" s="14"/>
      <c r="B22" s="14"/>
      <c r="C22" s="14"/>
      <c r="D22" s="1553"/>
      <c r="E22" s="1553"/>
      <c r="F22" s="1553"/>
    </row>
    <row r="23" spans="1:7" ht="12.75">
      <c r="A23" s="14"/>
      <c r="B23" s="14"/>
      <c r="C23" s="14"/>
      <c r="D23" s="1502"/>
      <c r="E23" s="930" t="s">
        <v>2299</v>
      </c>
      <c r="F23" s="1502"/>
    </row>
    <row r="24" spans="1:7" ht="14.25">
      <c r="A24" s="413"/>
      <c r="B24" s="413"/>
      <c r="C24" s="14"/>
      <c r="D24" s="287"/>
      <c r="E24" s="282"/>
      <c r="F24" s="282"/>
    </row>
    <row r="25" spans="1:7" ht="14.25">
      <c r="A25" s="413"/>
      <c r="B25" s="924" t="s">
        <v>134</v>
      </c>
      <c r="C25" s="14"/>
      <c r="D25" s="1553" t="s">
        <v>1530</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1498</v>
      </c>
      <c r="D28" s="1585" t="s">
        <v>1532</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134</v>
      </c>
      <c r="D34" s="1596" t="s">
        <v>1531</v>
      </c>
      <c r="E34" s="1596"/>
      <c r="F34" s="1596"/>
    </row>
    <row r="35" spans="1:6" ht="14.25">
      <c r="A35" s="552"/>
      <c r="B35" s="552"/>
      <c r="D35" s="1596"/>
      <c r="E35" s="1596"/>
      <c r="F35" s="1596"/>
    </row>
    <row r="36" spans="1:6" ht="14.25">
      <c r="A36" s="413"/>
      <c r="B36" s="413"/>
      <c r="C36" s="14"/>
      <c r="D36" s="928"/>
      <c r="E36" s="928"/>
      <c r="F36" s="928"/>
    </row>
    <row r="37" spans="1:6" ht="14.25">
      <c r="A37" s="413"/>
      <c r="B37" s="924" t="s">
        <v>1498</v>
      </c>
      <c r="C37" s="14"/>
      <c r="D37" s="1563" t="s">
        <v>1918</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134</v>
      </c>
      <c r="C46" s="14"/>
      <c r="D46" s="1596" t="s">
        <v>1569</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1498</v>
      </c>
      <c r="C52" s="14"/>
      <c r="D52" s="1563" t="s">
        <v>2078</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134</v>
      </c>
      <c r="C59" s="14"/>
      <c r="D59" s="1563" t="s">
        <v>2129</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1498</v>
      </c>
      <c r="C64" s="14"/>
      <c r="D64" s="1551" t="s">
        <v>1574</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1498</v>
      </c>
      <c r="D68" s="1563" t="s">
        <v>2300</v>
      </c>
      <c r="E68" s="1596"/>
      <c r="F68" s="1596"/>
    </row>
    <row r="69" spans="1:6" ht="12.75">
      <c r="D69" s="1596"/>
      <c r="E69" s="1596"/>
      <c r="F69" s="1596"/>
    </row>
    <row r="70" spans="1:6" ht="12.75">
      <c r="D70" s="1596"/>
      <c r="E70" s="1596"/>
      <c r="F70" s="1596"/>
    </row>
    <row r="71" spans="1:6" ht="14.25">
      <c r="A71" s="552"/>
      <c r="B71" s="552"/>
      <c r="D71" s="928"/>
      <c r="E71" s="1503" t="s">
        <v>2297</v>
      </c>
      <c r="F71" s="928"/>
    </row>
    <row r="72" spans="1:6" ht="14.25">
      <c r="A72" s="413"/>
      <c r="B72" s="413"/>
      <c r="C72" s="14"/>
      <c r="D72" s="136"/>
    </row>
    <row r="73" spans="1:6" ht="14.25">
      <c r="A73" s="413"/>
      <c r="B73" s="924" t="s">
        <v>134</v>
      </c>
      <c r="C73" s="14"/>
      <c r="D73" s="1596" t="s">
        <v>1683</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253</v>
      </c>
      <c r="B77" s="924" t="s">
        <v>1498</v>
      </c>
      <c r="C77" s="14"/>
      <c r="D77" s="1596" t="s">
        <v>1575</v>
      </c>
      <c r="E77" s="1596"/>
      <c r="F77" s="1596"/>
    </row>
    <row r="78" spans="1:6" ht="12.75">
      <c r="A78" s="140"/>
      <c r="B78" s="140"/>
      <c r="C78" s="14"/>
      <c r="D78" s="1596"/>
      <c r="E78" s="1596"/>
      <c r="F78" s="1596"/>
    </row>
    <row r="79" spans="1:6" ht="12.75">
      <c r="A79" s="140"/>
      <c r="B79" s="140"/>
      <c r="C79" s="14"/>
      <c r="D79" s="282"/>
      <c r="E79" s="282"/>
      <c r="F79" s="282"/>
    </row>
    <row r="80" spans="1:6" ht="14.25">
      <c r="A80" s="413" t="s">
        <v>253</v>
      </c>
      <c r="B80" s="924" t="s">
        <v>134</v>
      </c>
      <c r="C80" s="14"/>
      <c r="D80" s="1596" t="s">
        <v>1576</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253</v>
      </c>
      <c r="B84" s="924" t="s">
        <v>1498</v>
      </c>
      <c r="C84" s="14"/>
      <c r="D84" s="1553" t="s">
        <v>1577</v>
      </c>
      <c r="E84" s="1553"/>
      <c r="F84" s="1553"/>
    </row>
    <row r="85" spans="1:7" ht="12.75">
      <c r="A85" s="140"/>
      <c r="B85" s="140"/>
      <c r="C85" s="14"/>
      <c r="D85" s="1553"/>
      <c r="E85" s="1553"/>
      <c r="F85" s="1553"/>
    </row>
    <row r="86" spans="1:7" ht="12.75">
      <c r="A86" s="140"/>
      <c r="B86" s="140"/>
      <c r="C86" s="14"/>
      <c r="D86" s="282"/>
      <c r="E86" s="282"/>
      <c r="F86" s="282"/>
    </row>
    <row r="87" spans="1:7" ht="12.75">
      <c r="A87" s="1561" t="s">
        <v>1502</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1503</v>
      </c>
      <c r="E89" s="1564"/>
      <c r="F89" s="1564"/>
      <c r="G89" s="2"/>
    </row>
    <row r="90" spans="1:7" ht="13.7" customHeight="1">
      <c r="A90" s="143"/>
      <c r="B90" s="143"/>
      <c r="C90" s="14"/>
      <c r="D90" s="1553" t="s">
        <v>1686</v>
      </c>
      <c r="E90" s="1553"/>
      <c r="F90" s="1553"/>
      <c r="G90" s="2"/>
    </row>
    <row r="91" spans="1:7" ht="12.75">
      <c r="A91" s="143"/>
      <c r="B91" s="143"/>
      <c r="C91" s="14"/>
      <c r="D91" s="282"/>
      <c r="E91" s="2"/>
      <c r="F91" s="2"/>
      <c r="G91" s="2"/>
    </row>
    <row r="92" spans="1:7" ht="14.25" customHeight="1">
      <c r="A92" s="413"/>
      <c r="B92" s="924" t="s">
        <v>1498</v>
      </c>
      <c r="C92" s="14"/>
      <c r="D92" s="1587" t="s">
        <v>2048</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134</v>
      </c>
      <c r="C101" s="14"/>
      <c r="D101" s="1557" t="s">
        <v>2049</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134</v>
      </c>
      <c r="C114" s="14"/>
      <c r="D114" s="1553" t="s">
        <v>1687</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134</v>
      </c>
      <c r="C122" s="14"/>
      <c r="D122" s="1553" t="s">
        <v>1688</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1498</v>
      </c>
      <c r="C128" s="14"/>
      <c r="D128" s="1596" t="s">
        <v>1689</v>
      </c>
      <c r="E128" s="1596"/>
      <c r="F128" s="1596"/>
    </row>
    <row r="129" spans="1:7" s="497" customFormat="1" ht="14.1" customHeight="1">
      <c r="A129" s="487"/>
      <c r="B129" s="487"/>
      <c r="C129" s="488"/>
      <c r="D129" s="1596"/>
      <c r="E129" s="1596"/>
      <c r="F129" s="1596"/>
      <c r="G129" s="558"/>
    </row>
    <row r="130" spans="1:7" ht="14.1" customHeight="1">
      <c r="A130" s="140"/>
      <c r="B130" s="140"/>
      <c r="C130" s="14"/>
      <c r="D130" s="1596"/>
      <c r="E130" s="1596"/>
      <c r="F130" s="1596"/>
    </row>
    <row r="131" spans="1:7" ht="14.1" customHeight="1">
      <c r="A131" s="140"/>
      <c r="B131" s="140"/>
      <c r="C131" s="14"/>
      <c r="D131" s="1596"/>
      <c r="E131" s="1596"/>
      <c r="F131" s="1596"/>
    </row>
    <row r="132" spans="1:7" ht="14.1" customHeight="1">
      <c r="A132" s="140"/>
      <c r="B132" s="140"/>
      <c r="C132" s="14"/>
      <c r="D132" s="1596"/>
      <c r="E132" s="1596"/>
      <c r="F132" s="1596"/>
    </row>
    <row r="133" spans="1:7" ht="14.1" customHeight="1">
      <c r="A133" s="140"/>
      <c r="B133" s="140"/>
      <c r="C133" s="14"/>
      <c r="D133" s="1596"/>
      <c r="E133" s="1596"/>
      <c r="F133" s="1596"/>
    </row>
    <row r="134" spans="1:7" ht="14.1" customHeight="1">
      <c r="A134" s="958"/>
      <c r="B134" s="958"/>
      <c r="C134" s="14"/>
      <c r="D134" s="1596"/>
      <c r="E134" s="1596"/>
      <c r="F134" s="1596"/>
      <c r="G134" s="2"/>
    </row>
    <row r="135" spans="1:7" ht="14.1" customHeight="1">
      <c r="A135" s="958"/>
      <c r="B135" s="958"/>
      <c r="C135" s="14"/>
      <c r="D135" s="1596"/>
      <c r="E135" s="1596"/>
      <c r="F135" s="1596"/>
      <c r="G135" s="2"/>
    </row>
    <row r="136" spans="1:7" ht="14.1" customHeight="1">
      <c r="A136" s="958"/>
      <c r="B136" s="958"/>
      <c r="C136" s="14"/>
      <c r="D136" s="1596"/>
      <c r="E136" s="1596"/>
      <c r="F136" s="1596"/>
      <c r="G136" s="2"/>
    </row>
    <row r="137" spans="1:7" ht="14.1"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4.1" customHeight="1">
      <c r="A140" s="958"/>
      <c r="B140" s="958"/>
      <c r="C140" s="14"/>
      <c r="D140" s="282"/>
      <c r="E140" s="282"/>
      <c r="F140" s="282"/>
      <c r="G140" s="2"/>
    </row>
    <row r="141" spans="1:7" ht="14.1" customHeight="1">
      <c r="A141" s="140"/>
      <c r="B141" s="924" t="s">
        <v>134</v>
      </c>
      <c r="C141" s="14"/>
      <c r="D141" s="1587" t="s">
        <v>1894</v>
      </c>
      <c r="E141" s="1553"/>
      <c r="F141" s="1553"/>
      <c r="G141" s="2"/>
    </row>
    <row r="142" spans="1:7" ht="14.1" customHeight="1">
      <c r="A142" s="140"/>
      <c r="B142" s="140"/>
      <c r="C142" s="14"/>
      <c r="D142" s="1553"/>
      <c r="E142" s="1553"/>
      <c r="F142" s="1553"/>
      <c r="G142" s="2"/>
    </row>
    <row r="143" spans="1:7" ht="14.1" customHeight="1">
      <c r="A143" s="140"/>
      <c r="B143" s="140"/>
      <c r="C143" s="14"/>
      <c r="D143" s="1553"/>
      <c r="E143" s="1553"/>
      <c r="F143" s="1553"/>
      <c r="G143" s="2"/>
    </row>
    <row r="144" spans="1:7" ht="14.1" customHeight="1">
      <c r="A144" s="150"/>
      <c r="B144" s="150"/>
      <c r="D144" s="1553"/>
      <c r="E144" s="1553"/>
      <c r="F144" s="1553"/>
      <c r="G144" s="2"/>
    </row>
    <row r="145" spans="1:7" ht="14.1" customHeight="1">
      <c r="A145" s="140"/>
      <c r="B145" s="140"/>
      <c r="C145" s="14"/>
      <c r="D145" s="1553"/>
      <c r="E145" s="1553"/>
      <c r="F145" s="1553"/>
      <c r="G145" s="2"/>
    </row>
    <row r="146" spans="1:7" ht="14.1" customHeight="1">
      <c r="A146" s="33"/>
      <c r="B146" s="33"/>
      <c r="C146" s="14"/>
      <c r="D146" s="1553"/>
      <c r="E146" s="1553"/>
      <c r="F146" s="1553"/>
      <c r="G146" s="2"/>
    </row>
    <row r="147" spans="1:7" ht="14.1" customHeight="1">
      <c r="A147" s="33"/>
      <c r="B147" s="33"/>
      <c r="C147" s="14"/>
      <c r="D147" s="1553"/>
      <c r="E147" s="1553"/>
      <c r="F147" s="1553"/>
      <c r="G147" s="2"/>
    </row>
    <row r="148" spans="1:7" ht="14.1" customHeight="1">
      <c r="A148" s="959"/>
      <c r="B148" s="959"/>
      <c r="C148" s="14"/>
      <c r="D148" s="1553"/>
      <c r="E148" s="1553"/>
      <c r="F148" s="1553"/>
      <c r="G148" s="2"/>
    </row>
    <row r="149" spans="1:7" ht="14.1" customHeight="1">
      <c r="A149" s="959"/>
      <c r="B149" s="959"/>
      <c r="C149" s="14"/>
      <c r="D149" s="1553"/>
      <c r="E149" s="1553"/>
      <c r="F149" s="1553"/>
      <c r="G149" s="2"/>
    </row>
    <row r="150" spans="1:7" ht="14.1" customHeight="1">
      <c r="A150" s="959"/>
      <c r="B150" s="959"/>
      <c r="C150" s="14"/>
      <c r="D150" s="1553"/>
      <c r="E150" s="1553"/>
      <c r="F150" s="1553"/>
      <c r="G150" s="2"/>
    </row>
    <row r="151" spans="1:7" ht="14.1" customHeight="1">
      <c r="A151" s="1063"/>
      <c r="B151" s="1063"/>
      <c r="C151" s="14"/>
      <c r="D151" s="1553"/>
      <c r="E151" s="1553"/>
      <c r="F151" s="1553"/>
      <c r="G151" s="2"/>
    </row>
    <row r="152" spans="1:7" ht="14.1" customHeight="1">
      <c r="A152" s="1063"/>
      <c r="B152" s="1063"/>
      <c r="C152" s="14"/>
      <c r="D152" s="1553"/>
      <c r="E152" s="1553"/>
      <c r="F152" s="1553"/>
      <c r="G152" s="2"/>
    </row>
    <row r="153" spans="1:7" ht="14.1" customHeight="1">
      <c r="A153" s="959"/>
      <c r="B153" s="959"/>
      <c r="C153" s="14"/>
      <c r="D153" s="1553"/>
      <c r="E153" s="1553"/>
      <c r="F153" s="1553"/>
      <c r="G153" s="2"/>
    </row>
    <row r="154" spans="1:7" ht="14.1" customHeight="1">
      <c r="A154" s="959"/>
      <c r="B154" s="959"/>
      <c r="C154" s="14"/>
      <c r="D154" s="1553"/>
      <c r="E154" s="1553"/>
      <c r="F154" s="1553"/>
      <c r="G154" s="2"/>
    </row>
    <row r="155" spans="1:7" ht="14.1" customHeight="1">
      <c r="A155" s="959"/>
      <c r="B155" s="959"/>
      <c r="C155" s="14"/>
      <c r="D155" s="1553"/>
      <c r="E155" s="1553"/>
      <c r="F155" s="1553"/>
      <c r="G155" s="2"/>
    </row>
    <row r="156" spans="1:7" ht="14.1" customHeight="1">
      <c r="A156" s="959"/>
      <c r="B156" s="959"/>
      <c r="C156" s="14"/>
      <c r="D156" s="1553"/>
      <c r="E156" s="1553"/>
      <c r="F156" s="1553"/>
      <c r="G156" s="2"/>
    </row>
    <row r="157" spans="1:7" ht="14.1" customHeight="1">
      <c r="A157" s="959"/>
      <c r="B157" s="959"/>
      <c r="C157" s="14"/>
      <c r="D157" s="1553"/>
      <c r="E157" s="1553"/>
      <c r="F157" s="1553"/>
      <c r="G157" s="2"/>
    </row>
    <row r="158" spans="1:7" ht="14.1" customHeight="1">
      <c r="A158" s="959"/>
      <c r="B158" s="959"/>
      <c r="C158" s="14"/>
      <c r="D158" s="1553"/>
      <c r="E158" s="1553"/>
      <c r="F158" s="1553"/>
      <c r="G158" s="2"/>
    </row>
    <row r="159" spans="1:7" ht="14.1" customHeight="1">
      <c r="A159" s="1069"/>
      <c r="B159" s="1069"/>
      <c r="C159" s="14"/>
      <c r="D159" s="1626" t="s">
        <v>1895</v>
      </c>
      <c r="E159" s="1626"/>
      <c r="F159" s="1626"/>
      <c r="G159" s="2"/>
    </row>
    <row r="160" spans="1:7" ht="14.1" customHeight="1">
      <c r="A160" s="959"/>
      <c r="B160" s="959"/>
      <c r="C160" s="14"/>
      <c r="D160" s="955"/>
      <c r="E160" s="282"/>
      <c r="F160" s="282"/>
      <c r="G160" s="2"/>
    </row>
    <row r="161" spans="1:7" ht="14.1" customHeight="1">
      <c r="A161" s="413"/>
      <c r="B161" s="924" t="s">
        <v>134</v>
      </c>
      <c r="C161" s="14"/>
      <c r="D161" s="1628" t="s">
        <v>1925</v>
      </c>
      <c r="E161" s="1629"/>
      <c r="F161" s="1629"/>
      <c r="G161" s="2"/>
    </row>
    <row r="162" spans="1:7" ht="14.1" customHeight="1">
      <c r="A162" s="413"/>
      <c r="B162" s="1080"/>
      <c r="C162" s="14"/>
      <c r="D162" s="1629"/>
      <c r="E162" s="1629"/>
      <c r="F162" s="1629"/>
      <c r="G162" s="2"/>
    </row>
    <row r="163" spans="1:7" ht="14.1" customHeight="1">
      <c r="A163" s="33"/>
      <c r="B163" s="33"/>
      <c r="C163" s="14"/>
      <c r="D163" s="1629"/>
      <c r="E163" s="1629"/>
      <c r="F163" s="1629"/>
      <c r="G163" s="2"/>
    </row>
    <row r="164" spans="1:7" ht="14.1" customHeight="1">
      <c r="A164" s="33"/>
      <c r="B164" s="33"/>
      <c r="C164" s="14"/>
      <c r="D164" s="287"/>
      <c r="E164" s="282"/>
      <c r="F164" s="282"/>
      <c r="G164" s="2"/>
    </row>
    <row r="165" spans="1:7" ht="14.1" customHeight="1">
      <c r="A165" s="413"/>
      <c r="B165" s="924" t="s">
        <v>1498</v>
      </c>
      <c r="C165" s="14"/>
      <c r="D165" s="1630" t="s">
        <v>1690</v>
      </c>
      <c r="E165" s="1630"/>
      <c r="F165" s="1630"/>
      <c r="G165" s="2"/>
    </row>
    <row r="166" spans="1:7" ht="14.1" customHeight="1">
      <c r="A166" s="33"/>
      <c r="B166" s="33"/>
      <c r="C166" s="14"/>
      <c r="D166" s="1630"/>
      <c r="E166" s="1630"/>
      <c r="F166" s="1630"/>
    </row>
    <row r="167" spans="1:7" ht="14.1" customHeight="1">
      <c r="A167" s="33"/>
      <c r="B167" s="33"/>
      <c r="C167" s="14"/>
      <c r="D167" s="1630"/>
      <c r="E167" s="1630"/>
      <c r="F167" s="1630"/>
    </row>
    <row r="168" spans="1:7" ht="14.1" customHeight="1">
      <c r="A168" s="33"/>
      <c r="B168" s="33"/>
      <c r="C168" s="14"/>
      <c r="D168" s="1630"/>
      <c r="E168" s="1630"/>
      <c r="F168" s="1630"/>
    </row>
    <row r="169" spans="1:7" ht="14.1" customHeight="1">
      <c r="A169" s="33"/>
      <c r="B169" s="33"/>
      <c r="C169" s="14"/>
      <c r="D169" s="287"/>
      <c r="E169" s="282"/>
      <c r="F169" s="282"/>
    </row>
    <row r="170" spans="1:7" ht="14.1" customHeight="1">
      <c r="A170" s="574"/>
      <c r="B170" s="924" t="s">
        <v>134</v>
      </c>
      <c r="C170" s="573"/>
      <c r="D170" s="1622" t="s">
        <v>1691</v>
      </c>
      <c r="E170" s="1622"/>
      <c r="F170" s="1622"/>
      <c r="G170" s="692"/>
    </row>
    <row r="171" spans="1:7" ht="14.1" customHeight="1">
      <c r="A171" s="574"/>
      <c r="B171" s="574"/>
      <c r="C171" s="573"/>
      <c r="D171" s="1622"/>
      <c r="E171" s="1622"/>
      <c r="F171" s="1622"/>
      <c r="G171" s="692"/>
    </row>
    <row r="172" spans="1:7" ht="14.1" customHeight="1">
      <c r="A172" s="574"/>
      <c r="B172" s="574"/>
      <c r="C172" s="573"/>
      <c r="D172" s="1622"/>
      <c r="E172" s="1622"/>
      <c r="F172" s="1622"/>
      <c r="G172" s="692"/>
    </row>
    <row r="173" spans="1:7" ht="12.75">
      <c r="A173" s="574"/>
      <c r="B173" s="574"/>
      <c r="C173" s="573"/>
      <c r="D173" s="576"/>
      <c r="E173" s="564"/>
      <c r="F173" s="564"/>
      <c r="G173" s="692"/>
    </row>
    <row r="174" spans="1:7" ht="12.75">
      <c r="A174" s="1561" t="s">
        <v>1505</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1504</v>
      </c>
      <c r="E176" s="1617"/>
      <c r="F176" s="1617"/>
    </row>
    <row r="177" spans="1:7" ht="12.75">
      <c r="A177" s="414"/>
      <c r="B177" s="414"/>
      <c r="C177" s="298"/>
      <c r="D177" s="1623" t="s">
        <v>1539</v>
      </c>
      <c r="E177" s="1623"/>
      <c r="F177" s="1623"/>
    </row>
    <row r="178" spans="1:7" ht="12.75">
      <c r="A178" s="415"/>
      <c r="B178" s="415"/>
      <c r="C178" s="299"/>
      <c r="D178" s="282"/>
      <c r="E178" s="282"/>
      <c r="F178" s="282"/>
    </row>
    <row r="179" spans="1:7" ht="14.25">
      <c r="A179" s="413"/>
      <c r="B179" s="924" t="s">
        <v>1498</v>
      </c>
      <c r="C179" s="302"/>
      <c r="D179" s="1624" t="s">
        <v>1897</v>
      </c>
      <c r="E179" s="1608"/>
      <c r="F179" s="1608"/>
      <c r="G179" s="288"/>
    </row>
    <row r="180" spans="1:7" ht="14.25">
      <c r="A180" s="413"/>
      <c r="B180" s="417"/>
      <c r="C180" s="302"/>
      <c r="D180" s="1243"/>
      <c r="E180" s="1242"/>
      <c r="F180" s="1242"/>
      <c r="G180" s="288"/>
    </row>
    <row r="181" spans="1:7" ht="14.25">
      <c r="A181" s="413"/>
      <c r="B181" s="924" t="s">
        <v>134</v>
      </c>
      <c r="C181" s="302"/>
      <c r="D181" s="1608" t="s">
        <v>1692</v>
      </c>
      <c r="E181" s="1608"/>
      <c r="F181" s="1608"/>
      <c r="G181" s="288"/>
    </row>
    <row r="182" spans="1:7" ht="14.25">
      <c r="A182" s="413"/>
      <c r="B182" s="417"/>
      <c r="C182" s="302"/>
      <c r="D182" s="1242"/>
      <c r="E182" s="1242"/>
      <c r="F182" s="1242"/>
      <c r="G182" s="288"/>
    </row>
    <row r="183" spans="1:7" ht="14.25">
      <c r="A183" s="413"/>
      <c r="B183" s="1244" t="s">
        <v>134</v>
      </c>
      <c r="C183" s="302"/>
      <c r="D183" s="1627" t="s">
        <v>1980</v>
      </c>
      <c r="E183" s="1627"/>
      <c r="F183" s="1627"/>
      <c r="G183" s="288"/>
    </row>
    <row r="184" spans="1:7" ht="13.7" customHeight="1">
      <c r="A184" s="413"/>
      <c r="B184" s="417"/>
      <c r="C184" s="302"/>
      <c r="D184" s="1246" t="s">
        <v>982</v>
      </c>
      <c r="E184" s="1522" t="s">
        <v>1982</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983</v>
      </c>
      <c r="E188" s="1587" t="s">
        <v>1981</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134</v>
      </c>
      <c r="C196" s="302"/>
      <c r="D196" s="1529" t="s">
        <v>1693</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2333</v>
      </c>
      <c r="E200" s="1626"/>
      <c r="F200" s="1626"/>
      <c r="G200" s="288"/>
    </row>
    <row r="201" spans="1:7" ht="12.75">
      <c r="A201" s="417"/>
      <c r="B201" s="417"/>
      <c r="C201" s="302"/>
      <c r="D201" s="961"/>
      <c r="E201" s="961"/>
      <c r="F201" s="961"/>
      <c r="G201" s="288"/>
    </row>
    <row r="202" spans="1:7" ht="14.25">
      <c r="A202" s="413"/>
      <c r="B202" s="924" t="s">
        <v>134</v>
      </c>
      <c r="C202" s="302"/>
      <c r="D202" s="1625" t="s">
        <v>1694</v>
      </c>
      <c r="E202" s="1625"/>
      <c r="F202" s="1625"/>
      <c r="G202" s="288"/>
    </row>
    <row r="203" spans="1:7" ht="12.75">
      <c r="A203" s="417"/>
      <c r="B203" s="417"/>
      <c r="C203" s="302"/>
      <c r="D203" s="283"/>
      <c r="E203" s="283"/>
      <c r="F203" s="283"/>
      <c r="G203" s="288"/>
    </row>
    <row r="204" spans="1:7" ht="12.75">
      <c r="A204" s="1561" t="s">
        <v>1507</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1506</v>
      </c>
      <c r="E206" s="1577"/>
      <c r="F206" s="1577"/>
      <c r="G206" s="288"/>
    </row>
    <row r="207" spans="1:7" ht="12.75">
      <c r="A207" s="902"/>
      <c r="B207" s="902"/>
      <c r="C207" s="901"/>
      <c r="D207" s="1577" t="s">
        <v>758</v>
      </c>
      <c r="E207" s="1577"/>
      <c r="F207" s="1577"/>
      <c r="G207" s="288"/>
    </row>
    <row r="208" spans="1:7" ht="12.75">
      <c r="A208" s="414"/>
      <c r="B208" s="414"/>
      <c r="C208" s="298"/>
      <c r="D208" s="1608" t="s">
        <v>1540</v>
      </c>
      <c r="E208" s="1608"/>
      <c r="F208" s="1608"/>
      <c r="G208" s="288"/>
    </row>
    <row r="209" spans="1:7" ht="12.75">
      <c r="A209" s="414"/>
      <c r="B209" s="414"/>
      <c r="C209" s="298"/>
      <c r="D209" s="283"/>
      <c r="E209" s="283"/>
      <c r="F209" s="283"/>
      <c r="G209" s="288"/>
    </row>
    <row r="210" spans="1:7" ht="12.75">
      <c r="A210" s="414"/>
      <c r="B210" s="414"/>
      <c r="C210" s="298"/>
      <c r="D210" s="1584" t="s">
        <v>1550</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1984</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1498</v>
      </c>
      <c r="C222" s="299"/>
      <c r="D222" s="1555" t="s">
        <v>320</v>
      </c>
      <c r="E222" s="1555"/>
      <c r="F222" s="1555"/>
      <c r="G222" s="288"/>
    </row>
    <row r="223" spans="1:7" ht="14.25">
      <c r="A223" s="413"/>
      <c r="B223" s="14"/>
      <c r="C223" s="299"/>
      <c r="D223" s="1560" t="s">
        <v>1198</v>
      </c>
      <c r="E223" s="1560"/>
      <c r="F223" s="1560"/>
      <c r="G223" s="288"/>
    </row>
    <row r="224" spans="1:7" ht="14.25">
      <c r="A224" s="413"/>
      <c r="B224" s="413"/>
      <c r="C224" s="299"/>
      <c r="D224" s="930" t="s">
        <v>1557</v>
      </c>
      <c r="E224" s="1572" t="s">
        <v>2301</v>
      </c>
      <c r="F224" s="1572"/>
      <c r="G224" s="288"/>
    </row>
    <row r="225" spans="1:7" ht="12.75">
      <c r="A225" s="417"/>
      <c r="B225" s="417"/>
      <c r="C225" s="302"/>
      <c r="D225" s="1559" t="s">
        <v>1533</v>
      </c>
      <c r="E225" s="1560"/>
      <c r="F225" s="1560"/>
      <c r="G225" s="288"/>
    </row>
    <row r="226" spans="1:7" ht="12.75">
      <c r="A226" s="417"/>
      <c r="B226" s="417"/>
      <c r="C226" s="302"/>
      <c r="D226" s="283"/>
      <c r="E226" s="283"/>
      <c r="F226" s="283"/>
      <c r="G226" s="288"/>
    </row>
    <row r="227" spans="1:7" ht="14.25">
      <c r="A227" s="413"/>
      <c r="B227" s="924" t="s">
        <v>134</v>
      </c>
      <c r="C227" s="302"/>
      <c r="D227" s="1560" t="s">
        <v>321</v>
      </c>
      <c r="E227" s="1560"/>
      <c r="F227" s="1560"/>
      <c r="G227" s="288"/>
    </row>
    <row r="228" spans="1:7" ht="14.25">
      <c r="A228" s="413"/>
      <c r="B228" s="14"/>
      <c r="C228" s="302"/>
      <c r="D228" s="1555" t="s">
        <v>1198</v>
      </c>
      <c r="E228" s="1555"/>
      <c r="F228" s="1555"/>
      <c r="G228" s="288"/>
    </row>
    <row r="229" spans="1:7" ht="14.25">
      <c r="A229" s="413"/>
      <c r="B229" s="413"/>
      <c r="C229" s="302"/>
      <c r="D229" s="300" t="s">
        <v>1558</v>
      </c>
      <c r="E229" s="1572" t="s">
        <v>2302</v>
      </c>
      <c r="F229" s="1572"/>
      <c r="G229" s="288"/>
    </row>
    <row r="230" spans="1:7" ht="12.75">
      <c r="A230" s="417"/>
      <c r="B230" s="417"/>
      <c r="C230" s="302"/>
      <c r="D230" s="1560" t="s">
        <v>1534</v>
      </c>
      <c r="E230" s="1560"/>
      <c r="F230" s="1560"/>
      <c r="G230" s="288"/>
    </row>
    <row r="231" spans="1:7" ht="12.75">
      <c r="A231" s="417"/>
      <c r="B231" s="417"/>
      <c r="C231" s="302"/>
      <c r="D231" s="283"/>
      <c r="E231" s="283"/>
      <c r="F231" s="283"/>
      <c r="G231" s="288"/>
    </row>
    <row r="232" spans="1:7" ht="14.25">
      <c r="A232" s="413"/>
      <c r="B232" s="924" t="s">
        <v>134</v>
      </c>
      <c r="C232" s="302"/>
      <c r="D232" s="1560" t="s">
        <v>702</v>
      </c>
      <c r="E232" s="1560"/>
      <c r="F232" s="1560"/>
      <c r="G232" s="288"/>
    </row>
    <row r="233" spans="1:7" ht="14.25">
      <c r="A233" s="413"/>
      <c r="B233" s="14"/>
      <c r="C233" s="302"/>
      <c r="D233" s="287" t="s">
        <v>1198</v>
      </c>
      <c r="E233" s="283"/>
      <c r="F233" s="283"/>
      <c r="G233" s="288"/>
    </row>
    <row r="234" spans="1:7" ht="14.25">
      <c r="A234" s="413"/>
      <c r="B234" s="413"/>
      <c r="C234" s="302"/>
      <c r="D234" s="300" t="s">
        <v>1557</v>
      </c>
      <c r="E234" s="1572" t="s">
        <v>2303</v>
      </c>
      <c r="F234" s="1572"/>
      <c r="G234" s="288"/>
    </row>
    <row r="235" spans="1:7" ht="14.25">
      <c r="A235" s="413"/>
      <c r="B235" s="413"/>
      <c r="C235" s="302"/>
      <c r="D235" s="1553" t="s">
        <v>1560</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1535</v>
      </c>
      <c r="E240" s="1553"/>
      <c r="F240" s="1553"/>
      <c r="G240" s="288"/>
    </row>
    <row r="241" spans="1:7" ht="12.75">
      <c r="A241" s="417"/>
      <c r="B241" s="417"/>
      <c r="C241" s="302"/>
      <c r="D241" s="287"/>
      <c r="E241" s="283"/>
      <c r="F241" s="283"/>
      <c r="G241" s="288"/>
    </row>
    <row r="242" spans="1:7" ht="14.25">
      <c r="A242" s="413"/>
      <c r="B242" s="924" t="s">
        <v>134</v>
      </c>
      <c r="C242" s="302"/>
      <c r="D242" s="1560" t="s">
        <v>703</v>
      </c>
      <c r="E242" s="1560"/>
      <c r="F242" s="1560"/>
      <c r="G242" s="288"/>
    </row>
    <row r="243" spans="1:7" ht="14.25">
      <c r="A243" s="413"/>
      <c r="B243" s="14"/>
      <c r="C243" s="302"/>
      <c r="D243" s="1560" t="s">
        <v>1198</v>
      </c>
      <c r="E243" s="1560"/>
      <c r="F243" s="1560"/>
      <c r="G243" s="288"/>
    </row>
    <row r="244" spans="1:7" ht="14.25">
      <c r="A244" s="413"/>
      <c r="B244" s="413"/>
      <c r="C244" s="302"/>
      <c r="D244" s="300" t="s">
        <v>1557</v>
      </c>
      <c r="E244" s="1572" t="s">
        <v>2304</v>
      </c>
      <c r="F244" s="1572"/>
      <c r="G244" s="288"/>
    </row>
    <row r="245" spans="1:7" ht="12.75">
      <c r="A245" s="417"/>
      <c r="B245" s="417"/>
      <c r="C245" s="302"/>
      <c r="D245" s="1559" t="s">
        <v>2133</v>
      </c>
      <c r="E245" s="1560"/>
      <c r="F245" s="1560"/>
      <c r="G245" s="288"/>
    </row>
    <row r="246" spans="1:7" ht="12.75">
      <c r="A246" s="417"/>
      <c r="B246" s="417"/>
      <c r="C246" s="302"/>
      <c r="D246" s="1327"/>
      <c r="E246" s="1327"/>
      <c r="F246" s="1327"/>
      <c r="G246" s="288"/>
    </row>
    <row r="247" spans="1:7" ht="14.25">
      <c r="A247" s="413"/>
      <c r="B247" s="1329" t="s">
        <v>134</v>
      </c>
      <c r="C247" s="302"/>
      <c r="D247" s="1559" t="s">
        <v>2132</v>
      </c>
      <c r="E247" s="1560"/>
      <c r="F247" s="1560"/>
      <c r="G247" s="288"/>
    </row>
    <row r="248" spans="1:7" ht="14.25">
      <c r="A248" s="413"/>
      <c r="B248" s="14"/>
      <c r="C248" s="302"/>
      <c r="D248" s="1560" t="s">
        <v>1198</v>
      </c>
      <c r="E248" s="1560"/>
      <c r="F248" s="1560"/>
      <c r="G248" s="288"/>
    </row>
    <row r="249" spans="1:7" ht="14.25">
      <c r="A249" s="413"/>
      <c r="B249" s="413"/>
      <c r="C249" s="302"/>
      <c r="D249" s="1328" t="s">
        <v>1557</v>
      </c>
      <c r="E249" s="1572" t="s">
        <v>2305</v>
      </c>
      <c r="F249" s="1572"/>
      <c r="G249" s="288"/>
    </row>
    <row r="250" spans="1:7" ht="12.75">
      <c r="A250" s="417"/>
      <c r="B250" s="417"/>
      <c r="C250" s="302"/>
      <c r="D250" s="1559" t="s">
        <v>2134</v>
      </c>
      <c r="E250" s="1560"/>
      <c r="F250" s="1560"/>
      <c r="G250" s="288"/>
    </row>
    <row r="251" spans="1:7" ht="12.75">
      <c r="A251" s="417"/>
      <c r="B251" s="417"/>
      <c r="C251" s="302"/>
      <c r="D251" s="403"/>
      <c r="E251" s="288"/>
      <c r="F251" s="288"/>
      <c r="G251" s="288"/>
    </row>
    <row r="252" spans="1:7" ht="14.25">
      <c r="A252" s="413"/>
      <c r="B252" s="924" t="s">
        <v>134</v>
      </c>
      <c r="D252" s="934" t="s">
        <v>1584</v>
      </c>
      <c r="E252" s="934"/>
      <c r="F252" s="934"/>
    </row>
    <row r="253" spans="1:7" ht="14.25">
      <c r="A253" s="413"/>
      <c r="B253" s="2"/>
      <c r="D253" s="1587" t="s">
        <v>1919</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134</v>
      </c>
      <c r="D257" s="1609" t="s">
        <v>1105</v>
      </c>
      <c r="E257" s="1609"/>
      <c r="F257" s="1609"/>
    </row>
    <row r="258" spans="1:7" ht="14.25">
      <c r="A258" s="413"/>
      <c r="B258" s="417"/>
      <c r="D258" s="934"/>
      <c r="E258" s="934"/>
      <c r="F258" s="934"/>
    </row>
    <row r="259" spans="1:7" ht="12.75">
      <c r="A259" s="1561" t="s">
        <v>1509</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1508</v>
      </c>
      <c r="E261" s="1562"/>
      <c r="F261" s="1562"/>
    </row>
    <row r="262" spans="1:7" ht="12.75">
      <c r="A262" s="414"/>
      <c r="B262" s="414"/>
      <c r="C262" s="298"/>
      <c r="D262" s="1555" t="s">
        <v>1541</v>
      </c>
      <c r="E262" s="1555"/>
      <c r="F262" s="1555"/>
    </row>
    <row r="263" spans="1:7" ht="12.75">
      <c r="A263" s="33"/>
      <c r="B263" s="33"/>
      <c r="C263" s="320"/>
      <c r="D263" s="6"/>
      <c r="E263" s="282"/>
      <c r="F263" s="282"/>
    </row>
    <row r="264" spans="1:7" ht="12.75">
      <c r="A264" s="33"/>
      <c r="B264" s="14"/>
      <c r="C264" s="320"/>
      <c r="D264" s="1562" t="s">
        <v>230</v>
      </c>
      <c r="E264" s="1562"/>
      <c r="F264" s="1562"/>
      <c r="G264" s="2"/>
    </row>
    <row r="265" spans="1:7" ht="14.45" customHeight="1">
      <c r="A265" s="413"/>
      <c r="B265" s="1345" t="s">
        <v>1498</v>
      </c>
      <c r="C265" s="1439"/>
      <c r="D265" s="1579" t="s">
        <v>2226</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1498</v>
      </c>
      <c r="C270" s="1439"/>
      <c r="D270" s="1579" t="s">
        <v>2227</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1703</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134</v>
      </c>
      <c r="C282" s="1316"/>
      <c r="D282" s="1573" t="s">
        <v>2127</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2306</v>
      </c>
      <c r="F285" s="1504"/>
      <c r="G285" s="1317"/>
    </row>
    <row r="286" spans="1:7" ht="14.25">
      <c r="A286" s="413"/>
      <c r="B286" s="413"/>
      <c r="C286" s="14"/>
      <c r="D286" s="287"/>
      <c r="E286" s="2"/>
      <c r="F286" s="2"/>
      <c r="G286" s="2"/>
    </row>
    <row r="287" spans="1:7" ht="14.25">
      <c r="A287" s="413"/>
      <c r="B287" s="924" t="s">
        <v>1498</v>
      </c>
      <c r="C287" s="14"/>
      <c r="D287" s="1555" t="s">
        <v>1199</v>
      </c>
      <c r="E287" s="1555"/>
      <c r="F287" s="1555"/>
      <c r="G287" s="2"/>
    </row>
    <row r="288" spans="1:7" ht="14.25">
      <c r="A288" s="413"/>
      <c r="B288" s="413"/>
      <c r="C288" s="14"/>
      <c r="D288" s="1555" t="s">
        <v>1704</v>
      </c>
      <c r="E288" s="1555"/>
      <c r="F288" s="1555"/>
      <c r="G288" s="2"/>
    </row>
    <row r="289" spans="1:7" ht="14.25">
      <c r="A289" s="413"/>
      <c r="B289" s="413"/>
      <c r="C289" s="14"/>
      <c r="D289" s="963" t="s">
        <v>1129</v>
      </c>
      <c r="E289" s="1505" t="s">
        <v>2307</v>
      </c>
      <c r="F289" s="963"/>
    </row>
    <row r="290" spans="1:7" ht="12.75">
      <c r="A290" s="140"/>
      <c r="B290" s="140"/>
      <c r="C290" s="14"/>
      <c r="D290" s="321"/>
      <c r="E290" s="282"/>
      <c r="F290" s="282"/>
    </row>
    <row r="291" spans="1:7" ht="14.25">
      <c r="A291" s="413"/>
      <c r="B291" s="924" t="s">
        <v>1498</v>
      </c>
      <c r="C291" s="14"/>
      <c r="D291" s="1553" t="s">
        <v>1705</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1511</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1510</v>
      </c>
      <c r="E296" s="1562"/>
      <c r="F296" s="1562"/>
    </row>
    <row r="297" spans="1:7" ht="12.75">
      <c r="A297" s="414"/>
      <c r="B297" s="414"/>
      <c r="C297" s="298"/>
      <c r="D297" s="287"/>
      <c r="E297" s="282"/>
      <c r="F297" s="282"/>
    </row>
    <row r="298" spans="1:7" ht="12.75">
      <c r="A298" s="415"/>
      <c r="B298" s="415"/>
      <c r="C298" s="299"/>
      <c r="D298" s="1562" t="s">
        <v>232</v>
      </c>
      <c r="E298" s="1562"/>
      <c r="F298" s="1562"/>
    </row>
    <row r="299" spans="1:7" ht="14.45" customHeight="1">
      <c r="A299" s="413"/>
      <c r="B299" s="924" t="s">
        <v>1498</v>
      </c>
      <c r="C299" s="14"/>
      <c r="D299" s="1587" t="s">
        <v>2075</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134</v>
      </c>
      <c r="C303" s="1316"/>
      <c r="D303" s="1573" t="s">
        <v>2128</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2308</v>
      </c>
      <c r="F306" s="1506"/>
      <c r="G306" s="1317"/>
    </row>
    <row r="307" spans="1:7" ht="12.75">
      <c r="A307" s="140"/>
      <c r="B307" s="140"/>
      <c r="C307" s="14"/>
      <c r="D307" s="332"/>
      <c r="E307" s="282"/>
      <c r="F307" s="282"/>
    </row>
    <row r="308" spans="1:7" ht="12.75">
      <c r="A308" s="1561" t="s">
        <v>1512</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1706</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177</v>
      </c>
      <c r="E313" s="1562"/>
      <c r="F313" s="1562"/>
    </row>
    <row r="314" spans="1:7" ht="14.25">
      <c r="A314" s="413"/>
      <c r="B314" s="413"/>
      <c r="C314" s="14"/>
      <c r="D314" s="1581" t="s">
        <v>1707</v>
      </c>
      <c r="E314" s="1581"/>
      <c r="F314" s="1581"/>
    </row>
    <row r="315" spans="1:7" ht="12" customHeight="1">
      <c r="A315" s="140"/>
      <c r="B315" s="140"/>
      <c r="C315" s="14"/>
      <c r="D315" s="282"/>
      <c r="E315" s="282"/>
      <c r="F315" s="282"/>
    </row>
    <row r="316" spans="1:7" ht="14.45" customHeight="1">
      <c r="A316" s="413"/>
      <c r="B316" s="924" t="s">
        <v>134</v>
      </c>
      <c r="C316" s="14"/>
      <c r="D316" s="1553" t="s">
        <v>1708</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134</v>
      </c>
      <c r="C319" s="14"/>
      <c r="D319" s="1551" t="s">
        <v>1709</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134</v>
      </c>
      <c r="C323" s="14"/>
      <c r="D323" s="1553" t="s">
        <v>1710</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1499</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178</v>
      </c>
      <c r="E328" s="1562"/>
      <c r="F328" s="1562"/>
      <c r="G328" s="2"/>
    </row>
    <row r="329" spans="1:7" ht="12.75">
      <c r="A329" s="140"/>
      <c r="B329" s="140"/>
      <c r="C329" s="320"/>
      <c r="D329" s="1555" t="s">
        <v>1542</v>
      </c>
      <c r="E329" s="1555"/>
      <c r="F329" s="1555"/>
      <c r="G329" s="2"/>
    </row>
    <row r="330" spans="1:7" ht="12.75">
      <c r="A330" s="140"/>
      <c r="B330" s="140"/>
      <c r="C330" s="320"/>
      <c r="D330" s="290"/>
      <c r="E330" s="282"/>
      <c r="F330" s="282"/>
      <c r="G330" s="2"/>
    </row>
    <row r="331" spans="1:7" ht="12.75">
      <c r="A331" s="140"/>
      <c r="B331" s="924" t="s">
        <v>134</v>
      </c>
      <c r="C331" s="14"/>
      <c r="D331" s="1555" t="s">
        <v>1711</v>
      </c>
      <c r="E331" s="1555"/>
      <c r="F331" s="1555"/>
      <c r="G331" s="2"/>
    </row>
    <row r="332" spans="1:7" ht="14.25">
      <c r="A332" s="552"/>
      <c r="B332" s="552"/>
      <c r="D332" s="680"/>
      <c r="G332" s="2"/>
    </row>
    <row r="333" spans="1:7" ht="14.25">
      <c r="A333" s="413"/>
      <c r="B333" s="924" t="s">
        <v>85</v>
      </c>
      <c r="C333" s="14"/>
      <c r="D333" s="1555" t="s">
        <v>1712</v>
      </c>
      <c r="E333" s="1555"/>
      <c r="F333" s="1555"/>
      <c r="G333" s="2"/>
    </row>
    <row r="334" spans="1:7" ht="12.75">
      <c r="A334" s="140"/>
      <c r="B334" s="140"/>
      <c r="C334" s="14"/>
      <c r="D334" s="282"/>
      <c r="E334" s="282"/>
      <c r="F334" s="282"/>
      <c r="G334" s="2"/>
    </row>
    <row r="335" spans="1:7" ht="14.45" customHeight="1">
      <c r="A335" s="413"/>
      <c r="B335" s="924" t="s">
        <v>134</v>
      </c>
      <c r="C335" s="14"/>
      <c r="D335" s="1551" t="s">
        <v>1718</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134</v>
      </c>
      <c r="C351" s="140"/>
      <c r="D351" s="1551" t="s">
        <v>1713</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134</v>
      </c>
      <c r="C361" s="14"/>
      <c r="D361" s="1549" t="s">
        <v>2309</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580" t="s">
        <v>1368</v>
      </c>
      <c r="E368" s="1580"/>
      <c r="F368" s="1580"/>
      <c r="G368" s="71"/>
    </row>
    <row r="369" spans="1:7" ht="13.5" thickTop="1">
      <c r="A369" s="140"/>
      <c r="B369" s="140"/>
      <c r="C369" s="140"/>
      <c r="D369" s="1582" t="s">
        <v>1714</v>
      </c>
      <c r="E369" s="1582"/>
      <c r="F369" s="1582"/>
      <c r="G369" s="8"/>
    </row>
    <row r="370" spans="1:7" ht="12.75">
      <c r="A370" s="140"/>
      <c r="B370" s="140"/>
      <c r="C370" s="140"/>
      <c r="D370" s="287"/>
      <c r="E370" s="8"/>
      <c r="F370" s="8"/>
      <c r="G370" s="8"/>
    </row>
    <row r="371" spans="1:7" ht="14.25">
      <c r="A371" s="413"/>
      <c r="B371" s="924" t="s">
        <v>134</v>
      </c>
      <c r="C371" s="579"/>
      <c r="D371" s="1578" t="s">
        <v>1719</v>
      </c>
      <c r="E371" s="1578"/>
      <c r="F371" s="1578"/>
      <c r="G371" s="8"/>
    </row>
    <row r="372" spans="1:7" ht="14.25">
      <c r="A372" s="413"/>
      <c r="B372" s="413"/>
      <c r="C372" s="579"/>
      <c r="D372" s="644"/>
      <c r="E372" s="8"/>
      <c r="F372" s="8"/>
      <c r="G372" s="8"/>
    </row>
    <row r="373" spans="1:7" ht="14.25">
      <c r="A373" s="413"/>
      <c r="B373" s="924" t="s">
        <v>134</v>
      </c>
      <c r="C373" s="579"/>
      <c r="D373" s="1575" t="s">
        <v>1721</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134</v>
      </c>
      <c r="C384" s="579"/>
      <c r="D384" s="1574" t="s">
        <v>1715</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1716</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1720</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134</v>
      </c>
      <c r="C417" s="579"/>
      <c r="D417" s="1552" t="s">
        <v>1717</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134</v>
      </c>
      <c r="C420" s="579"/>
      <c r="D420" s="1557" t="s">
        <v>2072</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134</v>
      </c>
      <c r="C426" s="579"/>
      <c r="D426" s="1557" t="s">
        <v>2050</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2068</v>
      </c>
      <c r="E430" s="1558"/>
      <c r="F430" s="1558"/>
      <c r="G430" s="8"/>
    </row>
    <row r="431" spans="1:7" ht="12.75">
      <c r="A431" s="140"/>
      <c r="B431" s="140"/>
      <c r="C431" s="140"/>
      <c r="D431" s="143"/>
      <c r="E431" s="8"/>
      <c r="F431" s="8"/>
      <c r="G431" s="8"/>
    </row>
    <row r="432" spans="1:7" ht="14.45" customHeight="1">
      <c r="A432" s="413"/>
      <c r="B432" s="924" t="s">
        <v>134</v>
      </c>
      <c r="C432" s="355"/>
      <c r="D432" s="1553" t="s">
        <v>1722</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134</v>
      </c>
      <c r="C464" s="355"/>
      <c r="D464" s="1554" t="s">
        <v>2312</v>
      </c>
      <c r="E464" s="1555"/>
      <c r="F464" s="1555"/>
      <c r="G464" s="8"/>
    </row>
    <row r="465" spans="1:7" ht="12.75">
      <c r="A465" s="140"/>
      <c r="B465" s="140"/>
      <c r="C465" s="140"/>
      <c r="D465" s="2"/>
      <c r="E465" s="1507" t="s">
        <v>2311</v>
      </c>
      <c r="F465" s="1507"/>
      <c r="G465" s="8"/>
    </row>
    <row r="466" spans="1:7" ht="13.7" customHeight="1">
      <c r="A466" s="140"/>
      <c r="B466" s="140"/>
      <c r="C466" s="140"/>
      <c r="D466" s="1556" t="s">
        <v>2047</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134</v>
      </c>
      <c r="C469" s="355"/>
      <c r="D469" s="1553" t="s">
        <v>1723</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134</v>
      </c>
      <c r="C473" s="413"/>
      <c r="D473" s="1556" t="s">
        <v>1881</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134</v>
      </c>
      <c r="C476" s="413"/>
      <c r="D476" s="1551" t="s">
        <v>1724</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134</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134</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134</v>
      </c>
      <c r="C487" s="966"/>
      <c r="D487" s="1551"/>
      <c r="E487" s="1551"/>
      <c r="F487" s="1551"/>
      <c r="G487" s="8"/>
    </row>
    <row r="488" spans="1:7" ht="12.75">
      <c r="A488" s="966"/>
      <c r="B488" s="966"/>
      <c r="C488" s="966"/>
      <c r="D488" s="1551"/>
      <c r="E488" s="1551"/>
      <c r="F488" s="1551"/>
      <c r="G488" s="8"/>
    </row>
    <row r="489" spans="1:7" ht="12.75">
      <c r="A489" s="966"/>
      <c r="B489" s="924" t="s">
        <v>134</v>
      </c>
      <c r="C489" s="966"/>
      <c r="D489" s="1551"/>
      <c r="E489" s="1551"/>
      <c r="F489" s="1551"/>
      <c r="G489" s="8"/>
    </row>
    <row r="490" spans="1:7" ht="12.75">
      <c r="A490" s="966"/>
      <c r="B490" s="14"/>
      <c r="C490" s="966"/>
      <c r="D490" s="1551"/>
      <c r="E490" s="1551"/>
      <c r="F490" s="1551"/>
      <c r="G490" s="8"/>
    </row>
    <row r="491" spans="1:7" ht="13.7" customHeight="1">
      <c r="A491" s="140"/>
      <c r="B491" s="967" t="s">
        <v>134</v>
      </c>
      <c r="C491" s="140"/>
      <c r="D491" s="1551" t="s">
        <v>1725</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134</v>
      </c>
      <c r="C497" s="140"/>
      <c r="D497" s="1566" t="s">
        <v>1543</v>
      </c>
      <c r="E497" s="1566"/>
      <c r="F497" s="1566"/>
      <c r="G497" s="8"/>
    </row>
    <row r="498" spans="1:7" ht="12.75">
      <c r="A498" s="143"/>
      <c r="B498" s="143"/>
      <c r="C498" s="14"/>
      <c r="D498" s="282"/>
      <c r="E498" s="282"/>
      <c r="F498" s="282"/>
    </row>
    <row r="499" spans="1:7" ht="12.75">
      <c r="A499" s="1561" t="s">
        <v>1500</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1207</v>
      </c>
      <c r="E501" s="1567"/>
      <c r="F501" s="1567"/>
    </row>
    <row r="502" spans="1:7" ht="12.75">
      <c r="D502" s="1568" t="s">
        <v>1536</v>
      </c>
      <c r="E502" s="1568"/>
      <c r="F502" s="1568"/>
    </row>
    <row r="503" spans="1:7" ht="14.25">
      <c r="A503" s="413"/>
      <c r="B503" s="413"/>
      <c r="C503" s="14"/>
      <c r="D503" s="645"/>
      <c r="E503" s="282"/>
      <c r="F503" s="282"/>
    </row>
    <row r="504" spans="1:7" ht="14.25">
      <c r="A504" s="413"/>
      <c r="B504" s="924" t="s">
        <v>134</v>
      </c>
      <c r="C504" s="14"/>
      <c r="D504" s="1569" t="s">
        <v>1726</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134</v>
      </c>
      <c r="D507" s="1570" t="s">
        <v>2069</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134</v>
      </c>
      <c r="C512" s="14"/>
      <c r="D512" s="1555" t="s">
        <v>1728</v>
      </c>
      <c r="E512" s="1555"/>
      <c r="F512" s="1555"/>
      <c r="G512" s="2"/>
    </row>
    <row r="513" spans="1:7" ht="12.75">
      <c r="A513" s="140"/>
      <c r="B513" s="140"/>
      <c r="C513" s="14"/>
      <c r="D513" s="287"/>
      <c r="E513" s="282"/>
      <c r="F513" s="282"/>
      <c r="G513" s="2"/>
    </row>
    <row r="514" spans="1:7" ht="14.25">
      <c r="A514" s="413"/>
      <c r="B514" s="924" t="s">
        <v>134</v>
      </c>
      <c r="C514" s="14"/>
      <c r="D514" s="1553" t="s">
        <v>1729</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134</v>
      </c>
      <c r="C517" s="14"/>
      <c r="D517" s="1555" t="s">
        <v>1727</v>
      </c>
      <c r="E517" s="1555"/>
      <c r="F517" s="1555"/>
    </row>
    <row r="518" spans="1:7" ht="14.25">
      <c r="A518" s="413"/>
      <c r="B518" s="413"/>
      <c r="C518" s="14"/>
      <c r="D518" s="287"/>
      <c r="E518" s="282"/>
      <c r="F518" s="282"/>
    </row>
    <row r="519" spans="1:7" ht="12.75">
      <c r="A519" s="1561" t="s">
        <v>1501</v>
      </c>
      <c r="B519" s="1561"/>
      <c r="C519" s="1561"/>
      <c r="D519" s="1561"/>
      <c r="E519" s="1561"/>
      <c r="F519" s="1561"/>
      <c r="G519" s="1561"/>
    </row>
    <row r="520" spans="1:7" ht="12" customHeight="1">
      <c r="A520" s="413"/>
      <c r="B520" s="413"/>
      <c r="C520" s="14"/>
      <c r="D520" s="287"/>
      <c r="E520" s="282"/>
      <c r="F520" s="282"/>
    </row>
    <row r="521" spans="1:7" ht="12.75">
      <c r="A521" s="150"/>
      <c r="B521" s="924" t="s">
        <v>1498</v>
      </c>
      <c r="C521" s="406"/>
      <c r="D521" s="1610" t="s">
        <v>1663</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134</v>
      </c>
      <c r="C526" s="322"/>
      <c r="D526" s="1586" t="s">
        <v>1677</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1498</v>
      </c>
      <c r="C529" s="553"/>
      <c r="D529" s="1508" t="s">
        <v>2313</v>
      </c>
      <c r="E529" s="1509"/>
      <c r="G529" s="2"/>
    </row>
    <row r="530" spans="1:7" ht="12.75">
      <c r="A530" s="555"/>
      <c r="B530" s="555"/>
      <c r="C530" s="553"/>
      <c r="D530" s="1509"/>
      <c r="E530" s="930" t="s">
        <v>2314</v>
      </c>
      <c r="G530" s="2"/>
    </row>
    <row r="531" spans="1:7" ht="14.25">
      <c r="A531" s="552"/>
      <c r="B531" s="2"/>
      <c r="D531" s="1611" t="s">
        <v>1655</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1513</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1544</v>
      </c>
      <c r="E537" s="1562"/>
      <c r="F537" s="1562"/>
    </row>
    <row r="538" spans="1:7" ht="12.75">
      <c r="A538" s="140"/>
      <c r="B538" s="140"/>
      <c r="C538" s="14"/>
      <c r="D538" s="282"/>
      <c r="E538" s="282"/>
      <c r="F538" s="282"/>
    </row>
    <row r="539" spans="1:7" ht="12.75">
      <c r="A539" s="140"/>
      <c r="B539" s="924" t="s">
        <v>134</v>
      </c>
      <c r="C539" s="14"/>
      <c r="D539" s="1553" t="s">
        <v>1695</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134</v>
      </c>
      <c r="C542" s="322"/>
      <c r="D542" s="1553" t="s">
        <v>1696</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1553</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179</v>
      </c>
      <c r="E547" s="1562"/>
      <c r="F547" s="1562"/>
    </row>
    <row r="548" spans="1:7" ht="12.75">
      <c r="A548" s="140"/>
      <c r="B548" s="140"/>
      <c r="C548" s="322"/>
      <c r="D548" s="1555" t="s">
        <v>1673</v>
      </c>
      <c r="E548" s="1555"/>
      <c r="F548" s="1555"/>
    </row>
    <row r="549" spans="1:7" ht="12.75">
      <c r="A549" s="140"/>
      <c r="B549" s="140"/>
      <c r="C549" s="322"/>
      <c r="D549" s="287"/>
      <c r="E549" s="287"/>
      <c r="F549" s="287"/>
    </row>
    <row r="550" spans="1:7" ht="14.25">
      <c r="A550" s="413"/>
      <c r="B550" s="924" t="s">
        <v>1498</v>
      </c>
      <c r="C550" s="322"/>
      <c r="D550" s="1555" t="s">
        <v>1200</v>
      </c>
      <c r="E550" s="1555"/>
      <c r="F550" s="1555"/>
    </row>
    <row r="551" spans="1:7" ht="12" customHeight="1">
      <c r="A551" s="355"/>
      <c r="B551" s="355"/>
      <c r="C551" s="322"/>
      <c r="D551" s="287"/>
      <c r="E551" s="2"/>
      <c r="F551" s="2"/>
      <c r="G551" s="2"/>
    </row>
    <row r="552" spans="1:7" ht="14.45" customHeight="1">
      <c r="A552" s="413"/>
      <c r="B552" s="924" t="s">
        <v>1498</v>
      </c>
      <c r="C552" s="322"/>
      <c r="D552" s="1553" t="s">
        <v>1672</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1498</v>
      </c>
      <c r="C555" s="322"/>
      <c r="D555" s="1553" t="s">
        <v>1674</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1498</v>
      </c>
      <c r="C558" s="322"/>
      <c r="D558" s="1553" t="s">
        <v>1675</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1498</v>
      </c>
      <c r="C561" s="322"/>
      <c r="D561" s="1553" t="s">
        <v>1676</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134</v>
      </c>
      <c r="C565" s="322"/>
      <c r="D565" s="1585" t="s">
        <v>1784</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1498</v>
      </c>
      <c r="C568" s="322"/>
      <c r="D568" s="1553" t="s">
        <v>1678</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1498</v>
      </c>
      <c r="C571" s="322"/>
      <c r="D571" s="1555" t="s">
        <v>1679</v>
      </c>
      <c r="E571" s="1555"/>
      <c r="F571" s="1555"/>
      <c r="G571" s="2"/>
    </row>
    <row r="572" spans="1:7" ht="14.25">
      <c r="A572" s="413"/>
      <c r="B572" s="413"/>
      <c r="C572" s="322"/>
      <c r="D572" s="1607" t="s">
        <v>2315</v>
      </c>
      <c r="E572" s="1607"/>
      <c r="F572" s="1607"/>
      <c r="G572" s="2"/>
    </row>
    <row r="573" spans="1:7" ht="12.75">
      <c r="A573" s="410"/>
      <c r="B573" s="410"/>
      <c r="C573" s="405"/>
      <c r="D573" s="1510"/>
      <c r="E573" s="930" t="s">
        <v>2316</v>
      </c>
      <c r="F573" s="1511"/>
      <c r="G573" s="2"/>
    </row>
    <row r="574" spans="1:7" ht="15" customHeight="1">
      <c r="A574" s="410"/>
      <c r="B574" s="410"/>
      <c r="C574" s="405"/>
      <c r="D574" s="1563" t="s">
        <v>1917</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1498</v>
      </c>
      <c r="C584" s="405"/>
      <c r="D584" s="1614" t="s">
        <v>1680</v>
      </c>
      <c r="E584" s="1614"/>
      <c r="F584" s="1614"/>
      <c r="G584" s="2"/>
    </row>
    <row r="585" spans="1:7" ht="13.7" customHeight="1">
      <c r="A585" s="140"/>
      <c r="B585" s="140"/>
      <c r="C585" s="322"/>
      <c r="D585" s="1553" t="s">
        <v>1681</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1498</v>
      </c>
      <c r="C589" s="322"/>
      <c r="D589" s="1553" t="s">
        <v>1682</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134</v>
      </c>
      <c r="C594" s="299"/>
      <c r="D594" s="1559" t="s">
        <v>1985</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1515</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180</v>
      </c>
      <c r="E599" s="1564"/>
      <c r="F599" s="1564"/>
      <c r="G599" s="288"/>
    </row>
    <row r="600" spans="1:7" ht="12.75">
      <c r="A600" s="140"/>
      <c r="B600" s="140"/>
      <c r="C600" s="298"/>
      <c r="D600" s="1565" t="s">
        <v>1570</v>
      </c>
      <c r="E600" s="1565"/>
      <c r="F600" s="1565"/>
      <c r="G600" s="288"/>
    </row>
    <row r="601" spans="1:7" ht="12.75">
      <c r="A601" s="140"/>
      <c r="B601" s="140"/>
      <c r="C601" s="298"/>
      <c r="D601" s="575"/>
      <c r="E601" s="282"/>
      <c r="F601" s="282"/>
      <c r="G601" s="288"/>
    </row>
    <row r="602" spans="1:7" ht="14.25">
      <c r="A602" s="413"/>
      <c r="B602" s="924" t="s">
        <v>1498</v>
      </c>
      <c r="C602" s="14"/>
      <c r="D602" s="1565" t="s">
        <v>1201</v>
      </c>
      <c r="E602" s="1565"/>
      <c r="F602" s="1565"/>
      <c r="G602" s="288"/>
    </row>
    <row r="603" spans="1:7" ht="12.75">
      <c r="A603" s="33"/>
      <c r="B603" s="33"/>
      <c r="C603" s="14"/>
      <c r="D603" s="579"/>
      <c r="E603" s="282"/>
      <c r="F603" s="282"/>
      <c r="G603" s="288"/>
    </row>
    <row r="604" spans="1:7" ht="14.45" customHeight="1">
      <c r="A604" s="413"/>
      <c r="B604" s="924" t="s">
        <v>1498</v>
      </c>
      <c r="C604" s="14"/>
      <c r="D604" s="1571" t="s">
        <v>1572</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134</v>
      </c>
      <c r="C608" s="14"/>
      <c r="D608" s="1571" t="s">
        <v>1571</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1498</v>
      </c>
      <c r="D613" s="1571" t="s">
        <v>1573</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134</v>
      </c>
      <c r="C616" s="14"/>
      <c r="D616" s="1565" t="s">
        <v>1578</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1498</v>
      </c>
      <c r="C619" s="14"/>
      <c r="D619" s="1565" t="s">
        <v>1202</v>
      </c>
      <c r="E619" s="1565"/>
      <c r="F619" s="1565"/>
      <c r="G619" s="288"/>
    </row>
    <row r="620" spans="1:7" ht="12.75">
      <c r="A620" s="33"/>
      <c r="B620" s="33"/>
      <c r="C620" s="14"/>
      <c r="D620" s="282"/>
      <c r="E620" s="282"/>
      <c r="F620" s="282"/>
      <c r="G620" s="288"/>
    </row>
    <row r="621" spans="1:7" ht="12.75">
      <c r="A621" s="1561" t="s">
        <v>1517</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1516</v>
      </c>
      <c r="E623" s="1617"/>
      <c r="F623" s="1617"/>
    </row>
    <row r="624" spans="1:7" ht="12.75">
      <c r="A624" s="140"/>
      <c r="B624" s="140"/>
      <c r="C624" s="299"/>
      <c r="D624" s="1560" t="s">
        <v>1545</v>
      </c>
      <c r="E624" s="1560"/>
      <c r="F624" s="1560"/>
    </row>
    <row r="625" spans="1:7" ht="12.75">
      <c r="A625" s="958"/>
      <c r="B625" s="958"/>
      <c r="C625" s="299"/>
      <c r="D625" s="956"/>
      <c r="E625" s="956"/>
      <c r="F625" s="956"/>
    </row>
    <row r="626" spans="1:7" ht="14.25" customHeight="1">
      <c r="A626" s="552"/>
      <c r="B626" s="924" t="s">
        <v>1498</v>
      </c>
      <c r="D626" s="1546" t="s">
        <v>2318</v>
      </c>
      <c r="E626" s="1547"/>
      <c r="F626" s="1547"/>
    </row>
    <row r="627" spans="1:7" ht="12.75">
      <c r="A627" s="140"/>
      <c r="B627" s="140"/>
      <c r="C627" s="14"/>
      <c r="D627" s="1547"/>
      <c r="E627" s="1547"/>
      <c r="F627" s="1547"/>
    </row>
    <row r="628" spans="1:7" ht="12.75">
      <c r="A628" s="140"/>
      <c r="B628" s="140"/>
      <c r="C628" s="14"/>
      <c r="D628" s="1512"/>
      <c r="E628" s="1505" t="s">
        <v>2317</v>
      </c>
      <c r="F628" s="1512"/>
    </row>
    <row r="629" spans="1:7" ht="12.75">
      <c r="A629" s="107"/>
      <c r="B629" s="107"/>
      <c r="C629" s="302"/>
      <c r="D629" s="283"/>
      <c r="E629" s="283"/>
      <c r="F629" s="283"/>
      <c r="G629" s="288"/>
    </row>
    <row r="630" spans="1:7" ht="12" customHeight="1">
      <c r="A630" s="1561" t="s">
        <v>1519</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1518</v>
      </c>
      <c r="E632" s="1562"/>
      <c r="F632" s="1562"/>
      <c r="G632" s="288"/>
    </row>
    <row r="633" spans="1:7" ht="12.75">
      <c r="A633" s="415"/>
      <c r="B633" s="415"/>
      <c r="C633" s="299"/>
      <c r="D633" s="1555" t="s">
        <v>1697</v>
      </c>
      <c r="E633" s="1555"/>
      <c r="F633" s="1555"/>
      <c r="G633" s="288"/>
    </row>
    <row r="634" spans="1:7" ht="12.75">
      <c r="A634" s="415"/>
      <c r="B634" s="415"/>
      <c r="C634" s="299"/>
      <c r="D634" s="282"/>
      <c r="E634" s="282"/>
      <c r="F634" s="282"/>
      <c r="G634" s="288"/>
    </row>
    <row r="635" spans="1:7" ht="14.25">
      <c r="A635" s="413"/>
      <c r="B635" s="413"/>
      <c r="C635" s="14"/>
      <c r="D635" s="1617" t="s">
        <v>947</v>
      </c>
      <c r="E635" s="1617"/>
      <c r="F635" s="1617"/>
      <c r="G635" s="288"/>
    </row>
    <row r="636" spans="1:7" ht="14.25">
      <c r="A636" s="413"/>
      <c r="B636" s="924" t="s">
        <v>1498</v>
      </c>
      <c r="C636" s="14"/>
      <c r="D636" s="1560" t="s">
        <v>1698</v>
      </c>
      <c r="E636" s="1560"/>
      <c r="F636" s="1560"/>
      <c r="G636" s="288"/>
    </row>
    <row r="637" spans="1:7" ht="14.25">
      <c r="A637" s="413"/>
      <c r="B637" s="413"/>
      <c r="C637" s="14"/>
      <c r="D637" s="287"/>
      <c r="E637" s="282"/>
      <c r="F637" s="282"/>
      <c r="G637" s="288"/>
    </row>
    <row r="638" spans="1:7" ht="14.25">
      <c r="A638" s="413"/>
      <c r="B638" s="924" t="s">
        <v>134</v>
      </c>
      <c r="C638" s="14"/>
      <c r="D638" s="1553" t="s">
        <v>1699</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1498</v>
      </c>
      <c r="D641" s="1563" t="s">
        <v>2123</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1498</v>
      </c>
      <c r="C644" s="14"/>
      <c r="D644" s="1560" t="s">
        <v>1700</v>
      </c>
      <c r="E644" s="1560"/>
      <c r="F644" s="1560"/>
      <c r="G644" s="288"/>
    </row>
    <row r="645" spans="1:7" ht="12.75">
      <c r="A645" s="418"/>
      <c r="B645" s="418"/>
      <c r="C645" s="303"/>
      <c r="D645" s="282"/>
      <c r="E645" s="282"/>
      <c r="F645" s="282"/>
      <c r="G645" s="288"/>
    </row>
    <row r="646" spans="1:7" ht="12.75">
      <c r="A646" s="1561" t="s">
        <v>1520</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1546</v>
      </c>
      <c r="E648" s="1635"/>
      <c r="F648" s="1635"/>
      <c r="G648" s="288"/>
    </row>
    <row r="649" spans="1:7" ht="12.75">
      <c r="A649" s="33"/>
      <c r="B649" s="33"/>
      <c r="C649" s="302"/>
      <c r="D649" s="6"/>
      <c r="E649" s="283"/>
      <c r="F649" s="283"/>
      <c r="G649" s="288"/>
    </row>
    <row r="650" spans="1:7" ht="14.25" customHeight="1">
      <c r="A650" s="413"/>
      <c r="B650" s="924" t="s">
        <v>1498</v>
      </c>
      <c r="C650" s="302"/>
      <c r="D650" s="1548" t="s">
        <v>2319</v>
      </c>
      <c r="E650" s="1548"/>
      <c r="F650" s="1548"/>
      <c r="G650" s="288"/>
    </row>
    <row r="651" spans="1:7" ht="14.25">
      <c r="A651" s="413"/>
      <c r="B651" s="413"/>
      <c r="C651" s="302"/>
      <c r="D651" s="1548"/>
      <c r="E651" s="1548"/>
      <c r="F651" s="1548"/>
      <c r="G651" s="288"/>
    </row>
    <row r="652" spans="1:7" ht="12.75">
      <c r="A652" s="140"/>
      <c r="B652" s="140"/>
      <c r="C652" s="302"/>
      <c r="D652" s="1513"/>
      <c r="E652" s="1505" t="s">
        <v>2321</v>
      </c>
      <c r="F652" s="1513"/>
      <c r="G652" s="288"/>
    </row>
    <row r="653" spans="1:7" ht="12.75">
      <c r="A653" s="140"/>
      <c r="B653" s="140"/>
      <c r="C653" s="302"/>
      <c r="D653" s="1545" t="s">
        <v>2320</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134</v>
      </c>
      <c r="C657" s="302"/>
      <c r="D657" s="1636" t="s">
        <v>1701</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134</v>
      </c>
      <c r="C660" s="302"/>
      <c r="D660" s="1606" t="s">
        <v>1986</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134</v>
      </c>
      <c r="C663" s="322"/>
      <c r="D663" s="1637" t="s">
        <v>1702</v>
      </c>
      <c r="E663" s="1637"/>
      <c r="F663" s="1637"/>
      <c r="G663" s="284"/>
    </row>
    <row r="664" spans="1:9" ht="12.75">
      <c r="A664" s="143"/>
      <c r="B664" s="143"/>
      <c r="C664" s="322"/>
      <c r="D664" s="286"/>
      <c r="E664" s="286"/>
      <c r="F664" s="286"/>
      <c r="G664" s="284"/>
      <c r="H664" s="404"/>
      <c r="I664" s="404"/>
    </row>
    <row r="665" spans="1:9" ht="12.75">
      <c r="A665" s="1561" t="s">
        <v>1522</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1521</v>
      </c>
      <c r="E667" s="1638"/>
      <c r="F667" s="1638"/>
      <c r="G667" s="284"/>
    </row>
    <row r="668" spans="1:9" ht="12.75">
      <c r="A668" s="415"/>
      <c r="B668" s="415"/>
      <c r="C668" s="299"/>
      <c r="D668" s="1625" t="s">
        <v>1547</v>
      </c>
      <c r="E668" s="1625"/>
      <c r="F668" s="1625"/>
      <c r="G668" s="284"/>
    </row>
    <row r="669" spans="1:9" ht="12.75">
      <c r="A669" s="415"/>
      <c r="B669" s="415"/>
      <c r="C669" s="299"/>
      <c r="D669" s="968"/>
      <c r="E669" s="968"/>
      <c r="F669" s="968"/>
      <c r="G669" s="284"/>
    </row>
    <row r="670" spans="1:9" ht="14.45" customHeight="1">
      <c r="A670" s="413"/>
      <c r="B670" s="924" t="s">
        <v>134</v>
      </c>
      <c r="C670" s="322"/>
      <c r="D670" s="1522" t="s">
        <v>2071</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85</v>
      </c>
      <c r="C677" s="405"/>
      <c r="D677" s="1615" t="s">
        <v>1568</v>
      </c>
      <c r="E677" s="1615"/>
      <c r="F677" s="1615"/>
      <c r="G677" s="284"/>
    </row>
    <row r="678" spans="1:7" ht="14.25" hidden="1">
      <c r="A678" s="552"/>
      <c r="B678" s="552"/>
      <c r="C678" s="405"/>
      <c r="D678" s="1632" t="s">
        <v>1730</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2070</v>
      </c>
      <c r="E683" s="1639"/>
      <c r="F683" s="1639"/>
      <c r="G683" s="284"/>
    </row>
    <row r="684" spans="1:7" ht="12.75">
      <c r="A684" s="143"/>
      <c r="B684" s="143"/>
      <c r="C684" s="322"/>
      <c r="D684" s="286"/>
      <c r="E684" s="286"/>
      <c r="F684" s="286"/>
      <c r="G684" s="284"/>
    </row>
    <row r="685" spans="1:7" ht="12.75">
      <c r="A685" s="1561" t="s">
        <v>1523</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847</v>
      </c>
      <c r="E687" s="1562"/>
      <c r="F687" s="1562"/>
      <c r="G687" s="284"/>
    </row>
    <row r="688" spans="1:7" ht="12.75">
      <c r="A688" s="418"/>
      <c r="B688" s="418"/>
      <c r="C688" s="303"/>
      <c r="D688" s="1562" t="s">
        <v>948</v>
      </c>
      <c r="E688" s="1562"/>
      <c r="F688" s="1562"/>
      <c r="G688" s="284"/>
    </row>
    <row r="689" spans="1:7" ht="12.75">
      <c r="A689" s="415"/>
      <c r="B689" s="415"/>
      <c r="C689" s="299"/>
      <c r="D689" s="1555" t="s">
        <v>1662</v>
      </c>
      <c r="E689" s="1555"/>
      <c r="F689" s="1555"/>
      <c r="G689" s="288"/>
    </row>
    <row r="690" spans="1:7" ht="14.25" customHeight="1">
      <c r="A690" s="415"/>
      <c r="B690" s="415"/>
      <c r="C690" s="299"/>
      <c r="D690" s="282"/>
      <c r="E690" s="282"/>
      <c r="F690" s="282"/>
      <c r="G690" s="288"/>
    </row>
    <row r="691" spans="1:7" ht="14.25">
      <c r="A691" s="413"/>
      <c r="B691" s="924" t="s">
        <v>1498</v>
      </c>
      <c r="C691" s="299"/>
      <c r="D691" s="1555" t="s">
        <v>1203</v>
      </c>
      <c r="E691" s="1555"/>
      <c r="F691" s="1555"/>
      <c r="G691" s="288"/>
    </row>
    <row r="692" spans="1:7" ht="12.75">
      <c r="A692" s="415"/>
      <c r="B692" s="415"/>
      <c r="C692" s="299"/>
      <c r="D692" s="1555" t="s">
        <v>1224</v>
      </c>
      <c r="E692" s="1555"/>
      <c r="F692" s="1555"/>
      <c r="G692" s="288"/>
    </row>
    <row r="693" spans="1:7" ht="12.75" customHeight="1">
      <c r="A693" s="415"/>
      <c r="B693" s="415"/>
      <c r="C693" s="299"/>
      <c r="D693" s="282"/>
      <c r="E693" s="1505" t="s">
        <v>2323</v>
      </c>
      <c r="F693" s="22"/>
      <c r="G693" s="288"/>
    </row>
    <row r="694" spans="1:7" ht="12.75">
      <c r="A694" s="415"/>
      <c r="B694" s="415"/>
      <c r="C694" s="299"/>
      <c r="D694" s="282"/>
      <c r="E694" s="1514" t="s">
        <v>2322</v>
      </c>
      <c r="F694" s="22"/>
      <c r="G694" s="288"/>
    </row>
    <row r="695" spans="1:7" ht="12.75">
      <c r="A695" s="415"/>
      <c r="B695" s="415"/>
      <c r="C695" s="299"/>
      <c r="D695" s="332"/>
      <c r="E695" s="332"/>
      <c r="F695" s="332"/>
      <c r="G695" s="288"/>
    </row>
    <row r="696" spans="1:7" ht="14.25">
      <c r="A696" s="413"/>
      <c r="B696" s="924" t="s">
        <v>134</v>
      </c>
      <c r="C696" s="299"/>
      <c r="D696" s="1553" t="s">
        <v>1664</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134</v>
      </c>
      <c r="C700" s="299"/>
      <c r="D700" s="1555" t="s">
        <v>1268</v>
      </c>
      <c r="E700" s="1555"/>
      <c r="F700" s="1555"/>
      <c r="G700" s="288"/>
    </row>
    <row r="701" spans="1:7" ht="14.25">
      <c r="A701" s="413"/>
      <c r="B701" s="413"/>
      <c r="C701" s="299"/>
      <c r="D701" s="1555" t="s">
        <v>1224</v>
      </c>
      <c r="E701" s="1555"/>
      <c r="F701" s="1555"/>
      <c r="G701" s="288"/>
    </row>
    <row r="702" spans="1:7" ht="12.75">
      <c r="A702" s="415"/>
      <c r="B702" s="415"/>
      <c r="C702" s="299"/>
      <c r="D702" s="282"/>
      <c r="E702" s="1581" t="s">
        <v>2324</v>
      </c>
      <c r="F702" s="1581"/>
      <c r="G702" s="288"/>
    </row>
    <row r="703" spans="1:7" ht="12.75">
      <c r="A703" s="415"/>
      <c r="B703" s="415"/>
      <c r="C703" s="299"/>
      <c r="D703" s="6"/>
      <c r="E703" s="282"/>
      <c r="F703" s="282"/>
      <c r="G703" s="288"/>
    </row>
    <row r="704" spans="1:7" ht="14.25">
      <c r="A704" s="413"/>
      <c r="B704" s="924" t="s">
        <v>1498</v>
      </c>
      <c r="C704" s="299"/>
      <c r="D704" s="1586" t="s">
        <v>1665</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1498</v>
      </c>
      <c r="C711" s="299"/>
      <c r="D711" s="1585" t="s">
        <v>1896</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134</v>
      </c>
      <c r="C714" s="299"/>
      <c r="D714" s="1586" t="s">
        <v>1666</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134</v>
      </c>
      <c r="C727" s="415"/>
      <c r="D727" s="1586" t="s">
        <v>1670</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134</v>
      </c>
      <c r="C730" s="415"/>
      <c r="D730" s="1586" t="s">
        <v>1671</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134</v>
      </c>
      <c r="C734" s="299"/>
      <c r="D734" s="1585" t="s">
        <v>2124</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134</v>
      </c>
      <c r="C738" s="299"/>
      <c r="D738" s="1586" t="s">
        <v>1667</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134</v>
      </c>
      <c r="C742" s="299"/>
      <c r="D742" s="1553" t="s">
        <v>1669</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134</v>
      </c>
      <c r="C747" s="415"/>
      <c r="D747" s="1586" t="s">
        <v>1838</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1668</v>
      </c>
      <c r="E754" s="1631"/>
      <c r="F754" s="1631"/>
      <c r="G754" s="71"/>
      <c r="H754" s="860"/>
      <c r="I754" s="1060"/>
    </row>
    <row r="755" spans="1:9" s="50" customFormat="1" ht="12.75">
      <c r="A755" s="415"/>
      <c r="B755" s="415"/>
      <c r="C755" s="415"/>
      <c r="D755" s="865"/>
      <c r="E755" s="8"/>
      <c r="F755" s="8"/>
      <c r="G755" s="71"/>
      <c r="H755" s="860"/>
      <c r="I755" s="1060"/>
    </row>
    <row r="756" spans="1:9" ht="12.75">
      <c r="A756" s="1602" t="s">
        <v>1554</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1579</v>
      </c>
      <c r="E758" s="1564"/>
      <c r="F758" s="1564"/>
      <c r="G758" s="288"/>
      <c r="H758" s="404"/>
      <c r="I758" s="404"/>
    </row>
    <row r="759" spans="1:9" ht="12.75">
      <c r="A759" s="414"/>
      <c r="B759" s="414"/>
      <c r="C759" s="298"/>
      <c r="D759" s="1560" t="s">
        <v>1582</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53" t="s">
        <v>1580</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134</v>
      </c>
      <c r="C768" s="14"/>
      <c r="D768" s="1606" t="s">
        <v>2054</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134</v>
      </c>
      <c r="C773" s="667"/>
      <c r="D773" s="1603" t="s">
        <v>2055</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134</v>
      </c>
      <c r="D777" s="1596" t="s">
        <v>1581</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134</v>
      </c>
      <c r="D780" s="1563" t="s">
        <v>1920</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1741</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1742</v>
      </c>
      <c r="E786" s="1646"/>
      <c r="F786" s="1646"/>
      <c r="G786" s="288"/>
      <c r="H786" s="404"/>
      <c r="I786" s="404"/>
    </row>
    <row r="787" spans="1:9" ht="12.75">
      <c r="A787" s="107"/>
      <c r="B787" s="107"/>
      <c r="C787" s="302"/>
      <c r="D787" s="1647" t="s">
        <v>1743</v>
      </c>
      <c r="E787" s="1647"/>
      <c r="F787" s="1647"/>
      <c r="G787" s="288"/>
      <c r="H787" s="404"/>
      <c r="I787" s="404"/>
    </row>
    <row r="788" spans="1:9" ht="12.75">
      <c r="A788" s="107"/>
      <c r="B788" s="107"/>
      <c r="C788" s="302"/>
      <c r="D788" s="970"/>
      <c r="E788" s="970"/>
      <c r="F788" s="970"/>
      <c r="G788" s="288"/>
      <c r="H788" s="404"/>
      <c r="I788" s="404"/>
    </row>
    <row r="789" spans="1:9" ht="12.75">
      <c r="A789" s="107"/>
      <c r="B789" s="924" t="s">
        <v>1498</v>
      </c>
      <c r="C789" s="302"/>
      <c r="D789" s="1632" t="s">
        <v>1744</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1498</v>
      </c>
      <c r="C793" s="303"/>
      <c r="D793" s="1632" t="s">
        <v>1745</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134</v>
      </c>
      <c r="C797" s="322"/>
      <c r="D797" s="1573" t="s">
        <v>1859</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134</v>
      </c>
      <c r="C801" s="322"/>
      <c r="D801" s="1632" t="s">
        <v>1746</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2228</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134</v>
      </c>
      <c r="C810" s="322"/>
      <c r="D810" s="1632" t="s">
        <v>1748</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134</v>
      </c>
      <c r="C817" s="322"/>
      <c r="D817" s="1573" t="s">
        <v>2056</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85</v>
      </c>
      <c r="C823" s="322"/>
      <c r="D823" s="1632" t="s">
        <v>1747</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134</v>
      </c>
      <c r="C828" s="322"/>
      <c r="D828" s="1633" t="s">
        <v>1750</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134</v>
      </c>
      <c r="C835" s="322"/>
      <c r="D835" s="1632" t="s">
        <v>1749</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134</v>
      </c>
      <c r="C838" s="322"/>
      <c r="D838" s="1633" t="s">
        <v>1751</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2076</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1654</v>
      </c>
      <c r="E843" s="1564"/>
      <c r="F843" s="1564"/>
      <c r="H843" s="404"/>
      <c r="I843" s="404"/>
    </row>
    <row r="844" spans="1:9" ht="14.25">
      <c r="A844" s="413"/>
      <c r="B844" s="413"/>
      <c r="C844" s="14"/>
      <c r="D844" s="1587" t="s">
        <v>2073</v>
      </c>
      <c r="E844" s="1587"/>
      <c r="F844" s="1587"/>
      <c r="H844" s="404"/>
      <c r="I844" s="404"/>
    </row>
    <row r="845" spans="1:9" ht="14.25">
      <c r="A845" s="413"/>
      <c r="B845" s="413"/>
      <c r="C845" s="14"/>
      <c r="D845" s="1301"/>
      <c r="E845" s="1303"/>
      <c r="F845" s="1303"/>
      <c r="H845" s="404"/>
      <c r="I845" s="404"/>
    </row>
    <row r="846" spans="1:9" ht="12.75">
      <c r="A846" s="140"/>
      <c r="B846" s="924" t="s">
        <v>1498</v>
      </c>
      <c r="C846" s="322"/>
      <c r="D846" s="1553" t="s">
        <v>1585</v>
      </c>
      <c r="E846" s="1553"/>
      <c r="F846" s="1553"/>
      <c r="H846" s="404"/>
      <c r="I846" s="404"/>
    </row>
    <row r="847" spans="1:9" ht="12.75">
      <c r="A847" s="33"/>
      <c r="B847" s="33"/>
      <c r="C847" s="322"/>
      <c r="D847" s="6" t="s">
        <v>1558</v>
      </c>
      <c r="E847" s="1648" t="s">
        <v>2306</v>
      </c>
      <c r="F847" s="1648"/>
      <c r="H847" s="404"/>
      <c r="I847" s="404"/>
    </row>
    <row r="848" spans="1:9" ht="12.75">
      <c r="A848" s="33"/>
      <c r="B848" s="33"/>
      <c r="C848" s="322"/>
      <c r="D848" s="333"/>
      <c r="E848" s="282"/>
      <c r="F848" s="282"/>
      <c r="H848" s="404"/>
      <c r="I848" s="404"/>
    </row>
    <row r="849" spans="1:9" ht="12.75">
      <c r="A849" s="1008"/>
      <c r="B849" s="1007" t="s">
        <v>134</v>
      </c>
      <c r="C849" s="322"/>
      <c r="D849" s="1634" t="s">
        <v>1836</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1498</v>
      </c>
      <c r="C859" s="322"/>
      <c r="D859" s="1553" t="s">
        <v>1586</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134</v>
      </c>
      <c r="C863" s="405"/>
      <c r="D863" s="1642" t="s">
        <v>1587</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1612</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134</v>
      </c>
      <c r="C872" s="405"/>
      <c r="D872" s="1596" t="s">
        <v>1269</v>
      </c>
      <c r="E872" s="1596"/>
      <c r="F872" s="1596"/>
      <c r="H872" s="404"/>
      <c r="I872" s="404"/>
    </row>
    <row r="873" spans="1:9" ht="14.25">
      <c r="A873" s="552"/>
      <c r="B873" s="552"/>
      <c r="C873" s="405"/>
      <c r="D873" s="1596" t="s">
        <v>1270</v>
      </c>
      <c r="E873" s="1596"/>
      <c r="F873" s="1596"/>
      <c r="H873" s="404"/>
      <c r="I873" s="404"/>
    </row>
    <row r="874" spans="1:9" ht="14.25">
      <c r="A874" s="552"/>
      <c r="B874" s="552"/>
      <c r="C874" s="405"/>
      <c r="D874" s="330" t="s">
        <v>1557</v>
      </c>
      <c r="E874" s="1649" t="s">
        <v>2308</v>
      </c>
      <c r="F874" s="1649"/>
      <c r="H874" s="404"/>
      <c r="I874" s="404"/>
    </row>
    <row r="875" spans="1:9" ht="14.25">
      <c r="A875" s="552"/>
      <c r="B875" s="552"/>
      <c r="C875" s="405"/>
      <c r="D875" s="403"/>
      <c r="H875" s="404"/>
      <c r="I875" s="404"/>
    </row>
    <row r="876" spans="1:9" ht="14.25">
      <c r="A876" s="552"/>
      <c r="B876" s="924" t="s">
        <v>134</v>
      </c>
      <c r="C876" s="405"/>
      <c r="D876" s="1596" t="s">
        <v>1588</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1653</v>
      </c>
      <c r="E883" s="1562"/>
      <c r="F883" s="1562"/>
      <c r="G883" s="554"/>
      <c r="H883" s="404"/>
      <c r="I883" s="404"/>
    </row>
    <row r="884" spans="1:9" ht="12.75">
      <c r="A884" s="996"/>
      <c r="B884" s="996"/>
      <c r="C884" s="299"/>
      <c r="D884" s="1644" t="s">
        <v>2074</v>
      </c>
      <c r="E884" s="1645"/>
      <c r="F884" s="1645"/>
      <c r="G884" s="554"/>
      <c r="H884" s="404"/>
      <c r="I884" s="404"/>
    </row>
    <row r="885" spans="1:9" ht="12.75">
      <c r="A885" s="996"/>
      <c r="B885" s="996"/>
      <c r="C885" s="299"/>
      <c r="D885" s="989"/>
      <c r="E885" s="989"/>
      <c r="F885" s="989"/>
      <c r="G885" s="554"/>
      <c r="H885" s="404"/>
      <c r="I885" s="404"/>
    </row>
    <row r="886" spans="1:9" ht="14.25">
      <c r="A886" s="413"/>
      <c r="B886" s="924" t="s">
        <v>1498</v>
      </c>
      <c r="C886" s="14"/>
      <c r="D886" s="1555" t="s">
        <v>1611</v>
      </c>
      <c r="E886" s="1555"/>
      <c r="F886" s="1555"/>
      <c r="G886" s="554"/>
      <c r="H886" s="404"/>
      <c r="I886" s="404"/>
    </row>
    <row r="887" spans="1:9" ht="12.75">
      <c r="A887" s="140"/>
      <c r="B887" s="140"/>
      <c r="C887" s="14"/>
      <c r="D887" s="6" t="s">
        <v>1557</v>
      </c>
      <c r="E887" s="1643" t="s">
        <v>2308</v>
      </c>
      <c r="F887" s="1643"/>
      <c r="G887" s="554"/>
    </row>
    <row r="888" spans="1:9" ht="12.75">
      <c r="A888" s="140"/>
      <c r="B888" s="140"/>
      <c r="C888" s="14"/>
      <c r="D888" s="287"/>
      <c r="E888" s="296"/>
      <c r="F888" s="296"/>
      <c r="G888" s="554"/>
      <c r="H888" s="404"/>
      <c r="I888" s="404"/>
    </row>
    <row r="889" spans="1:9" ht="14.25">
      <c r="A889" s="413"/>
      <c r="B889" s="924" t="s">
        <v>1498</v>
      </c>
      <c r="C889" s="14"/>
      <c r="D889" s="1587" t="s">
        <v>2077</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134</v>
      </c>
      <c r="D892" s="1640" t="s">
        <v>1839</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1612</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134</v>
      </c>
      <c r="C901" s="14"/>
      <c r="D901" s="1560" t="s">
        <v>1269</v>
      </c>
      <c r="E901" s="1560"/>
      <c r="F901" s="1560"/>
      <c r="G901" s="554"/>
      <c r="H901" s="404"/>
      <c r="I901" s="404"/>
    </row>
    <row r="902" spans="1:9" ht="14.25">
      <c r="A902" s="413"/>
      <c r="B902" s="413"/>
      <c r="C902" s="14"/>
      <c r="D902" s="1560" t="s">
        <v>1270</v>
      </c>
      <c r="E902" s="1560"/>
      <c r="F902" s="1560"/>
      <c r="G902" s="554"/>
      <c r="H902" s="404"/>
      <c r="I902" s="404"/>
    </row>
    <row r="903" spans="1:9" ht="14.25">
      <c r="A903" s="413"/>
      <c r="B903" s="413"/>
      <c r="C903" s="14"/>
      <c r="D903" s="6" t="s">
        <v>1613</v>
      </c>
      <c r="E903" s="1641" t="s">
        <v>2308</v>
      </c>
      <c r="F903" s="1641"/>
      <c r="G903" s="554"/>
      <c r="H903" s="404"/>
      <c r="I903" s="404"/>
    </row>
    <row r="904" spans="1:9" ht="14.25">
      <c r="A904" s="413"/>
      <c r="B904" s="413"/>
      <c r="C904" s="14"/>
      <c r="D904" s="287"/>
      <c r="E904" s="296"/>
      <c r="F904" s="296"/>
      <c r="G904" s="554"/>
      <c r="H904" s="404"/>
      <c r="I904" s="404"/>
    </row>
    <row r="905" spans="1:9" ht="14.25">
      <c r="A905" s="413"/>
      <c r="B905" s="924" t="s">
        <v>134</v>
      </c>
      <c r="C905" s="14"/>
      <c r="D905" s="1553" t="s">
        <v>1588</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1525</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1788</v>
      </c>
      <c r="E912" s="1615"/>
      <c r="F912" s="1615"/>
      <c r="G912" s="554"/>
      <c r="H912" s="404"/>
      <c r="I912" s="404"/>
    </row>
    <row r="913" spans="1:9" ht="12.75">
      <c r="A913" s="414"/>
      <c r="B913" s="414"/>
      <c r="C913" s="298"/>
      <c r="D913" s="1555" t="s">
        <v>1610</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85</v>
      </c>
      <c r="C915" s="298"/>
      <c r="D915" s="1651" t="s">
        <v>1798</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649" t="s">
        <v>1892</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9" t="s">
        <v>1893</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10" t="s">
        <v>1799</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134</v>
      </c>
      <c r="C947" s="553"/>
      <c r="D947" s="1649" t="s">
        <v>1800</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1801</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53" t="s">
        <v>1802</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1791</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1498</v>
      </c>
      <c r="C960" s="322"/>
      <c r="D960" s="1571" t="s">
        <v>1790</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134</v>
      </c>
      <c r="C967" s="322"/>
      <c r="D967" s="1571" t="s">
        <v>1789</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134</v>
      </c>
      <c r="C973" s="322"/>
      <c r="D973" s="1571" t="s">
        <v>1792</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134</v>
      </c>
      <c r="C979" s="322"/>
      <c r="D979" s="1571" t="s">
        <v>1793</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134</v>
      </c>
      <c r="C983" s="322"/>
      <c r="D983" s="1571" t="s">
        <v>1794</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134</v>
      </c>
      <c r="C986" s="322"/>
      <c r="D986" s="1553" t="s">
        <v>1795</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134</v>
      </c>
      <c r="C989" s="322"/>
      <c r="D989" s="1650" t="s">
        <v>1938</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134</v>
      </c>
      <c r="C994" s="322"/>
      <c r="D994" s="1555" t="s">
        <v>1204</v>
      </c>
      <c r="E994" s="1555"/>
      <c r="F994" s="1555"/>
      <c r="G994" s="554"/>
      <c r="H994" s="404"/>
      <c r="I994" s="404"/>
    </row>
    <row r="995" spans="1:9" ht="12.75">
      <c r="A995" s="355"/>
      <c r="B995" s="355"/>
      <c r="C995" s="322"/>
      <c r="D995" s="287"/>
      <c r="E995" s="296"/>
      <c r="F995" s="296"/>
      <c r="G995" s="554"/>
      <c r="H995" s="404"/>
      <c r="I995" s="404"/>
    </row>
    <row r="996" spans="1:9" ht="12.75">
      <c r="A996" s="355"/>
      <c r="B996" s="924" t="s">
        <v>134</v>
      </c>
      <c r="C996" s="322"/>
      <c r="D996" s="1555" t="s">
        <v>1205</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1614</v>
      </c>
      <c r="E998" s="1562"/>
      <c r="F998" s="1562"/>
      <c r="G998" s="554"/>
      <c r="H998" s="404"/>
      <c r="I998" s="404"/>
    </row>
    <row r="999" spans="1:9" ht="12.75">
      <c r="A999" s="355"/>
      <c r="B999" s="14"/>
      <c r="C999" s="322"/>
      <c r="D999" s="991"/>
      <c r="E999" s="296"/>
      <c r="F999" s="296"/>
      <c r="G999" s="554"/>
      <c r="H999" s="404"/>
      <c r="I999" s="404"/>
    </row>
    <row r="1000" spans="1:9" ht="14.25">
      <c r="A1000" s="413"/>
      <c r="B1000" s="924" t="s">
        <v>134</v>
      </c>
      <c r="C1000" s="322"/>
      <c r="D1000" s="1596" t="s">
        <v>1796</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134</v>
      </c>
      <c r="C1006" s="322"/>
      <c r="D1006" s="1596" t="s">
        <v>1797</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1615</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1498</v>
      </c>
      <c r="C1014" s="322"/>
      <c r="D1014" s="1596" t="s">
        <v>1803</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134</v>
      </c>
      <c r="C1018" s="322"/>
      <c r="D1018" s="1596" t="s">
        <v>1804</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1616</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134</v>
      </c>
      <c r="C1024" s="322"/>
      <c r="D1024" s="1599" t="s">
        <v>1806</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134</v>
      </c>
      <c r="C1028" s="322"/>
      <c r="D1028" s="1599" t="s">
        <v>1805</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1498</v>
      </c>
      <c r="C1032" s="322"/>
      <c r="D1032" s="1652" t="s">
        <v>1807</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99" t="s">
        <v>1808</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134</v>
      </c>
      <c r="C1040" s="322"/>
      <c r="D1040" s="1599" t="s">
        <v>1809</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134</v>
      </c>
      <c r="C1044" s="322"/>
      <c r="D1044" s="1599" t="s">
        <v>1617</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134</v>
      </c>
      <c r="C1048" s="322"/>
      <c r="D1048" s="1599" t="s">
        <v>1618</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600" t="s">
        <v>1215</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1619</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134</v>
      </c>
      <c r="C1066" s="322"/>
      <c r="D1066" s="1553" t="s">
        <v>1810</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1498</v>
      </c>
      <c r="C1071" s="322"/>
      <c r="D1071" s="1553" t="s">
        <v>1811</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134</v>
      </c>
      <c r="C1076" s="322"/>
      <c r="D1076" s="1619" t="s">
        <v>1812</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134</v>
      </c>
      <c r="C1080" s="658"/>
      <c r="D1080" s="1620" t="s">
        <v>1813</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1620</v>
      </c>
      <c r="E1084" s="1562"/>
      <c r="F1084" s="1562"/>
      <c r="G1084" s="554"/>
    </row>
    <row r="1085" spans="1:9" ht="12.75">
      <c r="A1085" s="14"/>
      <c r="B1085" s="14"/>
      <c r="C1085" s="322"/>
      <c r="D1085" s="991"/>
      <c r="E1085" s="296"/>
      <c r="F1085" s="296"/>
      <c r="G1085" s="554"/>
    </row>
    <row r="1086" spans="1:9" ht="12.75">
      <c r="A1086" s="355"/>
      <c r="B1086" s="924" t="s">
        <v>134</v>
      </c>
      <c r="C1086" s="322"/>
      <c r="D1086" s="1596" t="s">
        <v>1814</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134</v>
      </c>
      <c r="C1090" s="322"/>
      <c r="D1090" s="1596" t="s">
        <v>1815</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1206</v>
      </c>
      <c r="E1094" s="1562"/>
      <c r="F1094" s="1562"/>
      <c r="G1094" s="554"/>
    </row>
    <row r="1095" spans="1:7" ht="12.75">
      <c r="A1095" s="355"/>
      <c r="B1095" s="355"/>
      <c r="C1095" s="322"/>
      <c r="D1095" s="1555" t="s">
        <v>1621</v>
      </c>
      <c r="E1095" s="1555"/>
      <c r="F1095" s="1555"/>
      <c r="G1095" s="554"/>
    </row>
    <row r="1096" spans="1:7" ht="12.75">
      <c r="A1096" s="355"/>
      <c r="B1096" s="355"/>
      <c r="C1096" s="322"/>
      <c r="D1096" s="992"/>
      <c r="E1096" s="296"/>
      <c r="F1096" s="296"/>
      <c r="G1096" s="554"/>
    </row>
    <row r="1097" spans="1:7" ht="14.25">
      <c r="A1097" s="413"/>
      <c r="B1097" s="924" t="s">
        <v>134</v>
      </c>
      <c r="C1097" s="322"/>
      <c r="D1097" s="1553" t="s">
        <v>1816</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134</v>
      </c>
      <c r="C1100" s="322"/>
      <c r="D1100" s="1553" t="s">
        <v>1817</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1622</v>
      </c>
      <c r="E1103" s="1562"/>
      <c r="F1103" s="1562"/>
      <c r="G1103" s="554"/>
    </row>
    <row r="1104" spans="1:7" ht="12.75">
      <c r="A1104" s="355"/>
      <c r="B1104" s="355"/>
      <c r="C1104" s="322"/>
      <c r="D1104" s="991"/>
      <c r="E1104" s="296"/>
      <c r="F1104" s="296"/>
      <c r="G1104" s="554"/>
    </row>
    <row r="1105" spans="1:7" ht="14.25">
      <c r="A1105" s="413"/>
      <c r="B1105" s="924" t="s">
        <v>1498</v>
      </c>
      <c r="C1105" s="322"/>
      <c r="D1105" s="1553" t="s">
        <v>1818</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134</v>
      </c>
      <c r="C1113" s="322"/>
      <c r="D1113" s="1553" t="s">
        <v>1819</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6" customHeight="1">
      <c r="A1121" s="355"/>
      <c r="B1121" s="1083" t="s">
        <v>134</v>
      </c>
      <c r="C1121" s="322"/>
      <c r="D1121" s="1621" t="s">
        <v>1939</v>
      </c>
      <c r="E1121" s="1619"/>
      <c r="F1121" s="1619"/>
      <c r="G1121" s="554"/>
    </row>
    <row r="1122" spans="1:7" ht="12.6"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1623</v>
      </c>
      <c r="E1125" s="1562"/>
      <c r="F1125" s="1562"/>
    </row>
    <row r="1126" spans="1:7" ht="12.75">
      <c r="A1126" s="996"/>
      <c r="B1126" s="996"/>
      <c r="C1126" s="14"/>
      <c r="D1126" s="991"/>
      <c r="E1126" s="282"/>
      <c r="F1126" s="282"/>
    </row>
    <row r="1127" spans="1:7" ht="14.25">
      <c r="A1127" s="413"/>
      <c r="B1127" s="924" t="s">
        <v>1498</v>
      </c>
      <c r="C1127" s="14"/>
      <c r="D1127" s="1596" t="s">
        <v>1820</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134</v>
      </c>
      <c r="C1130" s="14"/>
      <c r="D1130" s="1596" t="s">
        <v>1821</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1624</v>
      </c>
      <c r="E1133" s="1562"/>
      <c r="F1133" s="1562"/>
    </row>
    <row r="1134" spans="1:7" ht="12.75">
      <c r="A1134" s="996"/>
      <c r="B1134" s="996"/>
      <c r="C1134" s="14"/>
      <c r="D1134" s="991"/>
      <c r="E1134" s="282"/>
      <c r="F1134" s="282"/>
    </row>
    <row r="1135" spans="1:7" ht="14.25">
      <c r="A1135" s="413"/>
      <c r="B1135" s="924" t="s">
        <v>134</v>
      </c>
      <c r="C1135" s="14"/>
      <c r="D1135" s="1555" t="s">
        <v>1822</v>
      </c>
      <c r="E1135" s="1555"/>
      <c r="F1135" s="1555"/>
    </row>
    <row r="1136" spans="1:7" ht="12.75">
      <c r="A1136" s="140"/>
      <c r="B1136" s="140"/>
      <c r="C1136" s="14"/>
      <c r="D1136" s="282"/>
      <c r="E1136" s="282"/>
      <c r="F1136" s="282"/>
    </row>
    <row r="1137" spans="1:7" ht="14.25">
      <c r="A1137" s="413"/>
      <c r="B1137" s="924" t="s">
        <v>134</v>
      </c>
      <c r="C1137" s="14"/>
      <c r="D1137" s="1553" t="s">
        <v>1823</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1833</v>
      </c>
      <c r="E1140" s="1562"/>
      <c r="F1140" s="1562"/>
      <c r="G1140" s="2"/>
    </row>
    <row r="1141" spans="1:7" ht="12.75">
      <c r="A1141" s="1002"/>
      <c r="B1141" s="1002"/>
      <c r="C1141" s="14"/>
      <c r="D1141" s="1001"/>
      <c r="E1141" s="282"/>
      <c r="F1141" s="282"/>
      <c r="G1141" s="2"/>
    </row>
    <row r="1142" spans="1:7" ht="14.45" customHeight="1">
      <c r="A1142" s="413"/>
      <c r="B1142" s="1003" t="s">
        <v>134</v>
      </c>
      <c r="C1142" s="14"/>
      <c r="D1142" s="1587" t="s">
        <v>1921</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1526</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1824</v>
      </c>
      <c r="E1159" s="1562"/>
      <c r="F1159" s="1562"/>
    </row>
    <row r="1160" spans="1:7" ht="12.75">
      <c r="A1160" s="414"/>
      <c r="B1160" s="414"/>
      <c r="C1160" s="298"/>
      <c r="D1160" s="1554" t="s">
        <v>1628</v>
      </c>
      <c r="E1160" s="1555"/>
      <c r="F1160" s="1555"/>
    </row>
    <row r="1161" spans="1:7" ht="12.75">
      <c r="A1161" s="414"/>
      <c r="B1161" s="414"/>
      <c r="C1161" s="298"/>
      <c r="D1161" s="282"/>
      <c r="E1161" s="282"/>
      <c r="F1161" s="296"/>
      <c r="G1161" s="2"/>
    </row>
    <row r="1162" spans="1:7" ht="13.7" customHeight="1">
      <c r="A1162" s="140"/>
      <c r="B1162" s="924" t="s">
        <v>1498</v>
      </c>
      <c r="C1162" s="14"/>
      <c r="D1162" s="1550" t="s">
        <v>2326</v>
      </c>
      <c r="E1162" s="1550"/>
      <c r="F1162" s="1550"/>
      <c r="G1162" s="2"/>
    </row>
    <row r="1163" spans="1:7" ht="12.75">
      <c r="A1163" s="140"/>
      <c r="B1163" s="140"/>
      <c r="C1163" s="14"/>
      <c r="D1163" s="1550"/>
      <c r="E1163" s="1550"/>
      <c r="F1163" s="1550"/>
      <c r="G1163" s="2"/>
    </row>
    <row r="1164" spans="1:7" ht="12.75">
      <c r="A1164" s="140"/>
      <c r="B1164" s="140"/>
      <c r="C1164" s="14"/>
      <c r="D1164" s="22"/>
      <c r="E1164" s="1505" t="s">
        <v>2327</v>
      </c>
      <c r="F1164" s="22"/>
      <c r="G1164" s="2"/>
    </row>
    <row r="1165" spans="1:7" ht="12.75">
      <c r="A1165" s="150"/>
      <c r="B1165" s="150"/>
      <c r="D1165" s="22"/>
      <c r="E1165" s="22"/>
      <c r="F1165" s="22"/>
      <c r="G1165" s="2"/>
    </row>
    <row r="1166" spans="1:7" ht="12.75">
      <c r="A1166" s="150"/>
      <c r="B1166" s="150"/>
      <c r="D1166" s="1549" t="s">
        <v>2325</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134</v>
      </c>
      <c r="C1170" s="299"/>
      <c r="D1170" s="1596" t="s">
        <v>1834</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134</v>
      </c>
      <c r="C1175" s="299"/>
      <c r="D1175" s="1563" t="s">
        <v>1922</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1498</v>
      </c>
      <c r="C1178" s="14"/>
      <c r="D1178" s="1555" t="s">
        <v>1825</v>
      </c>
      <c r="E1178" s="1555"/>
      <c r="F1178" s="1555"/>
      <c r="G1178" s="2"/>
    </row>
    <row r="1179" spans="1:7" ht="12.75">
      <c r="A1179" s="140"/>
      <c r="B1179" s="140"/>
      <c r="C1179" s="14"/>
      <c r="D1179" s="282"/>
      <c r="E1179" s="282"/>
      <c r="F1179" s="282"/>
      <c r="G1179" s="2"/>
    </row>
    <row r="1180" spans="1:7" ht="14.25">
      <c r="A1180" s="413"/>
      <c r="B1180" s="924" t="s">
        <v>134</v>
      </c>
      <c r="C1180" s="14"/>
      <c r="D1180" s="1555" t="s">
        <v>1826</v>
      </c>
      <c r="E1180" s="1555"/>
      <c r="F1180" s="1555"/>
      <c r="G1180" s="2"/>
    </row>
    <row r="1181" spans="1:7" ht="12.75">
      <c r="A1181" s="140"/>
      <c r="B1181" s="140"/>
      <c r="C1181" s="14"/>
      <c r="D1181" s="287"/>
      <c r="E1181" s="282"/>
      <c r="F1181" s="282"/>
      <c r="G1181" s="2"/>
    </row>
    <row r="1182" spans="1:7" ht="14.25">
      <c r="A1182" s="413"/>
      <c r="B1182" s="924" t="s">
        <v>1498</v>
      </c>
      <c r="C1182" s="14"/>
      <c r="D1182" s="1555" t="s">
        <v>1827</v>
      </c>
      <c r="E1182" s="1555"/>
      <c r="F1182" s="1555"/>
      <c r="G1182" s="2"/>
    </row>
    <row r="1183" spans="1:7" ht="12.75">
      <c r="A1183" s="140"/>
      <c r="B1183" s="140"/>
      <c r="C1183" s="14"/>
      <c r="D1183" s="287"/>
      <c r="E1183" s="282"/>
      <c r="F1183" s="282"/>
      <c r="G1183" s="2"/>
    </row>
    <row r="1184" spans="1:7" ht="14.25">
      <c r="A1184" s="413"/>
      <c r="B1184" s="924" t="s">
        <v>134</v>
      </c>
      <c r="C1184" s="14"/>
      <c r="D1184" s="1553" t="s">
        <v>1828</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134</v>
      </c>
      <c r="C1187" s="449"/>
      <c r="D1187" s="1604" t="s">
        <v>1829</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1498</v>
      </c>
      <c r="C1190" s="449"/>
      <c r="D1190" s="1653" t="s">
        <v>1830</v>
      </c>
      <c r="E1190" s="1653"/>
      <c r="F1190" s="1653"/>
      <c r="G1190" s="686"/>
    </row>
    <row r="1191" spans="1:7" s="685" customFormat="1" ht="12.75">
      <c r="A1191" s="449"/>
      <c r="B1191" s="449"/>
      <c r="C1191" s="449"/>
      <c r="D1191" s="450"/>
      <c r="E1191" s="451"/>
      <c r="F1191" s="451"/>
      <c r="G1191" s="686"/>
    </row>
    <row r="1192" spans="1:7" ht="14.25">
      <c r="A1192" s="413"/>
      <c r="B1192" s="924" t="s">
        <v>134</v>
      </c>
      <c r="C1192" s="14"/>
      <c r="D1192" s="1555" t="s">
        <v>1831</v>
      </c>
      <c r="E1192" s="1555"/>
      <c r="F1192" s="1555"/>
    </row>
    <row r="1193" spans="1:7" ht="14.25">
      <c r="A1193" s="413"/>
      <c r="B1193" s="413"/>
      <c r="C1193" s="14"/>
      <c r="D1193" s="287"/>
      <c r="E1193" s="282"/>
      <c r="F1193" s="282"/>
    </row>
    <row r="1194" spans="1:7" ht="14.25">
      <c r="A1194" s="413"/>
      <c r="B1194" s="924" t="s">
        <v>134</v>
      </c>
      <c r="C1194" s="14"/>
      <c r="D1194" s="1553" t="s">
        <v>1832</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2229</v>
      </c>
      <c r="B1197" s="1561"/>
      <c r="C1197" s="1561"/>
      <c r="D1197" s="1561"/>
      <c r="E1197" s="1561"/>
      <c r="F1197" s="1561"/>
      <c r="G1197" s="1561"/>
    </row>
    <row r="1198" spans="1:7" ht="12.75">
      <c r="A1198" s="140"/>
      <c r="B1198" s="140"/>
      <c r="C1198" s="14"/>
      <c r="D1198" s="282"/>
      <c r="E1198" s="282"/>
      <c r="F1198" s="282"/>
    </row>
    <row r="1199" spans="1:7" ht="12.75">
      <c r="A1199" s="1561" t="s">
        <v>1527</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1648</v>
      </c>
      <c r="E1201" s="1615"/>
      <c r="F1201" s="1615"/>
    </row>
    <row r="1202" spans="1:7" ht="12.75">
      <c r="A1202" s="150"/>
      <c r="B1202" s="150"/>
      <c r="D1202" s="1616" t="s">
        <v>2116</v>
      </c>
      <c r="E1202" s="1616"/>
      <c r="F1202" s="1616"/>
    </row>
    <row r="1203" spans="1:7" ht="12.75">
      <c r="A1203" s="430"/>
      <c r="B1203" s="430"/>
      <c r="C1203" s="406"/>
    </row>
    <row r="1204" spans="1:7" ht="14.25">
      <c r="A1204" s="413"/>
      <c r="B1204" s="413"/>
      <c r="C1204" s="299"/>
      <c r="D1204" s="1615" t="s">
        <v>1649</v>
      </c>
      <c r="E1204" s="1615"/>
      <c r="F1204" s="1615"/>
    </row>
    <row r="1205" spans="1:7" ht="12.75">
      <c r="A1205" s="140"/>
      <c r="B1205" s="924" t="s">
        <v>1498</v>
      </c>
      <c r="C1205" s="14"/>
      <c r="D1205" s="1618" t="s">
        <v>1650</v>
      </c>
      <c r="E1205" s="1618"/>
      <c r="F1205" s="1618"/>
    </row>
    <row r="1206" spans="1:7" ht="12.75">
      <c r="A1206" s="140"/>
      <c r="B1206" s="140"/>
      <c r="C1206" s="14"/>
      <c r="D1206" s="1616" t="s">
        <v>2117</v>
      </c>
      <c r="E1206" s="1616"/>
      <c r="F1206" s="1616"/>
    </row>
    <row r="1207" spans="1:7" ht="12.75">
      <c r="A1207" s="150"/>
      <c r="B1207" s="150"/>
      <c r="G1207" s="2"/>
    </row>
    <row r="1208" spans="1:7" ht="12.75" customHeight="1">
      <c r="A1208" s="150"/>
      <c r="B1208" s="1262" t="s">
        <v>134</v>
      </c>
      <c r="D1208" s="1573" t="s">
        <v>2008</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1529</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1528</v>
      </c>
      <c r="E1214" s="1613"/>
      <c r="F1214" s="1613"/>
      <c r="G1214" s="288"/>
    </row>
    <row r="1215" spans="1:7" ht="12.75" customHeight="1">
      <c r="A1215" s="76"/>
      <c r="B1215" s="76"/>
      <c r="C1215" s="285"/>
      <c r="D1215" s="1614" t="s">
        <v>1537</v>
      </c>
      <c r="E1215" s="1614"/>
      <c r="F1215" s="1614"/>
      <c r="G1215" s="288"/>
    </row>
    <row r="1216" spans="1:7" ht="12.75" customHeight="1">
      <c r="A1216" s="76"/>
      <c r="B1216" s="76"/>
      <c r="C1216" s="285"/>
      <c r="D1216" s="288"/>
      <c r="E1216" s="288"/>
      <c r="F1216" s="288"/>
      <c r="G1216" s="288"/>
    </row>
    <row r="1217" spans="1:7" ht="14.25">
      <c r="A1217" s="413"/>
      <c r="B1217" s="924" t="s">
        <v>134</v>
      </c>
      <c r="C1217" s="14"/>
      <c r="D1217" s="1560" t="s">
        <v>1096</v>
      </c>
      <c r="E1217" s="1560"/>
      <c r="F1217" s="1560"/>
    </row>
    <row r="1218" spans="1:7" ht="12.75">
      <c r="A1218" s="140"/>
      <c r="B1218" s="140"/>
      <c r="C1218" s="14"/>
      <c r="D1218" s="1555" t="s">
        <v>1224</v>
      </c>
      <c r="E1218" s="1555"/>
      <c r="F1218" s="1555"/>
    </row>
    <row r="1219" spans="1:7" ht="12.75">
      <c r="A1219" s="140"/>
      <c r="B1219" s="140"/>
      <c r="C1219" s="14"/>
      <c r="D1219" s="282"/>
      <c r="E1219" s="1581" t="s">
        <v>2328</v>
      </c>
      <c r="F1219" s="1581"/>
    </row>
    <row r="1220" spans="1:7" ht="12.75">
      <c r="A1220" s="140"/>
      <c r="B1220" s="140"/>
      <c r="C1220" s="14"/>
      <c r="D1220" s="6"/>
      <c r="E1220" s="282"/>
      <c r="F1220" s="282"/>
    </row>
    <row r="1221" spans="1:7" ht="12.75">
      <c r="A1221" s="140"/>
      <c r="B1221" s="140"/>
      <c r="C1221" s="14"/>
      <c r="D1221" s="1612" t="s">
        <v>1375</v>
      </c>
      <c r="E1221" s="1612"/>
      <c r="F1221" s="1612"/>
    </row>
    <row r="1222" spans="1:7" ht="12.75">
      <c r="A1222" s="140"/>
      <c r="B1222" s="924" t="s">
        <v>134</v>
      </c>
      <c r="C1222" s="140"/>
      <c r="D1222" s="1587" t="s">
        <v>2329</v>
      </c>
      <c r="E1222" s="1553"/>
      <c r="F1222" s="1553"/>
      <c r="G1222" s="2"/>
    </row>
    <row r="1223" spans="1:7" ht="12.75">
      <c r="A1223" s="140"/>
      <c r="B1223" s="140"/>
      <c r="C1223" s="14"/>
      <c r="D1223" s="1553"/>
      <c r="E1223" s="1553"/>
      <c r="F1223" s="1553"/>
      <c r="G1223" s="2"/>
    </row>
    <row r="1224" spans="1:7" ht="12.75">
      <c r="A1224" s="140"/>
      <c r="B1224" s="140"/>
      <c r="C1224" s="14"/>
      <c r="D1224" s="784" t="s">
        <v>1378</v>
      </c>
      <c r="E1224" s="2"/>
      <c r="F1224" s="2"/>
      <c r="G1224" s="2"/>
    </row>
    <row r="1225" spans="1:7" ht="13.7" customHeight="1">
      <c r="A1225" s="140"/>
      <c r="B1225" s="140"/>
      <c r="C1225" s="14"/>
      <c r="D1225" s="1587" t="s">
        <v>2330</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1099</v>
      </c>
      <c r="E1229" s="1581"/>
      <c r="F1229" s="1581"/>
      <c r="G1229" s="2"/>
    </row>
    <row r="1230" spans="1:7" ht="12.75">
      <c r="A1230" s="140"/>
      <c r="B1230" s="924" t="s">
        <v>134</v>
      </c>
      <c r="C1230" s="140"/>
      <c r="D1230" s="1560" t="s">
        <v>1376</v>
      </c>
      <c r="E1230" s="1560"/>
      <c r="F1230" s="1560"/>
      <c r="G1230" s="2"/>
    </row>
    <row r="1231" spans="1:7" ht="12.75">
      <c r="A1231" s="140"/>
      <c r="B1231" s="140"/>
      <c r="C1231" s="14"/>
      <c r="D1231" s="282"/>
      <c r="E1231" s="2"/>
      <c r="F1231" s="2"/>
      <c r="G1231" s="2"/>
    </row>
    <row r="1232" spans="1:7" ht="12.75">
      <c r="A1232" s="140"/>
      <c r="B1232" s="140"/>
      <c r="C1232" s="14"/>
      <c r="D1232" s="1572" t="s">
        <v>1377</v>
      </c>
      <c r="E1232" s="1572"/>
      <c r="F1232" s="1572"/>
      <c r="G1232" s="2"/>
    </row>
    <row r="1233" spans="1:7" ht="12.75">
      <c r="A1233" s="140"/>
      <c r="B1233" s="140"/>
      <c r="C1233" s="14"/>
      <c r="D1233" s="6" t="s">
        <v>1097</v>
      </c>
      <c r="E1233" s="2"/>
      <c r="F1233" s="2"/>
      <c r="G1233" s="2"/>
    </row>
    <row r="1234" spans="1:7" ht="14.45" customHeight="1">
      <c r="A1234" s="413"/>
      <c r="B1234" s="924" t="s">
        <v>134</v>
      </c>
      <c r="C1234" s="140"/>
      <c r="D1234" s="1553" t="s">
        <v>1651</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134</v>
      </c>
      <c r="C1239" s="14"/>
      <c r="D1239" s="1553" t="s">
        <v>1652</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1566</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1567</v>
      </c>
      <c r="E1247" s="1597"/>
      <c r="F1247" s="1597"/>
      <c r="G1247" s="288"/>
    </row>
    <row r="1248" spans="1:7" ht="12.75">
      <c r="A1248" s="419"/>
      <c r="B1248" s="419"/>
      <c r="C1248" s="407"/>
      <c r="D1248" s="1598" t="s">
        <v>1583</v>
      </c>
      <c r="E1248" s="1598"/>
      <c r="F1248" s="1598"/>
      <c r="G1248" s="408"/>
    </row>
    <row r="1249" spans="1:7" ht="10.5" customHeight="1">
      <c r="A1249" s="150"/>
      <c r="B1249" s="150"/>
    </row>
    <row r="1250" spans="1:7" ht="14.25">
      <c r="A1250" s="413"/>
      <c r="B1250" s="924" t="s">
        <v>134</v>
      </c>
      <c r="D1250" s="1560" t="s">
        <v>1225</v>
      </c>
      <c r="E1250" s="1560"/>
      <c r="F1250" s="1560"/>
    </row>
    <row r="1251" spans="1:7" ht="12.75">
      <c r="A1251" s="150"/>
      <c r="B1251" s="150"/>
      <c r="D1251" s="282"/>
      <c r="E1251" s="1581" t="s">
        <v>2331</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disablePrompts="1"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969" workbookViewId="0">
      <selection activeCell="AF986" sqref="AF986"/>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859</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2283</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2336</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8" t="s">
        <v>2067</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8" t="s">
        <v>2355</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860</v>
      </c>
      <c r="C17" s="8"/>
      <c r="D17" s="8"/>
      <c r="E17" s="8"/>
      <c r="F17" s="8"/>
      <c r="G17" s="8"/>
      <c r="H17" s="1659" t="s">
        <v>2337</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2" t="s">
        <v>1461</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2500000</v>
      </c>
      <c r="N25" s="1975"/>
      <c r="O25" s="1975"/>
      <c r="P25" s="1975"/>
      <c r="Q25" s="1975"/>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8333334</v>
      </c>
      <c r="N27" s="1975"/>
      <c r="O27" s="1975"/>
      <c r="P27" s="1975"/>
      <c r="Q27" s="1975"/>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8" t="s">
        <v>118</v>
      </c>
      <c r="P33" s="165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850">
        <v>22</v>
      </c>
      <c r="H128" s="1850"/>
      <c r="I128" s="72" t="s">
        <v>457</v>
      </c>
      <c r="J128" s="72"/>
      <c r="L128" s="1840" t="s">
        <v>2467</v>
      </c>
      <c r="M128" s="1841"/>
      <c r="N128" s="1841"/>
      <c r="O128" s="72" t="s">
        <v>2293</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1840" t="s">
        <v>935</v>
      </c>
      <c r="D130" s="1841"/>
      <c r="E130" s="1841"/>
      <c r="F130" s="1841"/>
      <c r="G130" s="1841"/>
      <c r="H130" s="1841"/>
      <c r="I130" s="1841"/>
      <c r="J130" s="1841"/>
      <c r="K130" s="1841"/>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9" t="s">
        <v>2468</v>
      </c>
      <c r="Z131" s="1660"/>
      <c r="AA131" s="1660"/>
      <c r="AB131" s="1660"/>
      <c r="AC131" s="1660"/>
      <c r="AD131" s="1660"/>
      <c r="AE131" s="1660"/>
      <c r="AF131" s="1660"/>
      <c r="AG131" s="1660"/>
      <c r="AH131" s="1660"/>
      <c r="AI131" s="1660"/>
      <c r="AJ131" s="1660"/>
      <c r="AK131" s="166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59" t="s">
        <v>2469</v>
      </c>
      <c r="Z134" s="1660"/>
      <c r="AA134" s="1660"/>
      <c r="AB134" s="1660"/>
      <c r="AC134" s="1660"/>
      <c r="AD134" s="1660"/>
      <c r="AE134" s="1660"/>
      <c r="AF134" s="1660"/>
      <c r="AG134" s="1660"/>
      <c r="AH134" s="1660"/>
      <c r="AI134" s="1660"/>
      <c r="AJ134" s="1660"/>
      <c r="AK134" s="166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59" t="s">
        <v>2338</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85</v>
      </c>
    </row>
    <row r="157" spans="1:72" ht="12.75" customHeight="1">
      <c r="D157" s="711" t="s">
        <v>598</v>
      </c>
      <c r="F157" s="42"/>
      <c r="G157" s="42"/>
      <c r="H157" s="42"/>
      <c r="I157" s="42"/>
      <c r="J157" s="42"/>
      <c r="K157" s="42"/>
      <c r="L157" s="42"/>
      <c r="M157" s="42"/>
      <c r="N157" s="42"/>
      <c r="O157" s="1663" t="s">
        <v>2339</v>
      </c>
      <c r="P157" s="1665"/>
      <c r="Q157" s="1665"/>
      <c r="R157" s="1665"/>
      <c r="S157" s="1665"/>
      <c r="T157" s="1665"/>
      <c r="U157" s="1665"/>
      <c r="V157" s="1665"/>
      <c r="W157" s="1665"/>
      <c r="X157" s="1665"/>
      <c r="Y157" s="1665"/>
      <c r="Z157" s="1665"/>
      <c r="AA157" s="1665"/>
      <c r="AB157" s="1665"/>
      <c r="AC157" s="1665"/>
      <c r="AD157" s="1665"/>
      <c r="AE157" s="1665"/>
      <c r="AF157" s="1665"/>
      <c r="AG157" s="1665"/>
      <c r="AH157" s="1665"/>
      <c r="AI157" s="16" t="s">
        <v>770</v>
      </c>
      <c r="BN157" s="47" t="s">
        <v>467</v>
      </c>
      <c r="BT157" s="16" t="s">
        <v>32</v>
      </c>
    </row>
    <row r="158" spans="1:72" ht="12.75" customHeight="1">
      <c r="D158" s="17" t="s">
        <v>599</v>
      </c>
      <c r="F158" s="17"/>
      <c r="G158" s="17"/>
      <c r="H158" s="17"/>
      <c r="I158" s="17"/>
      <c r="J158" s="17"/>
      <c r="K158" s="17"/>
      <c r="L158" s="17"/>
      <c r="M158" s="17"/>
      <c r="N158" s="17"/>
      <c r="O158" s="1838" t="s">
        <v>600</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468</v>
      </c>
      <c r="BT158" s="16" t="s">
        <v>33</v>
      </c>
    </row>
    <row r="159" spans="1:72" ht="12.75" customHeight="1">
      <c r="D159" s="42" t="s">
        <v>708</v>
      </c>
      <c r="F159" s="42"/>
      <c r="G159" s="42"/>
      <c r="H159" s="42"/>
      <c r="I159" s="42"/>
      <c r="J159" s="42"/>
      <c r="K159" s="42"/>
      <c r="L159" s="42"/>
      <c r="M159" s="42"/>
      <c r="N159" s="42"/>
      <c r="O159" s="1662" t="s">
        <v>2340</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79</v>
      </c>
      <c r="BT159" s="16" t="s">
        <v>428</v>
      </c>
    </row>
    <row r="160" spans="1:72" ht="12.75" customHeight="1">
      <c r="D160" s="42" t="s">
        <v>709</v>
      </c>
      <c r="F160" s="42"/>
      <c r="G160" s="42"/>
      <c r="H160" s="42"/>
      <c r="I160" s="42"/>
      <c r="J160" s="42"/>
      <c r="K160" s="42"/>
      <c r="L160" s="42"/>
      <c r="M160" s="42"/>
      <c r="N160" s="42"/>
      <c r="O160" s="1659" t="s">
        <v>2341</v>
      </c>
      <c r="P160" s="1660"/>
      <c r="Q160" s="1660"/>
      <c r="R160" s="1660"/>
      <c r="S160" s="1660"/>
      <c r="T160" s="1660"/>
      <c r="U160" s="1660"/>
      <c r="V160" s="1660"/>
      <c r="W160" s="1660"/>
      <c r="X160" s="1660"/>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1844">
        <v>93534</v>
      </c>
      <c r="P161" s="1844"/>
      <c r="Q161" s="1844"/>
      <c r="R161" s="1844"/>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1832" t="s">
        <v>2342</v>
      </c>
      <c r="P162" s="1832"/>
      <c r="Q162" s="1832"/>
      <c r="R162" s="1832"/>
      <c r="S162" s="1832"/>
      <c r="T162" s="1832"/>
      <c r="V162" s="271" t="s">
        <v>12</v>
      </c>
      <c r="W162" s="1845" t="s">
        <v>2343</v>
      </c>
      <c r="X162" s="1845"/>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1832" t="s">
        <v>2343</v>
      </c>
      <c r="P163" s="1832"/>
      <c r="Q163" s="1832"/>
      <c r="R163" s="1832"/>
      <c r="S163" s="1832"/>
      <c r="T163" s="1832"/>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1670" t="s">
        <v>2344</v>
      </c>
      <c r="P164" s="1670"/>
      <c r="Q164" s="1670"/>
      <c r="R164" s="1670"/>
      <c r="S164" s="1670"/>
      <c r="T164" s="1670"/>
      <c r="U164" s="1670"/>
      <c r="V164" s="1670"/>
      <c r="W164" s="1670"/>
      <c r="X164" s="1670"/>
      <c r="Y164" s="1670"/>
      <c r="Z164" s="1670"/>
      <c r="AA164" s="1670"/>
      <c r="AB164" s="1670"/>
      <c r="AC164" s="1670"/>
      <c r="AD164" s="1670"/>
      <c r="AE164" s="1670"/>
      <c r="AF164" s="1670"/>
      <c r="AG164" s="1670"/>
      <c r="AH164" s="1670"/>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3" t="s">
        <v>2125</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1666" t="s">
        <v>419</v>
      </c>
      <c r="B169" s="1666"/>
      <c r="C169" s="1666"/>
      <c r="D169" s="166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D169" s="1666"/>
      <c r="AE169" s="1666"/>
      <c r="AF169" s="1666"/>
      <c r="AG169" s="1666"/>
      <c r="AH169" s="1666"/>
      <c r="AI169" s="1666"/>
      <c r="AJ169" s="1666"/>
      <c r="AK169" s="1666"/>
      <c r="AL169" s="1666"/>
      <c r="BN169" s="47" t="s">
        <v>531</v>
      </c>
      <c r="BT169" s="16" t="s">
        <v>438</v>
      </c>
    </row>
    <row r="170" spans="1:72" ht="12.75" customHeight="1" thickBo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1839" t="s">
        <v>559</v>
      </c>
      <c r="K173" s="1839"/>
      <c r="L173" s="1839"/>
      <c r="M173" s="1839"/>
      <c r="N173" s="1839"/>
      <c r="O173" s="1839"/>
      <c r="P173" s="1839"/>
      <c r="Q173" s="1839"/>
      <c r="R173" s="1839"/>
      <c r="S173" s="1839"/>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655</v>
      </c>
      <c r="BT174" s="16" t="s">
        <v>443</v>
      </c>
    </row>
    <row r="175" spans="1:72" ht="12.75">
      <c r="A175" s="35"/>
      <c r="C175" s="17"/>
      <c r="D175" s="52"/>
      <c r="E175" s="16" t="s">
        <v>254</v>
      </c>
      <c r="O175" s="53"/>
      <c r="P175" s="35" t="s">
        <v>255</v>
      </c>
      <c r="Q175" s="35"/>
      <c r="R175" s="35"/>
      <c r="S175" s="35" t="s">
        <v>256</v>
      </c>
      <c r="U175" s="1833"/>
      <c r="V175" s="1833"/>
      <c r="W175" s="4" t="s">
        <v>257</v>
      </c>
      <c r="X175" s="1842"/>
      <c r="Y175" s="1842"/>
      <c r="Z175" s="35"/>
      <c r="AC175" s="35"/>
      <c r="AD175" s="35"/>
      <c r="AE175" s="35"/>
      <c r="AF175" s="35"/>
      <c r="AH175" s="35"/>
      <c r="AJ175" s="3"/>
      <c r="AK175" s="3"/>
      <c r="AL175" s="3"/>
      <c r="BN175" s="47" t="s">
        <v>656</v>
      </c>
      <c r="BT175" s="16" t="s">
        <v>444</v>
      </c>
    </row>
    <row r="176" spans="1:72" ht="12.75">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445</v>
      </c>
    </row>
    <row r="177" spans="1:72" ht="12.75">
      <c r="A177" s="35"/>
      <c r="C177" s="54"/>
      <c r="D177" s="578" t="s">
        <v>1332</v>
      </c>
      <c r="AD177" s="35"/>
      <c r="AF177" s="35"/>
      <c r="AH177" s="35"/>
      <c r="AJ177" s="3"/>
      <c r="AK177" s="3"/>
      <c r="AL177" s="3"/>
      <c r="BN177" s="47" t="s">
        <v>659</v>
      </c>
      <c r="BT177" s="16" t="s">
        <v>446</v>
      </c>
    </row>
    <row r="178" spans="1:72" ht="12.75">
      <c r="A178" s="35"/>
      <c r="C178" s="54"/>
      <c r="E178" s="759" t="s">
        <v>255</v>
      </c>
      <c r="F178" s="579"/>
      <c r="G178" s="759"/>
      <c r="H178" s="759" t="s">
        <v>256</v>
      </c>
      <c r="I178" s="579"/>
      <c r="J178" s="1982"/>
      <c r="K178" s="1982"/>
      <c r="L178" s="758" t="s">
        <v>257</v>
      </c>
      <c r="M178" s="1849"/>
      <c r="N178" s="1849"/>
      <c r="O178" s="579"/>
      <c r="P178" s="579"/>
      <c r="Q178" s="579"/>
      <c r="R178" s="579"/>
      <c r="U178" s="720" t="s">
        <v>1333</v>
      </c>
      <c r="V178" s="579"/>
      <c r="W178" s="759"/>
      <c r="X178" s="759"/>
      <c r="Y178" s="759"/>
      <c r="Z178" s="759"/>
      <c r="AA178" s="759"/>
      <c r="AB178" s="759"/>
      <c r="AD178" s="1983"/>
      <c r="AE178" s="1983"/>
      <c r="AF178" s="1983"/>
      <c r="AG178" s="1983"/>
      <c r="AH178" s="1983"/>
      <c r="AJ178" s="3"/>
      <c r="AK178" s="3"/>
      <c r="AL178" s="3"/>
      <c r="BN178" s="47" t="s">
        <v>660</v>
      </c>
      <c r="BT178" s="16" t="s">
        <v>447</v>
      </c>
    </row>
    <row r="179" spans="1:72" ht="12.75">
      <c r="A179" s="35"/>
      <c r="C179" s="54"/>
      <c r="AE179" s="35"/>
      <c r="AJ179" s="3"/>
      <c r="AK179" s="3"/>
      <c r="AL179" s="3"/>
      <c r="BN179" s="47" t="s">
        <v>661</v>
      </c>
      <c r="BT179" s="16" t="s">
        <v>448</v>
      </c>
    </row>
    <row r="180" spans="1:72" ht="12.75">
      <c r="A180" s="35"/>
      <c r="C180" s="55"/>
      <c r="D180" s="3" t="s">
        <v>601</v>
      </c>
      <c r="O180" s="579"/>
      <c r="P180" s="759"/>
      <c r="Q180" s="579"/>
      <c r="R180" s="579"/>
      <c r="Y180" s="1658" t="s">
        <v>527</v>
      </c>
      <c r="Z180" s="1836"/>
      <c r="AE180" s="35"/>
      <c r="AJ180" s="3"/>
      <c r="AK180" s="3"/>
      <c r="AL180" s="3"/>
      <c r="BN180" s="47" t="s">
        <v>663</v>
      </c>
      <c r="BT180" s="16" t="s">
        <v>449</v>
      </c>
    </row>
    <row r="181" spans="1:72" ht="12.75">
      <c r="A181" s="35"/>
      <c r="C181" s="55"/>
      <c r="D181" s="57"/>
      <c r="E181" s="578" t="s">
        <v>1331</v>
      </c>
      <c r="R181" s="579"/>
      <c r="Z181" s="35"/>
      <c r="AA181" s="35"/>
      <c r="AE181" s="35"/>
      <c r="AF181" s="35"/>
      <c r="AH181" s="35"/>
      <c r="AJ181" s="3"/>
      <c r="AK181" s="3"/>
      <c r="AL181" s="3"/>
      <c r="BN181" s="47" t="s">
        <v>664</v>
      </c>
      <c r="BT181" s="16" t="s">
        <v>450</v>
      </c>
    </row>
    <row r="182" spans="1:72" ht="12.75">
      <c r="A182" s="35"/>
      <c r="C182" s="55"/>
      <c r="D182" s="56"/>
      <c r="E182" s="35"/>
      <c r="AJ182" s="3"/>
      <c r="AK182" s="3"/>
      <c r="AL182" s="3"/>
      <c r="BN182" s="47" t="s">
        <v>665</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2.75">
      <c r="A184" s="35"/>
      <c r="C184" s="58"/>
      <c r="D184" s="35" t="s">
        <v>10</v>
      </c>
      <c r="E184" s="35"/>
      <c r="F184" s="35"/>
      <c r="G184" s="35"/>
      <c r="H184" s="35"/>
      <c r="I184" s="1827" t="str">
        <f>H17</f>
        <v>Lancaster HNR-1 Apartments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130</v>
      </c>
      <c r="BN184" s="47" t="s">
        <v>630</v>
      </c>
      <c r="BT184" s="16" t="s">
        <v>453</v>
      </c>
    </row>
    <row r="185" spans="1:72" ht="12.75">
      <c r="A185" s="35"/>
      <c r="C185" s="58"/>
      <c r="D185" s="35" t="s">
        <v>474</v>
      </c>
      <c r="E185" s="35"/>
      <c r="F185" s="35"/>
      <c r="G185" s="35"/>
      <c r="H185" s="35"/>
      <c r="I185" s="1663" t="s">
        <v>2420</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131</v>
      </c>
      <c r="BN185" s="47" t="s">
        <v>631</v>
      </c>
      <c r="BT185" s="16" t="s">
        <v>912</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4" t="s">
        <v>2345</v>
      </c>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633</v>
      </c>
      <c r="BT187" s="16" t="s">
        <v>914</v>
      </c>
    </row>
    <row r="188" spans="1:72" ht="12.7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635</v>
      </c>
      <c r="BT188" s="16" t="s">
        <v>915</v>
      </c>
    </row>
    <row r="189" spans="1:72" ht="12.75">
      <c r="A189" s="35"/>
      <c r="C189" s="58"/>
      <c r="D189" s="35" t="s">
        <v>475</v>
      </c>
      <c r="E189" s="35"/>
      <c r="I189" s="1662" t="s">
        <v>2346</v>
      </c>
      <c r="J189" s="1662"/>
      <c r="K189" s="1662"/>
      <c r="L189" s="1662"/>
      <c r="M189" s="1662"/>
      <c r="N189" s="1662"/>
      <c r="O189" s="1662"/>
      <c r="P189" s="1662"/>
      <c r="Q189" s="35" t="s">
        <v>477</v>
      </c>
      <c r="T189" s="1662" t="s">
        <v>444</v>
      </c>
      <c r="U189" s="1662"/>
      <c r="V189" s="1662"/>
      <c r="W189" s="1662"/>
      <c r="X189" s="1662"/>
      <c r="Y189" s="1662"/>
      <c r="Z189" s="1662"/>
      <c r="AA189" s="1662"/>
      <c r="AB189" s="1662"/>
      <c r="AC189" s="1662"/>
      <c r="AD189" s="1662"/>
      <c r="AE189" s="1662"/>
      <c r="AH189" s="35"/>
      <c r="AJ189" s="3"/>
      <c r="AK189" s="3"/>
      <c r="AL189" s="3"/>
      <c r="BC189" s="16" t="s">
        <v>85</v>
      </c>
      <c r="BH189" s="72" t="s">
        <v>134</v>
      </c>
      <c r="BN189" s="47" t="s">
        <v>636</v>
      </c>
      <c r="BT189" s="16" t="s">
        <v>119</v>
      </c>
    </row>
    <row r="190" spans="1:72" ht="12.75">
      <c r="A190" s="35"/>
      <c r="C190" s="59"/>
      <c r="D190" s="35" t="s">
        <v>478</v>
      </c>
      <c r="E190" s="35"/>
      <c r="F190" s="35"/>
      <c r="G190" s="35"/>
      <c r="I190" s="1654">
        <v>93534</v>
      </c>
      <c r="J190" s="1654"/>
      <c r="K190" s="1654"/>
      <c r="L190" s="1654"/>
      <c r="M190" s="1654"/>
      <c r="N190" s="1654"/>
      <c r="O190" s="35" t="s">
        <v>480</v>
      </c>
      <c r="P190" s="35"/>
      <c r="Q190" s="35"/>
      <c r="R190" s="35"/>
      <c r="S190" s="35"/>
      <c r="T190" s="1834">
        <v>9006.06</v>
      </c>
      <c r="U190" s="1834"/>
      <c r="V190" s="1834"/>
      <c r="W190" s="1834"/>
      <c r="X190" s="1834"/>
      <c r="Y190" s="1834"/>
      <c r="Z190" s="1834"/>
      <c r="AA190" s="1834"/>
      <c r="AB190" s="1834"/>
      <c r="AC190" s="1834"/>
      <c r="AD190" s="1834"/>
      <c r="AE190" s="1834"/>
      <c r="AF190" s="35"/>
      <c r="AH190" s="35"/>
      <c r="AJ190" s="3"/>
      <c r="AK190" s="3"/>
      <c r="AL190" s="3"/>
      <c r="BC190" s="16" t="s">
        <v>724</v>
      </c>
      <c r="BH190" s="16" t="s">
        <v>724</v>
      </c>
      <c r="BN190" s="47" t="s">
        <v>466</v>
      </c>
      <c r="BT190" s="16" t="s">
        <v>120</v>
      </c>
    </row>
    <row r="191" spans="1:72" ht="12.75">
      <c r="A191" s="35"/>
      <c r="C191" s="59"/>
      <c r="D191" s="35" t="s">
        <v>91</v>
      </c>
      <c r="E191" s="35"/>
      <c r="F191" s="35"/>
      <c r="G191" s="35"/>
      <c r="H191" s="35"/>
      <c r="I191" s="35"/>
      <c r="J191" s="35"/>
      <c r="K191" s="35"/>
      <c r="L191" s="35"/>
      <c r="M191" s="35"/>
      <c r="N191" s="1994" t="s">
        <v>2347</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1548</v>
      </c>
      <c r="BH191" s="16" t="s">
        <v>1548</v>
      </c>
      <c r="BN191" s="47" t="s">
        <v>638</v>
      </c>
      <c r="BT191" s="16" t="s">
        <v>121</v>
      </c>
    </row>
    <row r="192" spans="1:72" ht="12.7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725</v>
      </c>
      <c r="BH192" s="8" t="s">
        <v>1555</v>
      </c>
      <c r="BN192" s="47" t="s">
        <v>639</v>
      </c>
      <c r="BT192" s="16" t="s">
        <v>122</v>
      </c>
    </row>
    <row r="193" spans="1:73" ht="12.75">
      <c r="A193" s="35"/>
      <c r="C193" s="59"/>
      <c r="D193" s="3" t="s">
        <v>481</v>
      </c>
      <c r="E193" s="3"/>
      <c r="F193" s="3"/>
      <c r="G193" s="3"/>
      <c r="H193" s="3"/>
      <c r="I193" s="3"/>
      <c r="J193" s="3"/>
      <c r="K193" s="3"/>
      <c r="L193" s="3"/>
      <c r="M193" s="3"/>
      <c r="N193" s="35"/>
      <c r="O193" s="35"/>
      <c r="P193" s="35"/>
      <c r="Q193" s="35"/>
      <c r="R193" s="35"/>
      <c r="T193" s="1658" t="s">
        <v>527</v>
      </c>
      <c r="U193" s="1658"/>
      <c r="W193" s="72" t="s">
        <v>2084</v>
      </c>
      <c r="AA193" s="1831"/>
      <c r="AB193" s="1831"/>
      <c r="AC193" s="1831"/>
      <c r="AJ193" s="3"/>
      <c r="AK193" s="3"/>
      <c r="AL193" s="3"/>
      <c r="BC193" s="16" t="s">
        <v>620</v>
      </c>
      <c r="BH193" s="8" t="s">
        <v>1556</v>
      </c>
      <c r="BN193" s="47" t="s">
        <v>640</v>
      </c>
      <c r="BT193" s="16" t="s">
        <v>123</v>
      </c>
    </row>
    <row r="194" spans="1:73" ht="12.75">
      <c r="A194" s="35"/>
      <c r="C194" s="59"/>
      <c r="D194" s="3" t="s">
        <v>128</v>
      </c>
      <c r="E194" s="3"/>
      <c r="F194" s="3"/>
      <c r="G194" s="3"/>
      <c r="H194" s="3"/>
      <c r="I194" s="3"/>
      <c r="J194" s="3"/>
      <c r="K194" s="3"/>
      <c r="L194" s="3"/>
      <c r="M194" s="3"/>
      <c r="N194" s="35"/>
      <c r="O194" s="35"/>
      <c r="P194" s="35"/>
      <c r="Q194" s="35"/>
      <c r="R194" s="35"/>
      <c r="T194" s="1713" t="s">
        <v>527</v>
      </c>
      <c r="U194" s="1713"/>
      <c r="W194" s="35" t="s">
        <v>67</v>
      </c>
      <c r="X194" s="35"/>
      <c r="Y194" s="35"/>
      <c r="Z194" s="35"/>
      <c r="AA194" s="35"/>
      <c r="AB194" s="35"/>
      <c r="AC194" s="35"/>
      <c r="AD194" s="35"/>
      <c r="AE194" s="35"/>
      <c r="AF194" s="35"/>
      <c r="AG194" s="35"/>
      <c r="AH194" s="35"/>
      <c r="AI194" s="1658" t="s">
        <v>527</v>
      </c>
      <c r="AJ194" s="1658"/>
      <c r="AK194" s="3"/>
      <c r="AL194" s="3"/>
      <c r="AX194" s="8" t="s">
        <v>134</v>
      </c>
      <c r="BC194" s="16" t="s">
        <v>676</v>
      </c>
      <c r="BN194" s="47" t="s">
        <v>816</v>
      </c>
      <c r="BT194" s="16" t="s">
        <v>124</v>
      </c>
    </row>
    <row r="195" spans="1:73" ht="12.75">
      <c r="A195" s="35"/>
      <c r="C195" s="59"/>
      <c r="D195" s="1070" t="s">
        <v>1898</v>
      </c>
      <c r="E195" s="3"/>
      <c r="F195" s="3"/>
      <c r="G195" s="3"/>
      <c r="H195" s="3"/>
      <c r="I195" s="3"/>
      <c r="J195" s="3"/>
      <c r="K195" s="3"/>
      <c r="L195" s="3"/>
      <c r="M195" s="3"/>
      <c r="N195" s="35"/>
      <c r="O195" s="35"/>
      <c r="P195" s="35"/>
      <c r="Q195" s="35"/>
      <c r="R195" s="35"/>
      <c r="T195" s="1713" t="s">
        <v>527</v>
      </c>
      <c r="U195" s="1713"/>
      <c r="X195" s="1309" t="s">
        <v>2106</v>
      </c>
      <c r="AJ195" s="3"/>
      <c r="AK195" s="3"/>
      <c r="AL195" s="3"/>
      <c r="AX195" s="8" t="s">
        <v>1243</v>
      </c>
      <c r="BN195" s="47" t="s">
        <v>817</v>
      </c>
      <c r="BT195" s="16" t="s">
        <v>125</v>
      </c>
    </row>
    <row r="196" spans="1:73" ht="12.75">
      <c r="A196" s="35"/>
      <c r="C196" s="59"/>
      <c r="D196" s="74" t="s">
        <v>1249</v>
      </c>
      <c r="E196" s="35"/>
      <c r="F196" s="35"/>
      <c r="G196" s="35"/>
      <c r="H196" s="35"/>
      <c r="I196" s="35"/>
      <c r="J196" s="35"/>
      <c r="K196" s="35"/>
      <c r="L196" s="35"/>
      <c r="M196" s="35"/>
      <c r="N196" s="35"/>
      <c r="O196" s="35"/>
      <c r="P196" s="35"/>
      <c r="Q196" s="35"/>
      <c r="R196" s="35"/>
      <c r="T196" s="1713" t="s">
        <v>527</v>
      </c>
      <c r="U196" s="1713"/>
      <c r="W196" s="3"/>
      <c r="X196" s="3"/>
      <c r="Y196" s="3"/>
      <c r="Z196" s="3"/>
      <c r="AA196" s="3"/>
      <c r="AB196" s="3"/>
      <c r="AC196" s="3"/>
      <c r="AD196" s="3"/>
      <c r="AE196" s="3"/>
      <c r="AF196" s="3"/>
      <c r="AG196" s="3"/>
      <c r="AH196" s="3"/>
      <c r="AI196" s="3"/>
      <c r="AJ196" s="3"/>
      <c r="AK196" s="1830"/>
      <c r="AL196" s="1830"/>
      <c r="AX196" s="8" t="s">
        <v>1244</v>
      </c>
      <c r="BN196" s="47" t="s">
        <v>818</v>
      </c>
      <c r="BT196" s="16" t="s">
        <v>126</v>
      </c>
    </row>
    <row r="197" spans="1:73" ht="12.75">
      <c r="A197" s="35"/>
      <c r="C197" s="59"/>
      <c r="D197" s="72" t="s">
        <v>2085</v>
      </c>
      <c r="T197" s="1658" t="s">
        <v>527</v>
      </c>
      <c r="U197" s="1658"/>
      <c r="AJ197" s="3"/>
      <c r="AK197" s="3"/>
      <c r="AL197" s="3"/>
      <c r="AX197" s="8" t="s">
        <v>1245</v>
      </c>
      <c r="BC197" s="16" t="s">
        <v>85</v>
      </c>
      <c r="BN197" s="47" t="s">
        <v>819</v>
      </c>
      <c r="BT197" s="16" t="s">
        <v>127</v>
      </c>
    </row>
    <row r="198" spans="1:73" ht="12.75">
      <c r="A198" s="35"/>
      <c r="C198" s="59"/>
      <c r="D198" s="1070" t="s">
        <v>2115</v>
      </c>
      <c r="W198" s="1837" t="s">
        <v>527</v>
      </c>
      <c r="X198" s="1658"/>
      <c r="AG198" s="35"/>
      <c r="AH198" s="3"/>
      <c r="AI198" s="3"/>
      <c r="AJ198" s="3"/>
      <c r="AK198" s="3"/>
      <c r="AL198" s="3"/>
      <c r="AX198" s="8" t="s">
        <v>1246</v>
      </c>
      <c r="BC198" s="623" t="s">
        <v>1190</v>
      </c>
      <c r="BN198" s="47" t="s">
        <v>820</v>
      </c>
      <c r="BT198" s="16" t="s">
        <v>876</v>
      </c>
    </row>
    <row r="199" spans="1:73" ht="12.75">
      <c r="A199" s="35"/>
      <c r="C199" s="59"/>
      <c r="D199" s="1070" t="s">
        <v>2248</v>
      </c>
      <c r="L199" s="1458"/>
      <c r="M199" s="1458"/>
      <c r="N199" s="1458"/>
      <c r="O199" s="1458"/>
      <c r="P199" s="1458"/>
      <c r="Q199" s="1458"/>
      <c r="R199" s="1829" t="s">
        <v>2245</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616</v>
      </c>
      <c r="AB200" s="35"/>
      <c r="AC200" s="35"/>
      <c r="AE200" s="35"/>
      <c r="AF200" s="35"/>
      <c r="AG200" s="35"/>
      <c r="AH200" s="390"/>
      <c r="AI200" s="390"/>
      <c r="AJ200" s="3"/>
      <c r="AK200" s="3"/>
      <c r="AL200" s="3"/>
      <c r="AX200" s="72" t="s">
        <v>2281</v>
      </c>
      <c r="BC200" s="1056" t="s">
        <v>2282</v>
      </c>
      <c r="BN200" s="1492" t="s">
        <v>719</v>
      </c>
      <c r="BO200" s="65"/>
      <c r="BP200" s="68"/>
      <c r="BQ200" s="68"/>
      <c r="BR200" s="68"/>
      <c r="BS200" s="68"/>
      <c r="BT200" s="68" t="s">
        <v>878</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2.75">
      <c r="A203" s="35"/>
      <c r="C203" s="35"/>
      <c r="D203" s="1827" t="str">
        <f>IF(AND(M25&gt;0,M27&gt;0),"Federal and State","Federal Only")</f>
        <v>Federal and State</v>
      </c>
      <c r="E203" s="1827"/>
      <c r="F203" s="1827"/>
      <c r="G203" s="1827"/>
      <c r="H203" s="1827"/>
      <c r="I203" s="1827"/>
      <c r="J203" s="1827"/>
      <c r="K203" s="1827"/>
      <c r="L203" s="1827"/>
      <c r="M203" s="1827"/>
      <c r="P203" s="1988">
        <f>M25</f>
        <v>2500000</v>
      </c>
      <c r="Q203" s="1988"/>
      <c r="R203" s="1988"/>
      <c r="S203" s="1988"/>
      <c r="T203" s="1988"/>
      <c r="U203" s="1988"/>
      <c r="V203" s="35"/>
      <c r="W203" s="1988">
        <f>M27</f>
        <v>8333334</v>
      </c>
      <c r="X203" s="1988"/>
      <c r="Y203" s="1988"/>
      <c r="Z203" s="1988"/>
      <c r="AA203" s="1988"/>
      <c r="AB203" s="1988"/>
      <c r="AD203" s="35"/>
      <c r="AE203" s="35"/>
      <c r="AF203" s="35"/>
      <c r="AG203" s="35"/>
      <c r="AH203" s="35"/>
      <c r="AI203" s="35"/>
      <c r="AJ203" s="3"/>
      <c r="AK203" s="3"/>
      <c r="AL203" s="3"/>
      <c r="AV203" s="16" t="s">
        <v>134</v>
      </c>
      <c r="AX203" s="8" t="s">
        <v>725</v>
      </c>
      <c r="BC203" s="3" t="s">
        <v>1562</v>
      </c>
      <c r="BN203" s="47" t="s">
        <v>722</v>
      </c>
      <c r="BT203" s="69" t="s">
        <v>881</v>
      </c>
      <c r="BU203" s="65"/>
    </row>
    <row r="204" spans="1:73" ht="12.75">
      <c r="A204" s="35"/>
      <c r="C204" s="58"/>
      <c r="E204" s="35"/>
      <c r="F204" s="35"/>
      <c r="G204" s="35"/>
      <c r="P204" s="1977" t="s">
        <v>190</v>
      </c>
      <c r="Q204" s="1977"/>
      <c r="R204" s="1977"/>
      <c r="S204" s="1977"/>
      <c r="T204" s="1977"/>
      <c r="U204" s="1977"/>
      <c r="V204" s="60"/>
      <c r="W204" s="1977" t="s">
        <v>191</v>
      </c>
      <c r="X204" s="1977"/>
      <c r="Y204" s="1977"/>
      <c r="Z204" s="1977"/>
      <c r="AA204" s="1977"/>
      <c r="AB204" s="1977"/>
      <c r="AD204" s="35"/>
      <c r="AE204" s="35"/>
      <c r="AF204" s="35"/>
      <c r="AG204" s="35"/>
      <c r="AH204" s="35"/>
      <c r="AI204" s="35"/>
      <c r="AJ204" s="3"/>
      <c r="AK204" s="3"/>
      <c r="AL204" s="3"/>
      <c r="AV204" s="16" t="s">
        <v>118</v>
      </c>
      <c r="AX204" s="8" t="s">
        <v>1497</v>
      </c>
      <c r="BC204" s="272" t="s">
        <v>935</v>
      </c>
      <c r="BN204" s="47" t="s">
        <v>723</v>
      </c>
      <c r="BT204" s="69" t="s">
        <v>882</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1565</v>
      </c>
      <c r="BN206" s="47" t="s">
        <v>980</v>
      </c>
      <c r="BT206" s="69" t="s">
        <v>883</v>
      </c>
    </row>
    <row r="207" spans="1:73" ht="12.75">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2.75">
      <c r="A208" s="35"/>
      <c r="C208" s="58"/>
      <c r="D208" s="1660" t="s">
        <v>2348</v>
      </c>
      <c r="E208" s="1660"/>
      <c r="F208" s="1660"/>
      <c r="G208" s="1660"/>
      <c r="H208" s="1660"/>
      <c r="I208" s="1660"/>
      <c r="J208" s="1660"/>
      <c r="K208" s="1660"/>
      <c r="L208" s="1660"/>
      <c r="M208" s="166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80</v>
      </c>
      <c r="BN209" s="47" t="s">
        <v>3</v>
      </c>
      <c r="BT209" s="69" t="s">
        <v>886</v>
      </c>
    </row>
    <row r="210" spans="1:72" ht="12.75">
      <c r="A210" s="63" t="s">
        <v>133</v>
      </c>
      <c r="C210" s="63" t="s">
        <v>1241</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2.75">
      <c r="C211" s="58"/>
      <c r="D211" s="1660" t="s">
        <v>1243</v>
      </c>
      <c r="E211" s="1660"/>
      <c r="F211" s="1660"/>
      <c r="G211" s="1660"/>
      <c r="H211" s="1660"/>
      <c r="I211" s="1660"/>
      <c r="J211" s="1660"/>
      <c r="K211" s="1660"/>
      <c r="L211" s="1660"/>
      <c r="M211" s="1660"/>
      <c r="N211" s="1660"/>
      <c r="O211" s="1660"/>
      <c r="P211" s="1660"/>
      <c r="X211" s="1321"/>
      <c r="Y211" s="1835" t="s">
        <v>527</v>
      </c>
      <c r="Z211" s="1835"/>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85</v>
      </c>
      <c r="BN212" s="47" t="s">
        <v>5</v>
      </c>
      <c r="BT212" s="69" t="s">
        <v>888</v>
      </c>
    </row>
    <row r="213" spans="1:72" ht="12.75">
      <c r="A213" s="63" t="s">
        <v>135</v>
      </c>
      <c r="C213" s="63" t="s">
        <v>1549</v>
      </c>
      <c r="AG213" s="3"/>
      <c r="AJ213" s="3"/>
      <c r="AK213" s="3"/>
      <c r="AL213" s="3"/>
      <c r="AX213" s="72" t="s">
        <v>2247</v>
      </c>
      <c r="BC213" s="16" t="s">
        <v>687</v>
      </c>
      <c r="BN213" s="47" t="s">
        <v>6</v>
      </c>
      <c r="BT213" s="69" t="s">
        <v>889</v>
      </c>
    </row>
    <row r="214" spans="1:72" ht="12.75">
      <c r="C214" s="58"/>
      <c r="D214" s="1660" t="s">
        <v>724</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691</v>
      </c>
      <c r="BN214" s="47" t="s">
        <v>488</v>
      </c>
      <c r="BT214" s="69" t="s">
        <v>890</v>
      </c>
    </row>
    <row r="215" spans="1:72" ht="12.75">
      <c r="D215" s="64"/>
      <c r="E215" s="8" t="s">
        <v>1561</v>
      </c>
      <c r="AE215" s="1986">
        <v>0</v>
      </c>
      <c r="AF215" s="1986"/>
      <c r="AG215" s="3"/>
      <c r="AJ215" s="3"/>
      <c r="AK215" s="3"/>
      <c r="AL215" s="3"/>
      <c r="BC215" s="16" t="s">
        <v>688</v>
      </c>
    </row>
    <row r="216" spans="1:72" ht="12.75" customHeight="1">
      <c r="D216" s="64"/>
      <c r="E216" s="8" t="s">
        <v>1559</v>
      </c>
      <c r="AG216" s="3"/>
      <c r="AJ216" s="3"/>
      <c r="AK216" s="3"/>
      <c r="AL216" s="3"/>
      <c r="BC216" s="16" t="s">
        <v>806</v>
      </c>
    </row>
    <row r="217" spans="1:72" ht="12.75">
      <c r="E217" s="1993" t="s">
        <v>134</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689</v>
      </c>
    </row>
    <row r="218" spans="1:72" ht="12.75">
      <c r="E218" s="72" t="s">
        <v>2170</v>
      </c>
      <c r="AA218" s="83"/>
      <c r="AC218" s="1826"/>
      <c r="AD218" s="1826"/>
      <c r="AE218" s="1826"/>
      <c r="AF218" s="1826"/>
      <c r="AG218" s="1826"/>
      <c r="AH218" s="1826"/>
      <c r="AI218" s="1826"/>
      <c r="AJ218" s="1826"/>
      <c r="AK218" s="1826"/>
      <c r="AL218" s="1826"/>
      <c r="AM218" s="1826"/>
      <c r="BC218" s="16" t="s">
        <v>690</v>
      </c>
      <c r="BI218" s="67"/>
    </row>
    <row r="219" spans="1:72" ht="12.75" customHeight="1">
      <c r="E219" s="72" t="s">
        <v>2171</v>
      </c>
      <c r="AA219" s="83"/>
      <c r="AC219" s="1826"/>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9" t="s">
        <v>1191</v>
      </c>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23</v>
      </c>
      <c r="P225" s="1658"/>
    </row>
    <row r="226" spans="1:59" ht="12.75" customHeight="1">
      <c r="D226" s="35" t="s">
        <v>614</v>
      </c>
      <c r="E226" s="35"/>
      <c r="F226" s="35"/>
      <c r="G226" s="35"/>
      <c r="H226" s="35"/>
      <c r="I226" s="35"/>
      <c r="J226" s="35"/>
      <c r="K226" s="35"/>
      <c r="L226" s="35"/>
      <c r="M226" s="35"/>
      <c r="N226" s="35"/>
      <c r="O226" s="1658">
        <v>36</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21</v>
      </c>
      <c r="P227" s="1658"/>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1276</v>
      </c>
      <c r="U229" s="562" t="s">
        <v>1277</v>
      </c>
      <c r="BB229" s="16" t="s">
        <v>699</v>
      </c>
      <c r="BG229" s="624">
        <f>IF(AND(AND($M$251="for profit",$M$259="nonprofit",$M$267="(select one)")),2,0)</f>
        <v>0</v>
      </c>
    </row>
    <row r="230" spans="1:59" ht="12.75">
      <c r="BB230" s="16" t="s">
        <v>699</v>
      </c>
      <c r="BG230" s="625">
        <f>IF(AND(AND($M$251="nonprofit",$M$259="for profit",$M$267="(select one)")),2,0)</f>
        <v>0</v>
      </c>
    </row>
    <row r="231" spans="1:59" ht="12.75">
      <c r="A231" s="1666" t="s">
        <v>540</v>
      </c>
      <c r="B231" s="1666"/>
      <c r="C231" s="1666"/>
      <c r="D231" s="1666"/>
      <c r="E231" s="1666"/>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1666"/>
      <c r="AD231" s="1666"/>
      <c r="AE231" s="1666"/>
      <c r="AF231" s="1666"/>
      <c r="AG231" s="1666"/>
      <c r="AH231" s="1666"/>
      <c r="AI231" s="1666"/>
      <c r="AJ231" s="1666"/>
      <c r="AK231" s="1666"/>
      <c r="AL231" s="1666"/>
    </row>
    <row r="232" spans="1:59" ht="13.5" thickBot="1">
      <c r="A232" s="1667"/>
      <c r="B232" s="1667"/>
      <c r="C232" s="1667"/>
      <c r="D232" s="1667"/>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1667"/>
      <c r="AD232" s="1667"/>
      <c r="AE232" s="1667"/>
      <c r="AF232" s="1667"/>
      <c r="AG232" s="1667"/>
      <c r="AH232" s="1667"/>
      <c r="AI232" s="1667"/>
      <c r="AJ232" s="1667"/>
      <c r="AK232" s="1667"/>
      <c r="AL232" s="1667"/>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411</v>
      </c>
      <c r="E235" s="71"/>
      <c r="F235" s="71"/>
      <c r="G235" s="71"/>
      <c r="H235" s="71"/>
      <c r="I235" s="71"/>
      <c r="J235" s="71"/>
      <c r="K235" s="8"/>
      <c r="M235" s="1976" t="str">
        <f>H15</f>
        <v>BRIDGE Housing Corporation</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412</v>
      </c>
      <c r="E236" s="71"/>
      <c r="F236" s="71"/>
      <c r="G236" s="71"/>
      <c r="H236" s="71"/>
      <c r="I236" s="71"/>
      <c r="J236" s="71"/>
      <c r="K236" s="8"/>
      <c r="M236" s="1659" t="s">
        <v>2351</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698</v>
      </c>
      <c r="BG236" s="624">
        <f>IF(AND(AND($M$251="nonprofit",$M$259="nonprofit",$M$267="nonprofit")),1,0)</f>
        <v>0</v>
      </c>
    </row>
    <row r="237" spans="1:59" ht="12.75">
      <c r="D237" s="71" t="s">
        <v>475</v>
      </c>
      <c r="E237" s="71"/>
      <c r="M237" s="1659" t="s">
        <v>124</v>
      </c>
      <c r="N237" s="1660"/>
      <c r="O237" s="1660"/>
      <c r="P237" s="1660"/>
      <c r="Q237" s="1660"/>
      <c r="R237" s="1660"/>
      <c r="S237" s="1660"/>
      <c r="T237" s="1660"/>
      <c r="V237" s="73" t="s">
        <v>413</v>
      </c>
      <c r="W237" s="1663" t="s">
        <v>2349</v>
      </c>
      <c r="X237" s="1665"/>
      <c r="Y237" s="71" t="s">
        <v>478</v>
      </c>
      <c r="AC237" s="1660">
        <v>94108</v>
      </c>
      <c r="AD237" s="1660"/>
      <c r="AE237" s="1660"/>
      <c r="AN237" s="72"/>
      <c r="BB237" s="16" t="s">
        <v>698</v>
      </c>
      <c r="BG237" s="624">
        <f>IF(AND(AND($M$251="nonprofit",$M$259="nonprofit",$M$267="(select one)")),1,0)</f>
        <v>0</v>
      </c>
    </row>
    <row r="238" spans="1:59" ht="12.75">
      <c r="D238" s="74" t="s">
        <v>414</v>
      </c>
      <c r="E238" s="8"/>
      <c r="F238" s="8"/>
      <c r="G238" s="8"/>
      <c r="H238" s="8"/>
      <c r="I238" s="8"/>
      <c r="J238" s="8"/>
      <c r="K238" s="39"/>
      <c r="M238" s="1659" t="s">
        <v>2352</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698</v>
      </c>
      <c r="BG238" s="624">
        <f>IF(AND(AND($M$251="nonprofit",$M$259="(select one)",$M$267="(select one)")),1,0)</f>
        <v>1</v>
      </c>
    </row>
    <row r="239" spans="1:59" ht="12.75">
      <c r="D239" s="74" t="s">
        <v>415</v>
      </c>
      <c r="E239" s="8"/>
      <c r="F239" s="8"/>
      <c r="M239" s="1656" t="s">
        <v>2353</v>
      </c>
      <c r="N239" s="1657"/>
      <c r="O239" s="1657"/>
      <c r="P239" s="1657"/>
      <c r="Q239" s="1657"/>
      <c r="R239" s="1657"/>
      <c r="S239" s="8" t="s">
        <v>891</v>
      </c>
      <c r="T239" s="8"/>
      <c r="U239" s="1663" t="s">
        <v>2343</v>
      </c>
      <c r="V239" s="1665"/>
      <c r="W239" s="1665"/>
      <c r="X239" s="8" t="s">
        <v>416</v>
      </c>
      <c r="Z239" s="1656" t="s">
        <v>2343</v>
      </c>
      <c r="AA239" s="1657"/>
      <c r="AB239" s="1657"/>
      <c r="AC239" s="1657"/>
      <c r="AD239" s="1657"/>
      <c r="AE239" s="1657"/>
      <c r="AM239" s="72"/>
      <c r="AN239" s="72"/>
      <c r="BB239" s="16" t="s">
        <v>1092</v>
      </c>
      <c r="BG239" s="624">
        <f>IF(AND(AND($M$251="for profit",$M$259="for profit",$M$267="for profit")),3,0)</f>
        <v>0</v>
      </c>
    </row>
    <row r="240" spans="1:59" ht="12.75">
      <c r="D240" s="74" t="s">
        <v>417</v>
      </c>
      <c r="E240" s="8"/>
      <c r="F240" s="8"/>
      <c r="M240" s="1670" t="s">
        <v>2354</v>
      </c>
      <c r="N240" s="1670"/>
      <c r="O240" s="1670"/>
      <c r="P240" s="1670"/>
      <c r="Q240" s="1670"/>
      <c r="R240" s="1670"/>
      <c r="S240" s="1670"/>
      <c r="T240" s="1670"/>
      <c r="U240" s="1670"/>
      <c r="V240" s="1670"/>
      <c r="W240" s="1670"/>
      <c r="X240" s="1670"/>
      <c r="Y240" s="1670"/>
      <c r="Z240" s="1670"/>
      <c r="AA240" s="1670"/>
      <c r="AB240" s="1670"/>
      <c r="AC240" s="1670"/>
      <c r="AD240" s="1670"/>
      <c r="AE240" s="1670"/>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654" t="s">
        <v>689</v>
      </c>
      <c r="N241" s="1654"/>
      <c r="O241" s="1654"/>
      <c r="P241" s="1654"/>
      <c r="Q241" s="1654"/>
      <c r="R241" s="1654"/>
      <c r="S241" s="1654"/>
      <c r="T241" s="1654"/>
      <c r="U241" s="8" t="s">
        <v>1235</v>
      </c>
      <c r="AA241" s="1664" t="s">
        <v>2355</v>
      </c>
      <c r="AB241" s="1655"/>
      <c r="AC241" s="1655"/>
      <c r="AD241" s="1655"/>
      <c r="AE241" s="1655"/>
      <c r="AF241" s="1655"/>
      <c r="AG241" s="1655"/>
      <c r="AH241" s="1655"/>
      <c r="AI241" s="1655"/>
      <c r="AJ241" s="1655"/>
      <c r="AK241" s="1655"/>
      <c r="AL241" s="72"/>
      <c r="AM241" s="8"/>
      <c r="AN241" s="72"/>
      <c r="AO241" s="72"/>
      <c r="BB241" s="16" t="s">
        <v>1092</v>
      </c>
      <c r="BC241" s="35"/>
      <c r="BD241" s="35"/>
      <c r="BE241" s="35"/>
      <c r="BF241" s="35"/>
      <c r="BG241" s="625">
        <f>IF(AND(AND($M$251="for profit",$M$259="(select one)",$M$267="(select one)")),3,0)</f>
        <v>0</v>
      </c>
    </row>
    <row r="242" spans="1:67" ht="12.75">
      <c r="D242" s="16" t="s">
        <v>692</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2.75">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2.75">
      <c r="A245" s="39"/>
      <c r="C245" s="147" t="s">
        <v>1599</v>
      </c>
      <c r="D245" s="71" t="s">
        <v>693</v>
      </c>
      <c r="E245" s="71"/>
      <c r="F245" s="71"/>
      <c r="G245" s="71"/>
      <c r="H245" s="71"/>
      <c r="I245" s="71"/>
      <c r="J245" s="71"/>
      <c r="K245" s="71"/>
      <c r="L245" s="8"/>
      <c r="M245" s="1828" t="s">
        <v>2356</v>
      </c>
      <c r="N245" s="1828"/>
      <c r="O245" s="1828"/>
      <c r="P245" s="1828"/>
      <c r="Q245" s="1828"/>
      <c r="R245" s="1828"/>
      <c r="S245" s="1828"/>
      <c r="T245" s="1828"/>
      <c r="U245" s="1828"/>
      <c r="V245" s="1828"/>
      <c r="W245" s="1828"/>
      <c r="X245" s="1828"/>
      <c r="Y245" s="1828"/>
      <c r="Z245" s="1828"/>
      <c r="AA245" s="1828"/>
      <c r="AB245" s="1828"/>
      <c r="AC245" s="1828"/>
      <c r="AD245" s="1828"/>
      <c r="AE245" s="1828"/>
      <c r="AF245" s="1668" t="s">
        <v>2357</v>
      </c>
      <c r="AG245" s="1668"/>
      <c r="AH245" s="1668"/>
      <c r="AI245" s="1668"/>
      <c r="AJ245" s="1668"/>
      <c r="AK245" s="1668"/>
      <c r="AM245" s="8"/>
      <c r="AN245" s="72"/>
      <c r="BB245" s="8" t="s">
        <v>972</v>
      </c>
      <c r="BH245" s="16">
        <v>2</v>
      </c>
      <c r="BI245" s="16" t="s">
        <v>806</v>
      </c>
      <c r="BO245" s="626" t="str">
        <f>VLOOKUP(AZ260,BH244:BI246,2,FALSE)</f>
        <v>Nonprofit</v>
      </c>
    </row>
    <row r="246" spans="1:67" ht="12.75">
      <c r="A246" s="39"/>
      <c r="B246" s="8"/>
      <c r="C246" s="8"/>
      <c r="D246" s="71" t="s">
        <v>412</v>
      </c>
      <c r="E246" s="71"/>
      <c r="F246" s="71"/>
      <c r="G246" s="71"/>
      <c r="H246" s="71"/>
      <c r="I246" s="71"/>
      <c r="J246" s="71"/>
      <c r="K246" s="71"/>
      <c r="L246" s="8"/>
      <c r="M246" s="1659" t="s">
        <v>2351</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499</v>
      </c>
      <c r="BH246" s="16">
        <v>3</v>
      </c>
      <c r="BI246" s="16" t="s">
        <v>697</v>
      </c>
    </row>
    <row r="247" spans="1:67" ht="12.75">
      <c r="A247" s="39"/>
      <c r="B247" s="8"/>
      <c r="C247" s="8"/>
      <c r="D247" s="71" t="s">
        <v>475</v>
      </c>
      <c r="E247" s="71"/>
      <c r="M247" s="1659" t="s">
        <v>124</v>
      </c>
      <c r="N247" s="1660"/>
      <c r="O247" s="1660"/>
      <c r="P247" s="1660"/>
      <c r="Q247" s="1660"/>
      <c r="R247" s="1660"/>
      <c r="S247" s="1660"/>
      <c r="T247" s="1660"/>
      <c r="V247" s="73" t="s">
        <v>413</v>
      </c>
      <c r="W247" s="1663" t="s">
        <v>2349</v>
      </c>
      <c r="X247" s="1665"/>
      <c r="Y247" s="71" t="s">
        <v>478</v>
      </c>
      <c r="AC247" s="1660">
        <v>94108</v>
      </c>
      <c r="AD247" s="1660"/>
      <c r="AE247" s="1660"/>
      <c r="AN247" s="72"/>
    </row>
    <row r="248" spans="1:67" ht="12.75">
      <c r="A248" s="39"/>
      <c r="B248" s="8"/>
      <c r="C248" s="8"/>
      <c r="D248" s="74" t="s">
        <v>414</v>
      </c>
      <c r="E248" s="8"/>
      <c r="F248" s="8"/>
      <c r="G248" s="8"/>
      <c r="H248" s="8"/>
      <c r="I248" s="8"/>
      <c r="J248" s="8"/>
      <c r="K248" s="8"/>
      <c r="L248" s="39"/>
      <c r="M248" s="1659" t="s">
        <v>2352</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2.75">
      <c r="A249" s="39"/>
      <c r="B249" s="8"/>
      <c r="C249" s="8"/>
      <c r="D249" s="74" t="s">
        <v>415</v>
      </c>
      <c r="E249" s="8"/>
      <c r="F249" s="8"/>
      <c r="M249" s="1656" t="s">
        <v>2353</v>
      </c>
      <c r="N249" s="1657"/>
      <c r="O249" s="1657"/>
      <c r="P249" s="1657"/>
      <c r="Q249" s="1657"/>
      <c r="R249" s="1657"/>
      <c r="S249" s="8" t="s">
        <v>891</v>
      </c>
      <c r="T249" s="8"/>
      <c r="U249" s="1663" t="s">
        <v>2343</v>
      </c>
      <c r="V249" s="1665"/>
      <c r="W249" s="1665"/>
      <c r="X249" s="8" t="s">
        <v>416</v>
      </c>
      <c r="Z249" s="1656" t="s">
        <v>2343</v>
      </c>
      <c r="AA249" s="1657"/>
      <c r="AB249" s="1657"/>
      <c r="AC249" s="1657"/>
      <c r="AD249" s="1657"/>
      <c r="AE249" s="1657"/>
      <c r="AM249" s="8"/>
      <c r="AN249" s="72"/>
    </row>
    <row r="250" spans="1:67" ht="12.75">
      <c r="A250" s="39"/>
      <c r="B250" s="8"/>
      <c r="C250" s="8"/>
      <c r="D250" s="74" t="s">
        <v>417</v>
      </c>
      <c r="E250" s="8"/>
      <c r="F250" s="8"/>
      <c r="M250" s="1670" t="s">
        <v>2354</v>
      </c>
      <c r="N250" s="1670"/>
      <c r="O250" s="1670"/>
      <c r="P250" s="1670"/>
      <c r="Q250" s="1670"/>
      <c r="R250" s="1670"/>
      <c r="S250" s="1670"/>
      <c r="T250" s="1670"/>
      <c r="U250" s="1670"/>
      <c r="V250" s="1670"/>
      <c r="W250" s="1670"/>
      <c r="X250" s="1670"/>
      <c r="Y250" s="1670"/>
      <c r="Z250" s="1670"/>
      <c r="AA250" s="1670"/>
      <c r="AB250" s="1670"/>
      <c r="AC250" s="1670"/>
      <c r="AD250" s="1670"/>
      <c r="AE250" s="1670"/>
      <c r="AG250" s="8"/>
      <c r="AH250" s="8"/>
      <c r="AI250" s="8"/>
      <c r="AJ250" s="8"/>
      <c r="AK250" s="8"/>
      <c r="AL250" s="8"/>
    </row>
    <row r="251" spans="1:67" ht="12.75">
      <c r="A251" s="33"/>
      <c r="B251" s="8"/>
      <c r="C251" s="147"/>
      <c r="D251" s="74" t="s">
        <v>696</v>
      </c>
      <c r="E251" s="8"/>
      <c r="F251" s="8"/>
      <c r="G251" s="8"/>
      <c r="H251" s="8"/>
      <c r="I251" s="8"/>
      <c r="J251" s="8"/>
      <c r="K251" s="8"/>
      <c r="L251" s="8"/>
      <c r="M251" s="1654" t="s">
        <v>695</v>
      </c>
      <c r="N251" s="1654"/>
      <c r="O251" s="1654"/>
      <c r="P251" s="1654"/>
      <c r="Q251" s="1654"/>
      <c r="R251" s="1654"/>
      <c r="S251" s="1654"/>
      <c r="T251" s="1654"/>
      <c r="U251" s="8" t="s">
        <v>1235</v>
      </c>
      <c r="AA251" s="1664" t="s">
        <v>2355</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1828"/>
      <c r="N253" s="1828"/>
      <c r="O253" s="1828"/>
      <c r="P253" s="1828"/>
      <c r="Q253" s="1828"/>
      <c r="R253" s="1828"/>
      <c r="S253" s="1828"/>
      <c r="T253" s="1828"/>
      <c r="U253" s="1828"/>
      <c r="V253" s="1828"/>
      <c r="W253" s="1828"/>
      <c r="X253" s="1828"/>
      <c r="Y253" s="1828"/>
      <c r="Z253" s="1828"/>
      <c r="AA253" s="1828"/>
      <c r="AB253" s="1828"/>
      <c r="AC253" s="1828"/>
      <c r="AD253" s="1828"/>
      <c r="AE253" s="1828"/>
      <c r="AF253" s="1668" t="s">
        <v>85</v>
      </c>
      <c r="AG253" s="1668"/>
      <c r="AH253" s="1668"/>
      <c r="AI253" s="1668"/>
      <c r="AJ253" s="1668"/>
      <c r="AK253" s="1668"/>
      <c r="AM253" s="8"/>
    </row>
    <row r="254" spans="1:67" ht="12.75">
      <c r="A254" s="39"/>
      <c r="B254" s="8"/>
      <c r="C254" s="8"/>
      <c r="D254" s="71" t="s">
        <v>412</v>
      </c>
      <c r="E254" s="71"/>
      <c r="F254" s="71"/>
      <c r="G254" s="71"/>
      <c r="H254" s="71"/>
      <c r="I254" s="71"/>
      <c r="J254" s="71"/>
      <c r="K254" s="71"/>
      <c r="L254" s="8"/>
      <c r="M254" s="1660"/>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2.75">
      <c r="A255" s="39"/>
      <c r="B255" s="8"/>
      <c r="C255" s="8"/>
      <c r="D255" s="71" t="s">
        <v>475</v>
      </c>
      <c r="E255" s="71"/>
      <c r="M255" s="1660"/>
      <c r="N255" s="1660"/>
      <c r="O255" s="1660"/>
      <c r="P255" s="1660"/>
      <c r="Q255" s="1660"/>
      <c r="R255" s="1660"/>
      <c r="S255" s="1660"/>
      <c r="T255" s="1660"/>
      <c r="V255" s="73" t="s">
        <v>413</v>
      </c>
      <c r="W255" s="1665"/>
      <c r="X255" s="1665"/>
      <c r="Y255" s="71" t="s">
        <v>478</v>
      </c>
      <c r="AC255" s="1660"/>
      <c r="AD255" s="1660"/>
      <c r="AE255" s="1660"/>
    </row>
    <row r="256" spans="1:67" ht="12.75">
      <c r="A256" s="39"/>
      <c r="B256" s="8"/>
      <c r="C256" s="8"/>
      <c r="D256" s="74" t="s">
        <v>414</v>
      </c>
      <c r="E256" s="8"/>
      <c r="F256" s="8"/>
      <c r="G256" s="8"/>
      <c r="H256" s="8"/>
      <c r="I256" s="8"/>
      <c r="J256" s="8"/>
      <c r="K256" s="8"/>
      <c r="L256" s="39"/>
      <c r="M256" s="1660"/>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2.75">
      <c r="A257" s="39"/>
      <c r="B257" s="8"/>
      <c r="C257" s="8"/>
      <c r="D257" s="74" t="s">
        <v>415</v>
      </c>
      <c r="E257" s="8"/>
      <c r="F257" s="8"/>
      <c r="M257" s="1657"/>
      <c r="N257" s="1657"/>
      <c r="O257" s="1657"/>
      <c r="P257" s="1657"/>
      <c r="Q257" s="1657"/>
      <c r="R257" s="1657"/>
      <c r="S257" s="8" t="s">
        <v>891</v>
      </c>
      <c r="T257" s="8"/>
      <c r="U257" s="1665"/>
      <c r="V257" s="1665"/>
      <c r="W257" s="1665"/>
      <c r="X257" s="8" t="s">
        <v>416</v>
      </c>
      <c r="Z257" s="1657"/>
      <c r="AA257" s="1657"/>
      <c r="AB257" s="1657"/>
      <c r="AC257" s="1657"/>
      <c r="AD257" s="1657"/>
      <c r="AE257" s="1657"/>
      <c r="BA257" s="75"/>
    </row>
    <row r="258" spans="1:53" ht="12.75">
      <c r="A258" s="39"/>
      <c r="B258" s="8"/>
      <c r="C258" s="8"/>
      <c r="D258" s="74" t="s">
        <v>417</v>
      </c>
      <c r="E258" s="8"/>
      <c r="F258" s="8"/>
      <c r="M258" s="1670"/>
      <c r="N258" s="1670"/>
      <c r="O258" s="1670"/>
      <c r="P258" s="1670"/>
      <c r="Q258" s="1670"/>
      <c r="R258" s="1670"/>
      <c r="S258" s="1670"/>
      <c r="T258" s="1670"/>
      <c r="U258" s="1670"/>
      <c r="V258" s="1670"/>
      <c r="W258" s="1670"/>
      <c r="X258" s="1670"/>
      <c r="Y258" s="1670"/>
      <c r="Z258" s="1670"/>
      <c r="AA258" s="1670"/>
      <c r="AB258" s="1670"/>
      <c r="AC258" s="1670"/>
      <c r="AD258" s="1670"/>
      <c r="AE258" s="1670"/>
      <c r="AG258" s="8"/>
      <c r="AH258" s="8"/>
      <c r="AI258" s="8"/>
      <c r="AJ258" s="8"/>
      <c r="AK258" s="8"/>
      <c r="AL258" s="8"/>
      <c r="BA258" s="35"/>
    </row>
    <row r="259" spans="1:53" ht="12.75">
      <c r="A259" s="33"/>
      <c r="B259" s="8"/>
      <c r="C259" s="147"/>
      <c r="D259" s="74" t="s">
        <v>696</v>
      </c>
      <c r="E259" s="8"/>
      <c r="F259" s="8"/>
      <c r="G259" s="8"/>
      <c r="H259" s="8"/>
      <c r="I259" s="8"/>
      <c r="J259" s="8"/>
      <c r="K259" s="8"/>
      <c r="L259" s="8"/>
      <c r="M259" s="1654" t="s">
        <v>85</v>
      </c>
      <c r="N259" s="1654"/>
      <c r="O259" s="1654"/>
      <c r="P259" s="1654"/>
      <c r="Q259" s="1654"/>
      <c r="R259" s="1654"/>
      <c r="S259" s="1654"/>
      <c r="T259" s="1654"/>
      <c r="U259" s="8" t="s">
        <v>1235</v>
      </c>
      <c r="AA259" s="1655"/>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2083</v>
      </c>
      <c r="D261" s="71" t="s">
        <v>693</v>
      </c>
      <c r="E261" s="71"/>
      <c r="F261" s="71"/>
      <c r="G261" s="71"/>
      <c r="H261" s="71"/>
      <c r="I261" s="71"/>
      <c r="J261" s="71"/>
      <c r="K261" s="71"/>
      <c r="L261" s="8"/>
      <c r="M261" s="1668"/>
      <c r="N261" s="1668"/>
      <c r="O261" s="1668"/>
      <c r="P261" s="1668"/>
      <c r="Q261" s="1668"/>
      <c r="R261" s="1668"/>
      <c r="S261" s="1668"/>
      <c r="T261" s="1668"/>
      <c r="U261" s="1668"/>
      <c r="V261" s="1668"/>
      <c r="W261" s="1668"/>
      <c r="X261" s="1668"/>
      <c r="Y261" s="1668"/>
      <c r="Z261" s="1668"/>
      <c r="AA261" s="1668"/>
      <c r="AB261" s="1668"/>
      <c r="AC261" s="1668"/>
      <c r="AD261" s="1668"/>
      <c r="AE261" s="1668"/>
      <c r="AF261" s="1668" t="s">
        <v>85</v>
      </c>
      <c r="AG261" s="1668"/>
      <c r="AH261" s="1668"/>
      <c r="AI261" s="1668"/>
      <c r="AJ261" s="1668"/>
      <c r="AK261" s="1668"/>
      <c r="AL261" s="72"/>
      <c r="BA261" s="3"/>
    </row>
    <row r="262" spans="1:53" ht="12.75">
      <c r="A262" s="33"/>
      <c r="B262" s="8"/>
      <c r="C262" s="8"/>
      <c r="D262" s="71" t="s">
        <v>412</v>
      </c>
      <c r="E262" s="71"/>
      <c r="F262" s="71"/>
      <c r="G262" s="71"/>
      <c r="H262" s="71"/>
      <c r="I262" s="71"/>
      <c r="J262" s="71"/>
      <c r="K262" s="71"/>
      <c r="L262" s="8"/>
      <c r="M262" s="1660"/>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29"/>
    </row>
    <row r="263" spans="1:53" ht="12.75">
      <c r="A263" s="33"/>
      <c r="B263" s="8"/>
      <c r="C263" s="8"/>
      <c r="D263" s="71" t="s">
        <v>475</v>
      </c>
      <c r="E263" s="71"/>
      <c r="M263" s="1660"/>
      <c r="N263" s="1660"/>
      <c r="O263" s="1660"/>
      <c r="P263" s="1660"/>
      <c r="Q263" s="1660"/>
      <c r="R263" s="1660"/>
      <c r="S263" s="1660"/>
      <c r="T263" s="1660"/>
      <c r="V263" s="73" t="s">
        <v>413</v>
      </c>
      <c r="W263" s="1665"/>
      <c r="X263" s="1665"/>
      <c r="Y263" s="71" t="s">
        <v>478</v>
      </c>
      <c r="AC263" s="1660"/>
      <c r="AD263" s="1660"/>
      <c r="AE263" s="1660"/>
      <c r="AL263" s="72"/>
      <c r="BA263" s="75"/>
    </row>
    <row r="264" spans="1:53" ht="12.75">
      <c r="A264" s="33"/>
      <c r="B264" s="8"/>
      <c r="C264" s="8"/>
      <c r="D264" s="74" t="s">
        <v>414</v>
      </c>
      <c r="E264" s="8"/>
      <c r="F264" s="8"/>
      <c r="G264" s="8"/>
      <c r="H264" s="8"/>
      <c r="I264" s="8"/>
      <c r="J264" s="8"/>
      <c r="K264" s="8"/>
      <c r="L264" s="39"/>
      <c r="M264" s="1660"/>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2.75">
      <c r="A265" s="33"/>
      <c r="B265" s="8"/>
      <c r="C265" s="8"/>
      <c r="D265" s="74" t="s">
        <v>415</v>
      </c>
      <c r="E265" s="8"/>
      <c r="F265" s="8"/>
      <c r="M265" s="1657"/>
      <c r="N265" s="1657"/>
      <c r="O265" s="1657"/>
      <c r="P265" s="1657"/>
      <c r="Q265" s="1657"/>
      <c r="R265" s="1657"/>
      <c r="S265" s="8" t="s">
        <v>891</v>
      </c>
      <c r="T265" s="8"/>
      <c r="U265" s="1665"/>
      <c r="V265" s="1665"/>
      <c r="W265" s="1665"/>
      <c r="X265" s="8" t="s">
        <v>416</v>
      </c>
      <c r="Z265" s="1657"/>
      <c r="AA265" s="1657"/>
      <c r="AB265" s="1657"/>
      <c r="AC265" s="1657"/>
      <c r="AD265" s="1657"/>
      <c r="AE265" s="1657"/>
      <c r="AL265" s="72"/>
      <c r="BA265" s="75"/>
    </row>
    <row r="266" spans="1:53" ht="12.75">
      <c r="A266" s="33"/>
      <c r="B266" s="8"/>
      <c r="C266" s="8"/>
      <c r="D266" s="74" t="s">
        <v>417</v>
      </c>
      <c r="E266" s="8"/>
      <c r="F266" s="8"/>
      <c r="M266" s="1670"/>
      <c r="N266" s="1670"/>
      <c r="O266" s="1670"/>
      <c r="P266" s="1670"/>
      <c r="Q266" s="1670"/>
      <c r="R266" s="1670"/>
      <c r="S266" s="1670"/>
      <c r="T266" s="1670"/>
      <c r="U266" s="1670"/>
      <c r="V266" s="1670"/>
      <c r="W266" s="1670"/>
      <c r="X266" s="1670"/>
      <c r="Y266" s="1670"/>
      <c r="Z266" s="1670"/>
      <c r="AA266" s="1670"/>
      <c r="AB266" s="1670"/>
      <c r="AC266" s="1670"/>
      <c r="AD266" s="1670"/>
      <c r="AE266" s="1670"/>
      <c r="AG266" s="8"/>
      <c r="AH266" s="8"/>
      <c r="AI266" s="8"/>
      <c r="AJ266" s="8"/>
      <c r="AK266" s="8"/>
      <c r="AL266" s="72"/>
      <c r="BA266" s="75"/>
    </row>
    <row r="267" spans="1:53" ht="12.75">
      <c r="A267" s="33"/>
      <c r="B267" s="8"/>
      <c r="C267" s="147"/>
      <c r="D267" s="74" t="s">
        <v>696</v>
      </c>
      <c r="E267" s="8"/>
      <c r="F267" s="8"/>
      <c r="G267" s="8"/>
      <c r="H267" s="8"/>
      <c r="I267" s="8"/>
      <c r="J267" s="8"/>
      <c r="K267" s="8"/>
      <c r="L267" s="8"/>
      <c r="M267" s="1654" t="s">
        <v>85</v>
      </c>
      <c r="N267" s="1654"/>
      <c r="O267" s="1654"/>
      <c r="P267" s="1654"/>
      <c r="Q267" s="1654"/>
      <c r="R267" s="1654"/>
      <c r="S267" s="1654"/>
      <c r="T267" s="1654"/>
      <c r="U267" s="8" t="s">
        <v>1235</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1669" t="str">
        <f>BO245</f>
        <v>Nonprofit</v>
      </c>
      <c r="U269" s="1669"/>
      <c r="V269" s="1669"/>
      <c r="W269" s="1669"/>
      <c r="X269" s="1669"/>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1660" t="s">
        <v>972</v>
      </c>
      <c r="E272" s="1660"/>
      <c r="F272" s="1660"/>
      <c r="G272" s="1660"/>
      <c r="H272" s="1660"/>
      <c r="J272" s="16" t="s">
        <v>971</v>
      </c>
      <c r="X272" s="1846"/>
      <c r="Y272" s="1846"/>
      <c r="Z272" s="1846"/>
      <c r="AA272" s="1846"/>
      <c r="AB272" s="1846"/>
      <c r="AC272" s="1846"/>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1" customHeight="1">
      <c r="D276" s="71" t="s">
        <v>294</v>
      </c>
      <c r="E276" s="71"/>
      <c r="F276" s="71"/>
      <c r="G276" s="71"/>
      <c r="H276" s="71"/>
      <c r="I276" s="71"/>
      <c r="J276" s="71"/>
      <c r="K276" s="8"/>
      <c r="L276" s="1828" t="s">
        <v>2355</v>
      </c>
      <c r="M276" s="1668"/>
      <c r="N276" s="1668"/>
      <c r="O276" s="1668"/>
      <c r="P276" s="1668"/>
      <c r="Q276" s="1668"/>
      <c r="R276" s="1668"/>
      <c r="S276" s="1668"/>
      <c r="T276" s="1668"/>
      <c r="U276" s="1668"/>
      <c r="V276" s="1668"/>
      <c r="W276" s="1668"/>
      <c r="X276" s="1668"/>
      <c r="Y276" s="1668"/>
      <c r="Z276" s="1668"/>
      <c r="AA276" s="1668"/>
      <c r="AB276" s="1668"/>
      <c r="AC276" s="1668"/>
      <c r="AD276" s="1668"/>
      <c r="AE276" s="1668"/>
      <c r="AF276" s="1668"/>
      <c r="AG276" s="1668"/>
      <c r="AH276" s="1668"/>
      <c r="AI276" s="1668"/>
      <c r="AJ276" s="1668"/>
      <c r="AK276" s="72"/>
      <c r="AL276" s="72"/>
      <c r="BA276" s="75"/>
    </row>
    <row r="277" spans="1:53" ht="12.75" customHeight="1">
      <c r="D277" s="71" t="s">
        <v>412</v>
      </c>
      <c r="E277" s="71"/>
      <c r="F277" s="71"/>
      <c r="G277" s="71"/>
      <c r="H277" s="71"/>
      <c r="I277" s="71"/>
      <c r="J277" s="71"/>
      <c r="K277" s="8"/>
      <c r="L277" s="1659" t="s">
        <v>2351</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2.75">
      <c r="D278" s="71" t="s">
        <v>475</v>
      </c>
      <c r="E278" s="71"/>
      <c r="L278" s="1659" t="s">
        <v>124</v>
      </c>
      <c r="M278" s="1660"/>
      <c r="N278" s="1660"/>
      <c r="O278" s="1660"/>
      <c r="P278" s="1660"/>
      <c r="Q278" s="1660"/>
      <c r="R278" s="1660"/>
      <c r="S278" s="1660"/>
      <c r="U278" s="73" t="s">
        <v>413</v>
      </c>
      <c r="V278" s="1663" t="s">
        <v>2349</v>
      </c>
      <c r="W278" s="1665"/>
      <c r="X278" s="71" t="s">
        <v>478</v>
      </c>
      <c r="AB278" s="1660">
        <v>94108</v>
      </c>
      <c r="AC278" s="1660"/>
      <c r="AD278" s="1660"/>
      <c r="AK278" s="72"/>
      <c r="AL278" s="72"/>
      <c r="BA278" s="75"/>
    </row>
    <row r="279" spans="1:53" ht="12.75">
      <c r="D279" s="74" t="s">
        <v>414</v>
      </c>
      <c r="E279" s="8"/>
      <c r="F279" s="8"/>
      <c r="G279" s="8"/>
      <c r="H279" s="8"/>
      <c r="I279" s="8"/>
      <c r="J279" s="8"/>
      <c r="K279" s="39"/>
      <c r="L279" s="1659" t="s">
        <v>2352</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2.75">
      <c r="D280" s="74" t="s">
        <v>415</v>
      </c>
      <c r="E280" s="8"/>
      <c r="F280" s="8"/>
      <c r="L280" s="1656" t="s">
        <v>2353</v>
      </c>
      <c r="M280" s="1657"/>
      <c r="N280" s="1657"/>
      <c r="O280" s="1657"/>
      <c r="P280" s="1657"/>
      <c r="Q280" s="1657"/>
      <c r="R280" s="8" t="s">
        <v>891</v>
      </c>
      <c r="S280" s="8"/>
      <c r="T280" s="1663" t="s">
        <v>2343</v>
      </c>
      <c r="U280" s="1665"/>
      <c r="V280" s="1665"/>
      <c r="W280" s="8" t="s">
        <v>416</v>
      </c>
      <c r="Y280" s="1656" t="s">
        <v>2343</v>
      </c>
      <c r="Z280" s="1657"/>
      <c r="AA280" s="1657"/>
      <c r="AB280" s="1657"/>
      <c r="AC280" s="1657"/>
      <c r="AD280" s="1657"/>
      <c r="BA280" s="75"/>
    </row>
    <row r="281" spans="1:53" ht="12.75">
      <c r="D281" s="74" t="s">
        <v>417</v>
      </c>
      <c r="E281" s="8"/>
      <c r="F281" s="8"/>
      <c r="L281" s="1670" t="s">
        <v>2354</v>
      </c>
      <c r="M281" s="1670"/>
      <c r="N281" s="1670"/>
      <c r="O281" s="1670"/>
      <c r="P281" s="1670"/>
      <c r="Q281" s="1670"/>
      <c r="R281" s="1670"/>
      <c r="S281" s="1670"/>
      <c r="T281" s="1670"/>
      <c r="U281" s="1670"/>
      <c r="V281" s="1670"/>
      <c r="W281" s="1670"/>
      <c r="X281" s="1670"/>
      <c r="Y281" s="1670"/>
      <c r="Z281" s="1670"/>
      <c r="AA281" s="1670"/>
      <c r="AB281" s="1670"/>
      <c r="AC281" s="1670"/>
      <c r="AD281" s="1670"/>
      <c r="AF281" s="8"/>
      <c r="AG281" s="8"/>
      <c r="AH281" s="8"/>
      <c r="AI281" s="8"/>
      <c r="AJ281" s="8"/>
      <c r="BA281" s="75"/>
    </row>
    <row r="282" spans="1:53" ht="12.75">
      <c r="D282" s="72" t="s">
        <v>201</v>
      </c>
      <c r="E282" s="72"/>
      <c r="F282" s="72"/>
      <c r="G282" s="72"/>
      <c r="H282" s="72"/>
      <c r="I282" s="72"/>
      <c r="L282" s="1663" t="s">
        <v>2358</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2.75">
      <c r="L283" s="46" t="s">
        <v>202</v>
      </c>
      <c r="BA283" s="75"/>
    </row>
    <row r="284" spans="1:53" ht="12.75">
      <c r="A284" s="1666" t="s">
        <v>541</v>
      </c>
      <c r="B284" s="1666"/>
      <c r="C284" s="1666"/>
      <c r="D284" s="1666"/>
      <c r="E284" s="1666"/>
      <c r="F284" s="1666"/>
      <c r="G284" s="1666"/>
      <c r="H284" s="1666"/>
      <c r="I284" s="1666"/>
      <c r="J284" s="1666"/>
      <c r="K284" s="1666"/>
      <c r="L284" s="1666"/>
      <c r="M284" s="1666"/>
      <c r="N284" s="1666"/>
      <c r="O284" s="1666"/>
      <c r="P284" s="1666"/>
      <c r="Q284" s="1666"/>
      <c r="R284" s="1666"/>
      <c r="S284" s="1666"/>
      <c r="T284" s="1666"/>
      <c r="U284" s="1666"/>
      <c r="V284" s="1666"/>
      <c r="W284" s="1666"/>
      <c r="X284" s="1666"/>
      <c r="Y284" s="1666"/>
      <c r="Z284" s="1666"/>
      <c r="AA284" s="1666"/>
      <c r="AB284" s="1666"/>
      <c r="AC284" s="1666"/>
      <c r="AD284" s="1666"/>
      <c r="AE284" s="1666"/>
      <c r="AF284" s="1666"/>
      <c r="AG284" s="1666"/>
      <c r="AH284" s="1666"/>
      <c r="AI284" s="1666"/>
      <c r="AJ284" s="1666"/>
      <c r="AK284" s="1666"/>
      <c r="AL284" s="1666"/>
      <c r="BA284" s="75"/>
    </row>
    <row r="285" spans="1:53" ht="13.5" thickBot="1">
      <c r="A285" s="1667"/>
      <c r="B285" s="1667"/>
      <c r="C285" s="1667"/>
      <c r="D285" s="1667"/>
      <c r="E285" s="1667"/>
      <c r="F285" s="1667"/>
      <c r="G285" s="1667"/>
      <c r="H285" s="1667"/>
      <c r="I285" s="1667"/>
      <c r="J285" s="1667"/>
      <c r="K285" s="1667"/>
      <c r="L285" s="1667"/>
      <c r="M285" s="1667"/>
      <c r="N285" s="1667"/>
      <c r="O285" s="1667"/>
      <c r="P285" s="1667"/>
      <c r="Q285" s="1667"/>
      <c r="R285" s="1667"/>
      <c r="S285" s="1667"/>
      <c r="T285" s="1667"/>
      <c r="U285" s="1667"/>
      <c r="V285" s="1667"/>
      <c r="W285" s="1667"/>
      <c r="X285" s="1667"/>
      <c r="Y285" s="1667"/>
      <c r="Z285" s="1667"/>
      <c r="AA285" s="1667"/>
      <c r="AB285" s="1667"/>
      <c r="AC285" s="1667"/>
      <c r="AD285" s="1667"/>
      <c r="AE285" s="1667"/>
      <c r="AF285" s="1667"/>
      <c r="AG285" s="1667"/>
      <c r="AH285" s="1667"/>
      <c r="AI285" s="1667"/>
      <c r="AJ285" s="1667"/>
      <c r="AK285" s="1667"/>
      <c r="AL285" s="166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2" t="s">
        <v>2355</v>
      </c>
      <c r="I289" s="1662"/>
      <c r="J289" s="1662"/>
      <c r="K289" s="1662"/>
      <c r="L289" s="1662"/>
      <c r="M289" s="1662"/>
      <c r="N289" s="1662"/>
      <c r="O289" s="1662"/>
      <c r="P289" s="1662"/>
      <c r="Q289" s="1662"/>
      <c r="R289" s="1662"/>
      <c r="T289" s="72" t="s">
        <v>807</v>
      </c>
      <c r="V289" s="72"/>
      <c r="W289" s="72"/>
      <c r="X289" s="72"/>
      <c r="Y289" s="72"/>
      <c r="AA289" s="1659" t="s">
        <v>2460</v>
      </c>
      <c r="AB289" s="1662"/>
      <c r="AC289" s="1662"/>
      <c r="AD289" s="1662"/>
      <c r="AE289" s="1662"/>
      <c r="AF289" s="1662"/>
      <c r="AG289" s="1662"/>
      <c r="AH289" s="1662"/>
      <c r="AI289" s="1662"/>
      <c r="AJ289" s="1662"/>
      <c r="AK289" s="1662"/>
      <c r="BA289" s="75"/>
    </row>
    <row r="290" spans="2:53" ht="12.75">
      <c r="B290" s="72" t="s">
        <v>760</v>
      </c>
      <c r="C290" s="72"/>
      <c r="D290" s="72"/>
      <c r="E290" s="72"/>
      <c r="F290" s="72"/>
      <c r="H290" s="1654" t="s">
        <v>2351</v>
      </c>
      <c r="I290" s="1654"/>
      <c r="J290" s="1654"/>
      <c r="K290" s="1654"/>
      <c r="L290" s="1654"/>
      <c r="M290" s="1654"/>
      <c r="N290" s="1654"/>
      <c r="O290" s="1654"/>
      <c r="P290" s="1654"/>
      <c r="Q290" s="1654"/>
      <c r="R290" s="1654"/>
      <c r="T290" s="72" t="s">
        <v>760</v>
      </c>
      <c r="V290" s="72"/>
      <c r="W290" s="72"/>
      <c r="X290" s="72"/>
      <c r="Y290" s="72"/>
      <c r="AA290" s="1654" t="s">
        <v>2384</v>
      </c>
      <c r="AB290" s="1654"/>
      <c r="AC290" s="1654"/>
      <c r="AD290" s="1654"/>
      <c r="AE290" s="1654"/>
      <c r="AF290" s="1654"/>
      <c r="AG290" s="1654"/>
      <c r="AH290" s="1654"/>
      <c r="AI290" s="1654"/>
      <c r="AJ290" s="1654"/>
      <c r="AK290" s="1654"/>
      <c r="BA290" s="75"/>
    </row>
    <row r="291" spans="2:53" ht="12.75">
      <c r="B291" s="72" t="s">
        <v>762</v>
      </c>
      <c r="C291" s="72"/>
      <c r="D291" s="72"/>
      <c r="E291" s="72"/>
      <c r="F291" s="72"/>
      <c r="H291" s="1654" t="s">
        <v>2359</v>
      </c>
      <c r="I291" s="1654"/>
      <c r="J291" s="1654"/>
      <c r="K291" s="1654"/>
      <c r="L291" s="1654"/>
      <c r="M291" s="1654"/>
      <c r="N291" s="1654"/>
      <c r="O291" s="1654"/>
      <c r="P291" s="1654"/>
      <c r="Q291" s="1654"/>
      <c r="R291" s="1654"/>
      <c r="T291" s="72" t="s">
        <v>761</v>
      </c>
      <c r="V291" s="72"/>
      <c r="W291" s="72"/>
      <c r="X291" s="72"/>
      <c r="Y291" s="72"/>
      <c r="AA291" s="1654" t="s">
        <v>2385</v>
      </c>
      <c r="AB291" s="1654"/>
      <c r="AC291" s="1654"/>
      <c r="AD291" s="1654"/>
      <c r="AE291" s="1654"/>
      <c r="AF291" s="1654"/>
      <c r="AG291" s="1654"/>
      <c r="AH291" s="1654"/>
      <c r="AI291" s="1654"/>
      <c r="AJ291" s="1654"/>
      <c r="AK291" s="1654"/>
      <c r="BA291" s="75"/>
    </row>
    <row r="292" spans="2:53" ht="12.75">
      <c r="B292" s="72" t="s">
        <v>414</v>
      </c>
      <c r="C292" s="72"/>
      <c r="D292" s="72"/>
      <c r="E292" s="72"/>
      <c r="F292" s="72"/>
      <c r="H292" s="1654" t="s">
        <v>2352</v>
      </c>
      <c r="I292" s="1654"/>
      <c r="J292" s="1654"/>
      <c r="K292" s="1654"/>
      <c r="L292" s="1654"/>
      <c r="M292" s="1654"/>
      <c r="N292" s="1654"/>
      <c r="O292" s="1654"/>
      <c r="P292" s="1654"/>
      <c r="Q292" s="1654"/>
      <c r="R292" s="1654"/>
      <c r="T292" s="72" t="s">
        <v>414</v>
      </c>
      <c r="V292" s="72"/>
      <c r="W292" s="72"/>
      <c r="X292" s="72"/>
      <c r="Y292" s="72"/>
      <c r="AA292" s="1654" t="s">
        <v>2386</v>
      </c>
      <c r="AB292" s="1654"/>
      <c r="AC292" s="1654"/>
      <c r="AD292" s="1654"/>
      <c r="AE292" s="1654"/>
      <c r="AF292" s="1654"/>
      <c r="AG292" s="1654"/>
      <c r="AH292" s="1654"/>
      <c r="AI292" s="1654"/>
      <c r="AJ292" s="1654"/>
      <c r="AK292" s="1654"/>
      <c r="BA292" s="75"/>
    </row>
    <row r="293" spans="2:53" ht="12.75" customHeight="1">
      <c r="B293" s="72" t="s">
        <v>415</v>
      </c>
      <c r="C293" s="72"/>
      <c r="D293" s="72"/>
      <c r="E293" s="72"/>
      <c r="F293" s="72"/>
      <c r="G293" s="72"/>
      <c r="H293" s="1664" t="s">
        <v>2353</v>
      </c>
      <c r="I293" s="1655"/>
      <c r="J293" s="1655"/>
      <c r="K293" s="1655"/>
      <c r="L293" s="1655"/>
      <c r="M293" s="1655"/>
      <c r="N293" s="8" t="s">
        <v>891</v>
      </c>
      <c r="O293" s="8"/>
      <c r="P293" s="1659" t="s">
        <v>2343</v>
      </c>
      <c r="Q293" s="1660"/>
      <c r="R293" s="1660"/>
      <c r="S293" s="72"/>
      <c r="T293" s="72" t="s">
        <v>415</v>
      </c>
      <c r="V293" s="72"/>
      <c r="W293" s="72"/>
      <c r="X293" s="72"/>
      <c r="Y293" s="72"/>
      <c r="AA293" s="1664" t="s">
        <v>2387</v>
      </c>
      <c r="AB293" s="1655"/>
      <c r="AC293" s="1655"/>
      <c r="AD293" s="1655"/>
      <c r="AE293" s="1655"/>
      <c r="AF293" s="1655"/>
      <c r="AG293" s="8" t="s">
        <v>891</v>
      </c>
      <c r="AH293" s="8"/>
      <c r="AI293" s="1659" t="s">
        <v>2343</v>
      </c>
      <c r="AJ293" s="1660"/>
      <c r="AK293" s="1660"/>
      <c r="BA293" s="75"/>
    </row>
    <row r="294" spans="2:53" ht="12.75">
      <c r="B294" s="72" t="s">
        <v>416</v>
      </c>
      <c r="C294" s="72"/>
      <c r="D294" s="72"/>
      <c r="E294" s="72"/>
      <c r="F294" s="72"/>
      <c r="G294" s="72"/>
      <c r="H294" s="1656" t="s">
        <v>2343</v>
      </c>
      <c r="I294" s="1657"/>
      <c r="J294" s="1657"/>
      <c r="K294" s="1657"/>
      <c r="L294" s="1657"/>
      <c r="M294" s="1657"/>
      <c r="N294" s="74"/>
      <c r="O294" s="74"/>
      <c r="P294" s="76"/>
      <c r="Q294" s="76"/>
      <c r="R294" s="76"/>
      <c r="S294" s="72"/>
      <c r="T294" s="72" t="s">
        <v>416</v>
      </c>
      <c r="V294" s="72"/>
      <c r="W294" s="72"/>
      <c r="X294" s="72"/>
      <c r="Y294" s="72"/>
      <c r="AA294" s="1656" t="s">
        <v>2343</v>
      </c>
      <c r="AB294" s="1657"/>
      <c r="AC294" s="1657"/>
      <c r="AD294" s="1657"/>
      <c r="AE294" s="1657"/>
      <c r="AF294" s="1657"/>
      <c r="AG294" s="74"/>
      <c r="AH294" s="74"/>
      <c r="AI294" s="76"/>
      <c r="AJ294" s="76"/>
      <c r="AK294" s="76"/>
      <c r="BA294" s="75"/>
    </row>
    <row r="295" spans="2:53" ht="12.75">
      <c r="B295" s="72" t="s">
        <v>763</v>
      </c>
      <c r="C295" s="72"/>
      <c r="D295" s="72"/>
      <c r="E295" s="72"/>
      <c r="F295" s="72"/>
      <c r="G295" s="72"/>
      <c r="H295" s="1654" t="s">
        <v>2354</v>
      </c>
      <c r="I295" s="1654"/>
      <c r="J295" s="1654"/>
      <c r="K295" s="1654"/>
      <c r="L295" s="1654"/>
      <c r="M295" s="1654"/>
      <c r="N295" s="1662"/>
      <c r="O295" s="1662"/>
      <c r="P295" s="1662"/>
      <c r="Q295" s="1662"/>
      <c r="R295" s="1662"/>
      <c r="S295" s="72"/>
      <c r="T295" s="72" t="s">
        <v>763</v>
      </c>
      <c r="V295" s="72"/>
      <c r="W295" s="72"/>
      <c r="X295" s="72"/>
      <c r="Y295" s="72"/>
      <c r="AA295" s="1654" t="s">
        <v>2388</v>
      </c>
      <c r="AB295" s="1654"/>
      <c r="AC295" s="1654"/>
      <c r="AD295" s="1654"/>
      <c r="AE295" s="1654"/>
      <c r="AF295" s="1654"/>
      <c r="AG295" s="1662"/>
      <c r="AH295" s="1662"/>
      <c r="AI295" s="1662"/>
      <c r="AJ295" s="1662"/>
      <c r="AK295" s="166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662" t="s">
        <v>2360</v>
      </c>
      <c r="I297" s="1662"/>
      <c r="J297" s="1662"/>
      <c r="K297" s="1662"/>
      <c r="L297" s="1662"/>
      <c r="M297" s="1662"/>
      <c r="N297" s="1662"/>
      <c r="O297" s="1662"/>
      <c r="P297" s="1662"/>
      <c r="Q297" s="1662"/>
      <c r="R297" s="1662"/>
      <c r="T297" s="72" t="s">
        <v>40</v>
      </c>
      <c r="V297" s="72"/>
      <c r="W297" s="72"/>
      <c r="X297" s="72"/>
      <c r="Y297" s="72"/>
      <c r="AA297" s="1662" t="s">
        <v>2389</v>
      </c>
      <c r="AB297" s="1662"/>
      <c r="AC297" s="1662"/>
      <c r="AD297" s="1662"/>
      <c r="AE297" s="1662"/>
      <c r="AF297" s="1662"/>
      <c r="AG297" s="1662"/>
      <c r="AH297" s="1662"/>
      <c r="AI297" s="1662"/>
      <c r="AJ297" s="1662"/>
      <c r="AK297" s="1662"/>
      <c r="BA297" s="75"/>
    </row>
    <row r="298" spans="2:53" ht="12.75">
      <c r="B298" s="72" t="s">
        <v>760</v>
      </c>
      <c r="C298" s="72"/>
      <c r="D298" s="72"/>
      <c r="E298" s="72"/>
      <c r="F298" s="72"/>
      <c r="H298" s="1654" t="s">
        <v>2361</v>
      </c>
      <c r="I298" s="1654"/>
      <c r="J298" s="1654"/>
      <c r="K298" s="1654"/>
      <c r="L298" s="1654"/>
      <c r="M298" s="1654"/>
      <c r="N298" s="1654"/>
      <c r="O298" s="1654"/>
      <c r="P298" s="1654"/>
      <c r="Q298" s="1654"/>
      <c r="R298" s="1654"/>
      <c r="T298" s="72" t="s">
        <v>760</v>
      </c>
      <c r="V298" s="72"/>
      <c r="W298" s="72"/>
      <c r="X298" s="72"/>
      <c r="Y298" s="72"/>
      <c r="AA298" s="1654"/>
      <c r="AB298" s="1654"/>
      <c r="AC298" s="1654"/>
      <c r="AD298" s="1654"/>
      <c r="AE298" s="1654"/>
      <c r="AF298" s="1654"/>
      <c r="AG298" s="1654"/>
      <c r="AH298" s="1654"/>
      <c r="AI298" s="1654"/>
      <c r="AJ298" s="1654"/>
      <c r="AK298" s="1654"/>
      <c r="BA298" s="75"/>
    </row>
    <row r="299" spans="2:53" ht="12.75">
      <c r="B299" s="72" t="s">
        <v>762</v>
      </c>
      <c r="C299" s="72"/>
      <c r="D299" s="72"/>
      <c r="E299" s="72"/>
      <c r="F299" s="72"/>
      <c r="H299" s="1654" t="s">
        <v>2362</v>
      </c>
      <c r="I299" s="1654"/>
      <c r="J299" s="1654"/>
      <c r="K299" s="1654"/>
      <c r="L299" s="1654"/>
      <c r="M299" s="1654"/>
      <c r="N299" s="1654"/>
      <c r="O299" s="1654"/>
      <c r="P299" s="1654"/>
      <c r="Q299" s="1654"/>
      <c r="R299" s="1654"/>
      <c r="T299" s="72" t="s">
        <v>761</v>
      </c>
      <c r="V299" s="72"/>
      <c r="W299" s="72"/>
      <c r="X299" s="72"/>
      <c r="Y299" s="72"/>
      <c r="AA299" s="1654"/>
      <c r="AB299" s="1654"/>
      <c r="AC299" s="1654"/>
      <c r="AD299" s="1654"/>
      <c r="AE299" s="1654"/>
      <c r="AF299" s="1654"/>
      <c r="AG299" s="1654"/>
      <c r="AH299" s="1654"/>
      <c r="AI299" s="1654"/>
      <c r="AJ299" s="1654"/>
      <c r="AK299" s="1654"/>
      <c r="BA299" s="75"/>
    </row>
    <row r="300" spans="2:53" ht="12.75">
      <c r="B300" s="72" t="s">
        <v>414</v>
      </c>
      <c r="C300" s="72"/>
      <c r="D300" s="72"/>
      <c r="E300" s="72"/>
      <c r="F300" s="72"/>
      <c r="H300" s="1654" t="s">
        <v>2363</v>
      </c>
      <c r="I300" s="1654"/>
      <c r="J300" s="1654"/>
      <c r="K300" s="1654"/>
      <c r="L300" s="1654"/>
      <c r="M300" s="1654"/>
      <c r="N300" s="1654"/>
      <c r="O300" s="1654"/>
      <c r="P300" s="1654"/>
      <c r="Q300" s="1654"/>
      <c r="R300" s="1654"/>
      <c r="T300" s="72" t="s">
        <v>414</v>
      </c>
      <c r="V300" s="72"/>
      <c r="W300" s="72"/>
      <c r="X300" s="72"/>
      <c r="Y300" s="72"/>
      <c r="AA300" s="1654"/>
      <c r="AB300" s="1654"/>
      <c r="AC300" s="1654"/>
      <c r="AD300" s="1654"/>
      <c r="AE300" s="1654"/>
      <c r="AF300" s="1654"/>
      <c r="AG300" s="1654"/>
      <c r="AH300" s="1654"/>
      <c r="AI300" s="1654"/>
      <c r="AJ300" s="1654"/>
      <c r="AK300" s="1654"/>
      <c r="BA300" s="75"/>
    </row>
    <row r="301" spans="2:53" ht="12.75" customHeight="1">
      <c r="B301" s="72" t="s">
        <v>415</v>
      </c>
      <c r="C301" s="72"/>
      <c r="D301" s="72"/>
      <c r="E301" s="72"/>
      <c r="F301" s="72"/>
      <c r="G301" s="72"/>
      <c r="H301" s="1664" t="s">
        <v>2364</v>
      </c>
      <c r="I301" s="1655"/>
      <c r="J301" s="1655"/>
      <c r="K301" s="1655"/>
      <c r="L301" s="1655"/>
      <c r="M301" s="1655"/>
      <c r="N301" s="8" t="s">
        <v>891</v>
      </c>
      <c r="O301" s="8"/>
      <c r="P301" s="1659" t="s">
        <v>2343</v>
      </c>
      <c r="Q301" s="1660"/>
      <c r="R301" s="1660"/>
      <c r="S301" s="72"/>
      <c r="T301" s="72" t="s">
        <v>415</v>
      </c>
      <c r="V301" s="72"/>
      <c r="W301" s="72"/>
      <c r="X301" s="72"/>
      <c r="Y301" s="72"/>
      <c r="AA301" s="1655"/>
      <c r="AB301" s="1655"/>
      <c r="AC301" s="1655"/>
      <c r="AD301" s="1655"/>
      <c r="AE301" s="1655"/>
      <c r="AF301" s="1655"/>
      <c r="AG301" s="8" t="s">
        <v>891</v>
      </c>
      <c r="AH301" s="8"/>
      <c r="AI301" s="1660"/>
      <c r="AJ301" s="1660"/>
      <c r="AK301" s="1660"/>
      <c r="BA301" s="75"/>
    </row>
    <row r="302" spans="2:53" ht="12.75">
      <c r="B302" s="72" t="s">
        <v>416</v>
      </c>
      <c r="C302" s="72"/>
      <c r="D302" s="72"/>
      <c r="E302" s="72"/>
      <c r="F302" s="72"/>
      <c r="G302" s="72"/>
      <c r="H302" s="1656" t="s">
        <v>2343</v>
      </c>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2.75">
      <c r="B303" s="72" t="s">
        <v>763</v>
      </c>
      <c r="C303" s="72"/>
      <c r="D303" s="72"/>
      <c r="E303" s="72"/>
      <c r="F303" s="72"/>
      <c r="G303" s="72"/>
      <c r="H303" s="1654" t="s">
        <v>2365</v>
      </c>
      <c r="I303" s="1654"/>
      <c r="J303" s="1654"/>
      <c r="K303" s="1654"/>
      <c r="L303" s="1654"/>
      <c r="M303" s="1654"/>
      <c r="N303" s="1662"/>
      <c r="O303" s="1662"/>
      <c r="P303" s="1662"/>
      <c r="Q303" s="1662"/>
      <c r="R303" s="1662"/>
      <c r="S303" s="72"/>
      <c r="T303" s="72" t="s">
        <v>763</v>
      </c>
      <c r="V303" s="72"/>
      <c r="W303" s="72"/>
      <c r="X303" s="72"/>
      <c r="Y303" s="72"/>
      <c r="AA303" s="1654"/>
      <c r="AB303" s="1654"/>
      <c r="AC303" s="1654"/>
      <c r="AD303" s="1654"/>
      <c r="AE303" s="1654"/>
      <c r="AF303" s="1654"/>
      <c r="AG303" s="1662"/>
      <c r="AH303" s="1662"/>
      <c r="AI303" s="1662"/>
      <c r="AJ303" s="1662"/>
      <c r="AK303" s="1662"/>
      <c r="BA303" s="75"/>
    </row>
    <row r="304" spans="2:53" ht="12.75">
      <c r="BA304" s="75"/>
    </row>
    <row r="305" spans="1:53" ht="12.75" customHeight="1">
      <c r="B305" s="72" t="s">
        <v>764</v>
      </c>
      <c r="C305" s="72"/>
      <c r="D305" s="72"/>
      <c r="E305" s="72"/>
      <c r="F305" s="72"/>
      <c r="H305" s="1662" t="s">
        <v>2360</v>
      </c>
      <c r="I305" s="1662"/>
      <c r="J305" s="1662"/>
      <c r="K305" s="1662"/>
      <c r="L305" s="1662"/>
      <c r="M305" s="1662"/>
      <c r="N305" s="1662"/>
      <c r="O305" s="1662"/>
      <c r="P305" s="1662"/>
      <c r="Q305" s="1662"/>
      <c r="R305" s="1662"/>
      <c r="T305" s="8" t="s">
        <v>1192</v>
      </c>
      <c r="V305" s="72"/>
      <c r="W305" s="72"/>
      <c r="X305" s="72"/>
      <c r="Y305" s="72"/>
      <c r="AA305" s="1662" t="s">
        <v>2389</v>
      </c>
      <c r="AB305" s="1662"/>
      <c r="AC305" s="1662"/>
      <c r="AD305" s="1662"/>
      <c r="AE305" s="1662"/>
      <c r="AF305" s="1662"/>
      <c r="AG305" s="1662"/>
      <c r="AH305" s="1662"/>
      <c r="AI305" s="1662"/>
      <c r="AJ305" s="1662"/>
      <c r="AK305" s="1662"/>
      <c r="BA305" s="75"/>
    </row>
    <row r="306" spans="1:53" ht="12.75" customHeight="1">
      <c r="B306" s="72" t="s">
        <v>760</v>
      </c>
      <c r="C306" s="72"/>
      <c r="D306" s="72"/>
      <c r="E306" s="72"/>
      <c r="F306" s="72"/>
      <c r="H306" s="1654" t="s">
        <v>2361</v>
      </c>
      <c r="I306" s="1654"/>
      <c r="J306" s="1654"/>
      <c r="K306" s="1654"/>
      <c r="L306" s="1654"/>
      <c r="M306" s="1654"/>
      <c r="N306" s="1654"/>
      <c r="O306" s="1654"/>
      <c r="P306" s="1654"/>
      <c r="Q306" s="1654"/>
      <c r="R306" s="1654"/>
      <c r="T306" s="72" t="s">
        <v>760</v>
      </c>
      <c r="V306" s="72"/>
      <c r="W306" s="72"/>
      <c r="X306" s="72"/>
      <c r="Y306" s="72"/>
      <c r="AA306" s="1654"/>
      <c r="AB306" s="1654"/>
      <c r="AC306" s="1654"/>
      <c r="AD306" s="1654"/>
      <c r="AE306" s="1654"/>
      <c r="AF306" s="1654"/>
      <c r="AG306" s="1654"/>
      <c r="AH306" s="1654"/>
      <c r="AI306" s="1654"/>
      <c r="AJ306" s="1654"/>
      <c r="AK306" s="1654"/>
      <c r="BA306" s="75"/>
    </row>
    <row r="307" spans="1:53" ht="12.75" customHeight="1">
      <c r="B307" s="72" t="s">
        <v>762</v>
      </c>
      <c r="C307" s="72"/>
      <c r="D307" s="72"/>
      <c r="E307" s="72"/>
      <c r="F307" s="72"/>
      <c r="H307" s="1654" t="s">
        <v>2362</v>
      </c>
      <c r="I307" s="1654"/>
      <c r="J307" s="1654"/>
      <c r="K307" s="1654"/>
      <c r="L307" s="1654"/>
      <c r="M307" s="1654"/>
      <c r="N307" s="1654"/>
      <c r="O307" s="1654"/>
      <c r="P307" s="1654"/>
      <c r="Q307" s="1654"/>
      <c r="R307" s="1654"/>
      <c r="T307" s="72" t="s">
        <v>761</v>
      </c>
      <c r="V307" s="72"/>
      <c r="W307" s="72"/>
      <c r="X307" s="72"/>
      <c r="Y307" s="72"/>
      <c r="AA307" s="1654"/>
      <c r="AB307" s="1654"/>
      <c r="AC307" s="1654"/>
      <c r="AD307" s="1654"/>
      <c r="AE307" s="1654"/>
      <c r="AF307" s="1654"/>
      <c r="AG307" s="1654"/>
      <c r="AH307" s="1654"/>
      <c r="AI307" s="1654"/>
      <c r="AJ307" s="1654"/>
      <c r="AK307" s="1654"/>
      <c r="BA307" s="75"/>
    </row>
    <row r="308" spans="1:53" ht="12.75" customHeight="1">
      <c r="B308" s="72" t="s">
        <v>414</v>
      </c>
      <c r="C308" s="72"/>
      <c r="D308" s="72"/>
      <c r="E308" s="72"/>
      <c r="F308" s="72"/>
      <c r="H308" s="1654" t="s">
        <v>2363</v>
      </c>
      <c r="I308" s="1654"/>
      <c r="J308" s="1654"/>
      <c r="K308" s="1654"/>
      <c r="L308" s="1654"/>
      <c r="M308" s="1654"/>
      <c r="N308" s="1654"/>
      <c r="O308" s="1654"/>
      <c r="P308" s="1654"/>
      <c r="Q308" s="1654"/>
      <c r="R308" s="1654"/>
      <c r="T308" s="72" t="s">
        <v>414</v>
      </c>
      <c r="V308" s="72"/>
      <c r="W308" s="72"/>
      <c r="X308" s="72"/>
      <c r="Y308" s="72"/>
      <c r="AA308" s="1654"/>
      <c r="AB308" s="1654"/>
      <c r="AC308" s="1654"/>
      <c r="AD308" s="1654"/>
      <c r="AE308" s="1654"/>
      <c r="AF308" s="1654"/>
      <c r="AG308" s="1654"/>
      <c r="AH308" s="1654"/>
      <c r="AI308" s="1654"/>
      <c r="AJ308" s="1654"/>
      <c r="AK308" s="1654"/>
      <c r="BA308" s="75"/>
    </row>
    <row r="309" spans="1:53" ht="12.75">
      <c r="B309" s="72" t="s">
        <v>415</v>
      </c>
      <c r="C309" s="72"/>
      <c r="D309" s="72"/>
      <c r="E309" s="72"/>
      <c r="F309" s="72"/>
      <c r="G309" s="72"/>
      <c r="H309" s="1664" t="s">
        <v>2364</v>
      </c>
      <c r="I309" s="1655"/>
      <c r="J309" s="1655"/>
      <c r="K309" s="1655"/>
      <c r="L309" s="1655"/>
      <c r="M309" s="1655"/>
      <c r="N309" s="8" t="s">
        <v>891</v>
      </c>
      <c r="O309" s="8"/>
      <c r="P309" s="1659" t="s">
        <v>2343</v>
      </c>
      <c r="Q309" s="1660"/>
      <c r="R309" s="1660"/>
      <c r="S309" s="72"/>
      <c r="T309" s="72" t="s">
        <v>415</v>
      </c>
      <c r="V309" s="72"/>
      <c r="W309" s="72"/>
      <c r="X309" s="72"/>
      <c r="Y309" s="72"/>
      <c r="AA309" s="1655"/>
      <c r="AB309" s="1655"/>
      <c r="AC309" s="1655"/>
      <c r="AD309" s="1655"/>
      <c r="AE309" s="1655"/>
      <c r="AF309" s="1655"/>
      <c r="AG309" s="8" t="s">
        <v>891</v>
      </c>
      <c r="AH309" s="8"/>
      <c r="AI309" s="1660"/>
      <c r="AJ309" s="1660"/>
      <c r="AK309" s="1660"/>
      <c r="BA309" s="75"/>
    </row>
    <row r="310" spans="1:53" ht="12.75">
      <c r="B310" s="72" t="s">
        <v>416</v>
      </c>
      <c r="C310" s="72"/>
      <c r="D310" s="72"/>
      <c r="E310" s="72"/>
      <c r="F310" s="72"/>
      <c r="G310" s="72"/>
      <c r="H310" s="1656" t="s">
        <v>2343</v>
      </c>
      <c r="I310" s="1657"/>
      <c r="J310" s="1657"/>
      <c r="K310" s="1657"/>
      <c r="L310" s="1657"/>
      <c r="M310" s="1657"/>
      <c r="N310" s="74"/>
      <c r="O310" s="74"/>
      <c r="P310" s="76"/>
      <c r="Q310" s="76"/>
      <c r="R310" s="76"/>
      <c r="S310" s="72"/>
      <c r="T310" s="72" t="s">
        <v>416</v>
      </c>
      <c r="V310" s="72"/>
      <c r="W310" s="72"/>
      <c r="X310" s="72"/>
      <c r="Y310" s="72"/>
      <c r="AA310" s="1657"/>
      <c r="AB310" s="1657"/>
      <c r="AC310" s="1657"/>
      <c r="AD310" s="1657"/>
      <c r="AE310" s="1657"/>
      <c r="AF310" s="1657"/>
      <c r="AG310" s="74"/>
      <c r="AH310" s="74"/>
      <c r="AI310" s="76"/>
      <c r="AJ310" s="76"/>
      <c r="AK310" s="76"/>
      <c r="BA310" s="75"/>
    </row>
    <row r="311" spans="1:53" ht="12.75">
      <c r="B311" s="72" t="s">
        <v>763</v>
      </c>
      <c r="C311" s="72"/>
      <c r="D311" s="72"/>
      <c r="E311" s="72"/>
      <c r="F311" s="72"/>
      <c r="G311" s="72"/>
      <c r="H311" s="1654" t="s">
        <v>2365</v>
      </c>
      <c r="I311" s="1654"/>
      <c r="J311" s="1654"/>
      <c r="K311" s="1654"/>
      <c r="L311" s="1654"/>
      <c r="M311" s="1654"/>
      <c r="N311" s="1662"/>
      <c r="O311" s="1662"/>
      <c r="P311" s="1662"/>
      <c r="Q311" s="1662"/>
      <c r="R311" s="1662"/>
      <c r="S311" s="72"/>
      <c r="T311" s="72" t="s">
        <v>763</v>
      </c>
      <c r="V311" s="72"/>
      <c r="W311" s="72"/>
      <c r="X311" s="72"/>
      <c r="Y311" s="72"/>
      <c r="AA311" s="1654"/>
      <c r="AB311" s="1654"/>
      <c r="AC311" s="1654"/>
      <c r="AD311" s="1654"/>
      <c r="AE311" s="1654"/>
      <c r="AF311" s="1654"/>
      <c r="AG311" s="1662"/>
      <c r="AH311" s="1662"/>
      <c r="AI311" s="1662"/>
      <c r="AJ311" s="1662"/>
      <c r="AK311" s="1662"/>
      <c r="BA311" s="75"/>
    </row>
    <row r="312" spans="1:53" ht="12.75">
      <c r="BA312" s="75"/>
    </row>
    <row r="313" spans="1:53" ht="12.75">
      <c r="B313" s="8" t="s">
        <v>1237</v>
      </c>
      <c r="C313" s="72"/>
      <c r="D313" s="72"/>
      <c r="E313" s="72"/>
      <c r="F313" s="72"/>
      <c r="H313" s="1662" t="s">
        <v>2366</v>
      </c>
      <c r="I313" s="1662"/>
      <c r="J313" s="1662"/>
      <c r="K313" s="1662"/>
      <c r="L313" s="1662"/>
      <c r="M313" s="1662"/>
      <c r="N313" s="1662"/>
      <c r="O313" s="1662"/>
      <c r="P313" s="1662"/>
      <c r="Q313" s="1662"/>
      <c r="R313" s="1662"/>
      <c r="T313" s="72" t="s">
        <v>41</v>
      </c>
      <c r="V313" s="72"/>
      <c r="W313" s="72"/>
      <c r="X313" s="72"/>
      <c r="Y313" s="72"/>
      <c r="AA313" s="1662" t="s">
        <v>2389</v>
      </c>
      <c r="AB313" s="1662"/>
      <c r="AC313" s="1662"/>
      <c r="AD313" s="1662"/>
      <c r="AE313" s="1662"/>
      <c r="AF313" s="1662"/>
      <c r="AG313" s="1662"/>
      <c r="AH313" s="1662"/>
      <c r="AI313" s="1662"/>
      <c r="AJ313" s="1662"/>
      <c r="AK313" s="1662"/>
      <c r="BA313" s="75"/>
    </row>
    <row r="314" spans="1:53" ht="12.75">
      <c r="B314" s="72" t="s">
        <v>760</v>
      </c>
      <c r="C314" s="72"/>
      <c r="D314" s="72"/>
      <c r="E314" s="72"/>
      <c r="F314" s="72"/>
      <c r="H314" s="1654" t="s">
        <v>2367</v>
      </c>
      <c r="I314" s="1654"/>
      <c r="J314" s="1654"/>
      <c r="K314" s="1654"/>
      <c r="L314" s="1654"/>
      <c r="M314" s="1654"/>
      <c r="N314" s="1654"/>
      <c r="O314" s="1654"/>
      <c r="P314" s="1654"/>
      <c r="Q314" s="1654"/>
      <c r="R314" s="1654"/>
      <c r="T314" s="72" t="s">
        <v>760</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762</v>
      </c>
      <c r="C315" s="72"/>
      <c r="D315" s="72"/>
      <c r="E315" s="72"/>
      <c r="F315" s="72"/>
      <c r="H315" s="1654" t="s">
        <v>2368</v>
      </c>
      <c r="I315" s="1654"/>
      <c r="J315" s="1654"/>
      <c r="K315" s="1654"/>
      <c r="L315" s="1654"/>
      <c r="M315" s="1654"/>
      <c r="N315" s="1654"/>
      <c r="O315" s="1654"/>
      <c r="P315" s="1654"/>
      <c r="Q315" s="1654"/>
      <c r="R315" s="1654"/>
      <c r="T315" s="72" t="s">
        <v>761</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414</v>
      </c>
      <c r="C316" s="72"/>
      <c r="D316" s="72"/>
      <c r="E316" s="72"/>
      <c r="F316" s="72"/>
      <c r="H316" s="1654" t="s">
        <v>2369</v>
      </c>
      <c r="I316" s="1654"/>
      <c r="J316" s="1654"/>
      <c r="K316" s="1654"/>
      <c r="L316" s="1654"/>
      <c r="M316" s="1654"/>
      <c r="N316" s="1654"/>
      <c r="O316" s="1654"/>
      <c r="P316" s="1654"/>
      <c r="Q316" s="1654"/>
      <c r="R316" s="1654"/>
      <c r="T316" s="72" t="s">
        <v>414</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415</v>
      </c>
      <c r="C317" s="72"/>
      <c r="D317" s="72"/>
      <c r="E317" s="72"/>
      <c r="F317" s="72"/>
      <c r="G317" s="72"/>
      <c r="H317" s="1664" t="s">
        <v>2370</v>
      </c>
      <c r="I317" s="1655"/>
      <c r="J317" s="1655"/>
      <c r="K317" s="1655"/>
      <c r="L317" s="1655"/>
      <c r="M317" s="1655"/>
      <c r="N317" s="8" t="s">
        <v>891</v>
      </c>
      <c r="O317" s="8"/>
      <c r="P317" s="1659" t="s">
        <v>2343</v>
      </c>
      <c r="Q317" s="1660"/>
      <c r="R317" s="1660"/>
      <c r="S317" s="72"/>
      <c r="T317" s="72" t="s">
        <v>415</v>
      </c>
      <c r="V317" s="72"/>
      <c r="W317" s="72"/>
      <c r="X317" s="72"/>
      <c r="Y317" s="72"/>
      <c r="AA317" s="1655"/>
      <c r="AB317" s="1655"/>
      <c r="AC317" s="1655"/>
      <c r="AD317" s="1655"/>
      <c r="AE317" s="1655"/>
      <c r="AF317" s="1655"/>
      <c r="AG317" s="8" t="s">
        <v>891</v>
      </c>
      <c r="AH317" s="8"/>
      <c r="AI317" s="1660"/>
      <c r="AJ317" s="1660"/>
      <c r="AK317" s="1660"/>
      <c r="AL317" s="50"/>
      <c r="BA317" s="75"/>
    </row>
    <row r="318" spans="1:53" ht="12.75" customHeight="1">
      <c r="A318" s="50"/>
      <c r="B318" s="72" t="s">
        <v>416</v>
      </c>
      <c r="C318" s="72"/>
      <c r="D318" s="72"/>
      <c r="E318" s="72"/>
      <c r="F318" s="72"/>
      <c r="G318" s="72"/>
      <c r="H318" s="1656" t="s">
        <v>2343</v>
      </c>
      <c r="I318" s="1657"/>
      <c r="J318" s="1657"/>
      <c r="K318" s="1657"/>
      <c r="L318" s="1657"/>
      <c r="M318" s="1657"/>
      <c r="N318" s="74"/>
      <c r="O318" s="74"/>
      <c r="P318" s="76"/>
      <c r="Q318" s="76"/>
      <c r="R318" s="76"/>
      <c r="S318" s="72"/>
      <c r="T318" s="72" t="s">
        <v>416</v>
      </c>
      <c r="V318" s="72"/>
      <c r="W318" s="72"/>
      <c r="X318" s="72"/>
      <c r="Y318" s="72"/>
      <c r="AA318" s="1657"/>
      <c r="AB318" s="1657"/>
      <c r="AC318" s="1657"/>
      <c r="AD318" s="1657"/>
      <c r="AE318" s="1657"/>
      <c r="AF318" s="1657"/>
      <c r="AG318" s="74"/>
      <c r="AH318" s="74"/>
      <c r="AI318" s="76"/>
      <c r="AJ318" s="76"/>
      <c r="AK318" s="76"/>
      <c r="AL318" s="50"/>
      <c r="BA318" s="75"/>
    </row>
    <row r="319" spans="1:53" ht="12.75">
      <c r="A319" s="50"/>
      <c r="B319" s="72" t="s">
        <v>763</v>
      </c>
      <c r="C319" s="72"/>
      <c r="D319" s="72"/>
      <c r="E319" s="72"/>
      <c r="F319" s="72"/>
      <c r="G319" s="72"/>
      <c r="H319" s="1654" t="s">
        <v>2371</v>
      </c>
      <c r="I319" s="1654"/>
      <c r="J319" s="1654"/>
      <c r="K319" s="1654"/>
      <c r="L319" s="1654"/>
      <c r="M319" s="1654"/>
      <c r="N319" s="1662"/>
      <c r="O319" s="1662"/>
      <c r="P319" s="1662"/>
      <c r="Q319" s="1662"/>
      <c r="R319" s="1662"/>
      <c r="S319" s="72"/>
      <c r="T319" s="72" t="s">
        <v>763</v>
      </c>
      <c r="V319" s="72"/>
      <c r="W319" s="72"/>
      <c r="X319" s="72"/>
      <c r="Y319" s="72"/>
      <c r="AA319" s="1654"/>
      <c r="AB319" s="1654"/>
      <c r="AC319" s="1654"/>
      <c r="AD319" s="1654"/>
      <c r="AE319" s="1654"/>
      <c r="AF319" s="1654"/>
      <c r="AG319" s="1662"/>
      <c r="AH319" s="1662"/>
      <c r="AI319" s="1662"/>
      <c r="AJ319" s="1662"/>
      <c r="AK319" s="166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2" t="s">
        <v>2372</v>
      </c>
      <c r="I321" s="1662"/>
      <c r="J321" s="1662"/>
      <c r="K321" s="1662"/>
      <c r="L321" s="1662"/>
      <c r="M321" s="1662"/>
      <c r="N321" s="1662"/>
      <c r="O321" s="1662"/>
      <c r="P321" s="1662"/>
      <c r="Q321" s="1662"/>
      <c r="R321" s="1662"/>
      <c r="T321" s="72" t="s">
        <v>42</v>
      </c>
      <c r="V321" s="72"/>
      <c r="W321" s="72"/>
      <c r="X321" s="72"/>
      <c r="Y321" s="72"/>
      <c r="AA321" s="1662" t="s">
        <v>2390</v>
      </c>
      <c r="AB321" s="1662"/>
      <c r="AC321" s="1662"/>
      <c r="AD321" s="1662"/>
      <c r="AE321" s="1662"/>
      <c r="AF321" s="1662"/>
      <c r="AG321" s="1662"/>
      <c r="AH321" s="1662"/>
      <c r="AI321" s="1662"/>
      <c r="AJ321" s="1662"/>
      <c r="AK321" s="1662"/>
      <c r="AL321" s="50"/>
      <c r="BA321" s="75"/>
    </row>
    <row r="322" spans="1:53" ht="12.75">
      <c r="A322" s="50"/>
      <c r="B322" s="72" t="s">
        <v>760</v>
      </c>
      <c r="C322" s="72"/>
      <c r="D322" s="72"/>
      <c r="E322" s="72"/>
      <c r="F322" s="72"/>
      <c r="H322" s="1654" t="s">
        <v>2373</v>
      </c>
      <c r="I322" s="1654"/>
      <c r="J322" s="1654"/>
      <c r="K322" s="1654"/>
      <c r="L322" s="1654"/>
      <c r="M322" s="1654"/>
      <c r="N322" s="1654"/>
      <c r="O322" s="1654"/>
      <c r="P322" s="1654"/>
      <c r="Q322" s="1654"/>
      <c r="R322" s="1654"/>
      <c r="T322" s="72" t="s">
        <v>760</v>
      </c>
      <c r="V322" s="72"/>
      <c r="W322" s="72"/>
      <c r="X322" s="72"/>
      <c r="Y322" s="72"/>
      <c r="AA322" s="1654" t="s">
        <v>2391</v>
      </c>
      <c r="AB322" s="1654"/>
      <c r="AC322" s="1654"/>
      <c r="AD322" s="1654"/>
      <c r="AE322" s="1654"/>
      <c r="AF322" s="1654"/>
      <c r="AG322" s="1654"/>
      <c r="AH322" s="1654"/>
      <c r="AI322" s="1654"/>
      <c r="AJ322" s="1654"/>
      <c r="AK322" s="1654"/>
      <c r="AL322" s="50"/>
      <c r="BA322" s="75"/>
    </row>
    <row r="323" spans="1:53" ht="12.75">
      <c r="A323" s="50"/>
      <c r="B323" s="72" t="s">
        <v>762</v>
      </c>
      <c r="C323" s="72"/>
      <c r="D323" s="72"/>
      <c r="E323" s="72"/>
      <c r="F323" s="72"/>
      <c r="H323" s="1654" t="s">
        <v>2374</v>
      </c>
      <c r="I323" s="1654"/>
      <c r="J323" s="1654"/>
      <c r="K323" s="1654"/>
      <c r="L323" s="1654"/>
      <c r="M323" s="1654"/>
      <c r="N323" s="1654"/>
      <c r="O323" s="1654"/>
      <c r="P323" s="1654"/>
      <c r="Q323" s="1654"/>
      <c r="R323" s="1654"/>
      <c r="T323" s="72" t="s">
        <v>761</v>
      </c>
      <c r="V323" s="72"/>
      <c r="W323" s="72"/>
      <c r="X323" s="72"/>
      <c r="Y323" s="72"/>
      <c r="AA323" s="1654" t="s">
        <v>2392</v>
      </c>
      <c r="AB323" s="1654"/>
      <c r="AC323" s="1654"/>
      <c r="AD323" s="1654"/>
      <c r="AE323" s="1654"/>
      <c r="AF323" s="1654"/>
      <c r="AG323" s="1654"/>
      <c r="AH323" s="1654"/>
      <c r="AI323" s="1654"/>
      <c r="AJ323" s="1654"/>
      <c r="AK323" s="1654"/>
      <c r="AL323" s="50"/>
      <c r="BA323" s="75"/>
    </row>
    <row r="324" spans="1:53" ht="12.75">
      <c r="A324" s="50"/>
      <c r="B324" s="72" t="s">
        <v>414</v>
      </c>
      <c r="C324" s="72"/>
      <c r="D324" s="72"/>
      <c r="E324" s="72"/>
      <c r="F324" s="72"/>
      <c r="H324" s="1654" t="s">
        <v>2375</v>
      </c>
      <c r="I324" s="1654"/>
      <c r="J324" s="1654"/>
      <c r="K324" s="1654"/>
      <c r="L324" s="1654"/>
      <c r="M324" s="1654"/>
      <c r="N324" s="1654"/>
      <c r="O324" s="1654"/>
      <c r="P324" s="1654"/>
      <c r="Q324" s="1654"/>
      <c r="R324" s="1654"/>
      <c r="T324" s="72" t="s">
        <v>414</v>
      </c>
      <c r="V324" s="72"/>
      <c r="W324" s="72"/>
      <c r="X324" s="72"/>
      <c r="Y324" s="72"/>
      <c r="AA324" s="1654" t="s">
        <v>2393</v>
      </c>
      <c r="AB324" s="1654"/>
      <c r="AC324" s="1654"/>
      <c r="AD324" s="1654"/>
      <c r="AE324" s="1654"/>
      <c r="AF324" s="1654"/>
      <c r="AG324" s="1654"/>
      <c r="AH324" s="1654"/>
      <c r="AI324" s="1654"/>
      <c r="AJ324" s="1654"/>
      <c r="AK324" s="1654"/>
      <c r="AL324" s="50"/>
      <c r="BA324" s="75"/>
    </row>
    <row r="325" spans="1:53" ht="12.75">
      <c r="A325" s="50"/>
      <c r="B325" s="72" t="s">
        <v>415</v>
      </c>
      <c r="C325" s="72"/>
      <c r="D325" s="72"/>
      <c r="E325" s="72"/>
      <c r="F325" s="72"/>
      <c r="G325" s="72"/>
      <c r="H325" s="1664" t="s">
        <v>2376</v>
      </c>
      <c r="I325" s="1655"/>
      <c r="J325" s="1655"/>
      <c r="K325" s="1655"/>
      <c r="L325" s="1655"/>
      <c r="M325" s="1655"/>
      <c r="N325" s="8" t="s">
        <v>891</v>
      </c>
      <c r="O325" s="8"/>
      <c r="P325" s="1659" t="s">
        <v>2343</v>
      </c>
      <c r="Q325" s="1660"/>
      <c r="R325" s="1660"/>
      <c r="S325" s="72"/>
      <c r="T325" s="72" t="s">
        <v>415</v>
      </c>
      <c r="V325" s="72"/>
      <c r="W325" s="72"/>
      <c r="X325" s="72"/>
      <c r="Y325" s="72"/>
      <c r="AA325" s="1664" t="s">
        <v>2394</v>
      </c>
      <c r="AB325" s="1655"/>
      <c r="AC325" s="1655"/>
      <c r="AD325" s="1655"/>
      <c r="AE325" s="1655"/>
      <c r="AF325" s="1655"/>
      <c r="AG325" s="8" t="s">
        <v>891</v>
      </c>
      <c r="AH325" s="8"/>
      <c r="AI325" s="1659" t="s">
        <v>2343</v>
      </c>
      <c r="AJ325" s="1660"/>
      <c r="AK325" s="1660"/>
      <c r="AL325" s="50"/>
      <c r="BA325" s="75"/>
    </row>
    <row r="326" spans="1:53" ht="12.75">
      <c r="A326" s="50"/>
      <c r="B326" s="72" t="s">
        <v>416</v>
      </c>
      <c r="C326" s="72"/>
      <c r="D326" s="72"/>
      <c r="E326" s="72"/>
      <c r="F326" s="72"/>
      <c r="G326" s="72"/>
      <c r="H326" s="1656" t="s">
        <v>2343</v>
      </c>
      <c r="I326" s="1657"/>
      <c r="J326" s="1657"/>
      <c r="K326" s="1657"/>
      <c r="L326" s="1657"/>
      <c r="M326" s="1657"/>
      <c r="N326" s="74"/>
      <c r="O326" s="74"/>
      <c r="P326" s="76"/>
      <c r="Q326" s="76"/>
      <c r="R326" s="76"/>
      <c r="S326" s="72"/>
      <c r="T326" s="72" t="s">
        <v>416</v>
      </c>
      <c r="V326" s="72"/>
      <c r="W326" s="72"/>
      <c r="X326" s="72"/>
      <c r="Y326" s="72"/>
      <c r="AA326" s="1656" t="s">
        <v>2343</v>
      </c>
      <c r="AB326" s="1657"/>
      <c r="AC326" s="1657"/>
      <c r="AD326" s="1657"/>
      <c r="AE326" s="1657"/>
      <c r="AF326" s="1657"/>
      <c r="AG326" s="74"/>
      <c r="AH326" s="74"/>
      <c r="AI326" s="76"/>
      <c r="AJ326" s="76"/>
      <c r="AK326" s="76"/>
      <c r="AL326" s="50"/>
      <c r="BA326" s="75"/>
    </row>
    <row r="327" spans="1:53" ht="12.75">
      <c r="A327" s="50"/>
      <c r="B327" s="72" t="s">
        <v>763</v>
      </c>
      <c r="C327" s="72"/>
      <c r="D327" s="72"/>
      <c r="E327" s="72"/>
      <c r="F327" s="72"/>
      <c r="G327" s="72"/>
      <c r="H327" s="1654" t="s">
        <v>2377</v>
      </c>
      <c r="I327" s="1654"/>
      <c r="J327" s="1654"/>
      <c r="K327" s="1654"/>
      <c r="L327" s="1654"/>
      <c r="M327" s="1654"/>
      <c r="N327" s="1662"/>
      <c r="O327" s="1662"/>
      <c r="P327" s="1662"/>
      <c r="Q327" s="1662"/>
      <c r="R327" s="1662"/>
      <c r="S327" s="72"/>
      <c r="T327" s="72" t="s">
        <v>763</v>
      </c>
      <c r="V327" s="72"/>
      <c r="W327" s="72"/>
      <c r="X327" s="72"/>
      <c r="Y327" s="72"/>
      <c r="AA327" s="1654" t="s">
        <v>2395</v>
      </c>
      <c r="AB327" s="1654"/>
      <c r="AC327" s="1654"/>
      <c r="AD327" s="1654"/>
      <c r="AE327" s="1654"/>
      <c r="AF327" s="1654"/>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2" t="s">
        <v>2378</v>
      </c>
      <c r="I329" s="1662"/>
      <c r="J329" s="1662"/>
      <c r="K329" s="1662"/>
      <c r="L329" s="1662"/>
      <c r="M329" s="1662"/>
      <c r="N329" s="1662"/>
      <c r="O329" s="1662"/>
      <c r="P329" s="1662"/>
      <c r="Q329" s="1662"/>
      <c r="R329" s="1662"/>
      <c r="S329" s="701"/>
      <c r="T329" s="630" t="s">
        <v>1193</v>
      </c>
      <c r="V329" s="72"/>
      <c r="W329" s="72"/>
      <c r="X329" s="72"/>
      <c r="Y329" s="72"/>
      <c r="AA329" s="1662" t="s">
        <v>2396</v>
      </c>
      <c r="AB329" s="1662"/>
      <c r="AC329" s="1662"/>
      <c r="AD329" s="1662"/>
      <c r="AE329" s="1662"/>
      <c r="AF329" s="1662"/>
      <c r="AG329" s="1662"/>
      <c r="AH329" s="1662"/>
      <c r="AI329" s="1662"/>
      <c r="AJ329" s="1662"/>
      <c r="AK329" s="1662"/>
      <c r="AL329" s="50"/>
      <c r="BA329" s="75"/>
    </row>
    <row r="330" spans="1:53" ht="12.75">
      <c r="B330" s="72" t="s">
        <v>760</v>
      </c>
      <c r="C330" s="72"/>
      <c r="D330" s="72"/>
      <c r="E330" s="72"/>
      <c r="F330" s="72"/>
      <c r="H330" s="1654" t="s">
        <v>2379</v>
      </c>
      <c r="I330" s="1654"/>
      <c r="J330" s="1654"/>
      <c r="K330" s="1654"/>
      <c r="L330" s="1654"/>
      <c r="M330" s="1654"/>
      <c r="N330" s="1654"/>
      <c r="O330" s="1654"/>
      <c r="P330" s="1654"/>
      <c r="Q330" s="1654"/>
      <c r="R330" s="1654"/>
      <c r="S330" s="701"/>
      <c r="T330" s="72" t="s">
        <v>760</v>
      </c>
      <c r="V330" s="72"/>
      <c r="W330" s="72"/>
      <c r="X330" s="72"/>
      <c r="Y330" s="72"/>
      <c r="AA330" s="1654" t="s">
        <v>2351</v>
      </c>
      <c r="AB330" s="1654"/>
      <c r="AC330" s="1654"/>
      <c r="AD330" s="1654"/>
      <c r="AE330" s="1654"/>
      <c r="AF330" s="1654"/>
      <c r="AG330" s="1654"/>
      <c r="AH330" s="1654"/>
      <c r="AI330" s="1654"/>
      <c r="AJ330" s="1654"/>
      <c r="AK330" s="1654"/>
      <c r="AL330" s="50"/>
      <c r="BA330" s="75"/>
    </row>
    <row r="331" spans="1:53" ht="12.75">
      <c r="B331" s="72" t="s">
        <v>762</v>
      </c>
      <c r="C331" s="72"/>
      <c r="D331" s="72"/>
      <c r="E331" s="72"/>
      <c r="F331" s="72"/>
      <c r="G331" s="72"/>
      <c r="H331" s="1654" t="s">
        <v>2380</v>
      </c>
      <c r="I331" s="1654"/>
      <c r="J331" s="1654"/>
      <c r="K331" s="1654"/>
      <c r="L331" s="1654"/>
      <c r="M331" s="1654"/>
      <c r="N331" s="1654"/>
      <c r="O331" s="1654"/>
      <c r="P331" s="1654"/>
      <c r="Q331" s="1654"/>
      <c r="R331" s="1654"/>
      <c r="S331" s="701"/>
      <c r="T331" s="72" t="s">
        <v>761</v>
      </c>
      <c r="V331" s="72"/>
      <c r="W331" s="72"/>
      <c r="X331" s="72"/>
      <c r="Y331" s="72"/>
      <c r="AA331" s="1654" t="s">
        <v>2359</v>
      </c>
      <c r="AB331" s="1654"/>
      <c r="AC331" s="1654"/>
      <c r="AD331" s="1654"/>
      <c r="AE331" s="1654"/>
      <c r="AF331" s="1654"/>
      <c r="AG331" s="1654"/>
      <c r="AH331" s="1654"/>
      <c r="AI331" s="1654"/>
      <c r="AJ331" s="1654"/>
      <c r="AK331" s="1654"/>
      <c r="AL331" s="50"/>
      <c r="BA331" s="75"/>
    </row>
    <row r="332" spans="1:53" ht="12.75">
      <c r="A332" s="50"/>
      <c r="B332" s="72" t="s">
        <v>414</v>
      </c>
      <c r="C332" s="72"/>
      <c r="D332" s="72"/>
      <c r="E332" s="72"/>
      <c r="F332" s="72"/>
      <c r="H332" s="1654" t="s">
        <v>2381</v>
      </c>
      <c r="I332" s="1654"/>
      <c r="J332" s="1654"/>
      <c r="K332" s="1654"/>
      <c r="L332" s="1654"/>
      <c r="M332" s="1654"/>
      <c r="N332" s="1654"/>
      <c r="O332" s="1654"/>
      <c r="P332" s="1654"/>
      <c r="Q332" s="1654"/>
      <c r="R332" s="1654"/>
      <c r="S332" s="701"/>
      <c r="T332" s="72" t="s">
        <v>414</v>
      </c>
      <c r="V332" s="72"/>
      <c r="W332" s="72"/>
      <c r="X332" s="72"/>
      <c r="Y332" s="72"/>
      <c r="AA332" s="1654" t="s">
        <v>2398</v>
      </c>
      <c r="AB332" s="1654"/>
      <c r="AC332" s="1654"/>
      <c r="AD332" s="1654"/>
      <c r="AE332" s="1654"/>
      <c r="AF332" s="1654"/>
      <c r="AG332" s="1654"/>
      <c r="AH332" s="1654"/>
      <c r="AI332" s="1654"/>
      <c r="AJ332" s="1654"/>
      <c r="AK332" s="1654"/>
      <c r="AL332" s="50"/>
      <c r="BA332" s="75"/>
    </row>
    <row r="333" spans="1:53" ht="12.75">
      <c r="A333" s="50"/>
      <c r="B333" s="72" t="s">
        <v>415</v>
      </c>
      <c r="C333" s="72"/>
      <c r="D333" s="72"/>
      <c r="E333" s="72"/>
      <c r="F333" s="72"/>
      <c r="G333" s="72"/>
      <c r="H333" s="1664" t="s">
        <v>2382</v>
      </c>
      <c r="I333" s="1655"/>
      <c r="J333" s="1655"/>
      <c r="K333" s="1655"/>
      <c r="L333" s="1655"/>
      <c r="M333" s="1655"/>
      <c r="N333" s="8" t="s">
        <v>891</v>
      </c>
      <c r="O333" s="8"/>
      <c r="P333" s="1659" t="s">
        <v>2343</v>
      </c>
      <c r="Q333" s="1660"/>
      <c r="R333" s="1660"/>
      <c r="S333" s="3"/>
      <c r="T333" s="72" t="s">
        <v>415</v>
      </c>
      <c r="V333" s="72"/>
      <c r="W333" s="72"/>
      <c r="X333" s="72"/>
      <c r="Y333" s="72"/>
      <c r="AA333" s="1664" t="s">
        <v>2397</v>
      </c>
      <c r="AB333" s="1655"/>
      <c r="AC333" s="1655"/>
      <c r="AD333" s="1655"/>
      <c r="AE333" s="1655"/>
      <c r="AF333" s="1655"/>
      <c r="AG333" s="8" t="s">
        <v>891</v>
      </c>
      <c r="AH333" s="8"/>
      <c r="AI333" s="1659" t="s">
        <v>2343</v>
      </c>
      <c r="AJ333" s="1660"/>
      <c r="AK333" s="1660"/>
      <c r="AL333" s="50"/>
      <c r="BA333" s="75"/>
    </row>
    <row r="334" spans="1:53" ht="12.75">
      <c r="A334" s="50"/>
      <c r="B334" s="72" t="s">
        <v>416</v>
      </c>
      <c r="C334" s="72"/>
      <c r="D334" s="72"/>
      <c r="E334" s="72"/>
      <c r="F334" s="72"/>
      <c r="G334" s="72"/>
      <c r="H334" s="1656" t="s">
        <v>2343</v>
      </c>
      <c r="I334" s="1657"/>
      <c r="J334" s="1657"/>
      <c r="K334" s="1657"/>
      <c r="L334" s="1657"/>
      <c r="M334" s="1657"/>
      <c r="N334" s="74"/>
      <c r="O334" s="74"/>
      <c r="P334" s="76"/>
      <c r="Q334" s="76"/>
      <c r="R334" s="76"/>
      <c r="S334" s="3"/>
      <c r="T334" s="72" t="s">
        <v>416</v>
      </c>
      <c r="V334" s="72"/>
      <c r="W334" s="72"/>
      <c r="X334" s="72"/>
      <c r="Y334" s="72"/>
      <c r="AA334" s="1656" t="s">
        <v>2343</v>
      </c>
      <c r="AB334" s="1657"/>
      <c r="AC334" s="1657"/>
      <c r="AD334" s="1657"/>
      <c r="AE334" s="1657"/>
      <c r="AF334" s="1657"/>
      <c r="AG334" s="74"/>
      <c r="AH334" s="74"/>
      <c r="AI334" s="76"/>
      <c r="AJ334" s="76"/>
      <c r="AK334" s="76"/>
      <c r="AL334" s="50"/>
      <c r="BA334" s="75"/>
    </row>
    <row r="335" spans="1:53" ht="12.75">
      <c r="A335" s="50"/>
      <c r="B335" s="72" t="s">
        <v>763</v>
      </c>
      <c r="C335" s="72"/>
      <c r="D335" s="72"/>
      <c r="E335" s="72"/>
      <c r="F335" s="72"/>
      <c r="G335" s="72"/>
      <c r="H335" s="1654" t="s">
        <v>2383</v>
      </c>
      <c r="I335" s="1654"/>
      <c r="J335" s="1654"/>
      <c r="K335" s="1654"/>
      <c r="L335" s="1654"/>
      <c r="M335" s="1654"/>
      <c r="N335" s="1662"/>
      <c r="O335" s="1662"/>
      <c r="P335" s="1662"/>
      <c r="Q335" s="1662"/>
      <c r="R335" s="1662"/>
      <c r="S335" s="701"/>
      <c r="T335" s="72" t="s">
        <v>763</v>
      </c>
      <c r="V335" s="72"/>
      <c r="W335" s="72"/>
      <c r="X335" s="72"/>
      <c r="Y335" s="72"/>
      <c r="AA335" s="1654" t="s">
        <v>2399</v>
      </c>
      <c r="AB335" s="1654"/>
      <c r="AC335" s="1654"/>
      <c r="AD335" s="1654"/>
      <c r="AE335" s="1654"/>
      <c r="AF335" s="1654"/>
      <c r="AG335" s="1662"/>
      <c r="AH335" s="1662"/>
      <c r="AI335" s="1662"/>
      <c r="AJ335" s="1662"/>
      <c r="AK335" s="166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t="s">
        <v>2343</v>
      </c>
      <c r="I337" s="1662"/>
      <c r="J337" s="1662"/>
      <c r="K337" s="1662"/>
      <c r="L337" s="1662"/>
      <c r="M337" s="1662"/>
      <c r="N337" s="1662"/>
      <c r="O337" s="1662"/>
      <c r="P337" s="1662"/>
      <c r="Q337" s="1662"/>
      <c r="R337" s="1662"/>
      <c r="T337" s="578" t="s">
        <v>1236</v>
      </c>
      <c r="AA337" s="1662" t="s">
        <v>2343</v>
      </c>
      <c r="AB337" s="1662"/>
      <c r="AC337" s="1662"/>
      <c r="AD337" s="1662"/>
      <c r="AE337" s="1662"/>
      <c r="AF337" s="1662"/>
      <c r="AG337" s="1662"/>
      <c r="AH337" s="1662"/>
      <c r="AI337" s="1662"/>
      <c r="AJ337" s="1662"/>
      <c r="AK337" s="1662"/>
      <c r="AL337" s="50"/>
      <c r="BA337" s="75"/>
    </row>
    <row r="338" spans="1:53" ht="12.75">
      <c r="A338" s="50"/>
      <c r="B338" s="578" t="s">
        <v>760</v>
      </c>
      <c r="C338" s="578"/>
      <c r="D338" s="578"/>
      <c r="E338" s="578"/>
      <c r="F338" s="578"/>
      <c r="G338" s="579"/>
      <c r="H338" s="1654"/>
      <c r="I338" s="1654"/>
      <c r="J338" s="1654"/>
      <c r="K338" s="1654"/>
      <c r="L338" s="1654"/>
      <c r="M338" s="1654"/>
      <c r="N338" s="1654"/>
      <c r="O338" s="1654"/>
      <c r="P338" s="1654"/>
      <c r="Q338" s="1654"/>
      <c r="R338" s="1654"/>
      <c r="T338" s="72" t="s">
        <v>760</v>
      </c>
      <c r="AA338" s="1654"/>
      <c r="AB338" s="1654"/>
      <c r="AC338" s="1654"/>
      <c r="AD338" s="1654"/>
      <c r="AE338" s="1654"/>
      <c r="AF338" s="1654"/>
      <c r="AG338" s="1654"/>
      <c r="AH338" s="1654"/>
      <c r="AI338" s="1654"/>
      <c r="AJ338" s="1654"/>
      <c r="AK338" s="1654"/>
      <c r="AL338" s="50"/>
      <c r="BA338" s="75"/>
    </row>
    <row r="339" spans="1:53" ht="12.75">
      <c r="A339" s="50"/>
      <c r="B339" s="578" t="s">
        <v>762</v>
      </c>
      <c r="C339" s="578"/>
      <c r="D339" s="578"/>
      <c r="E339" s="578"/>
      <c r="F339" s="578"/>
      <c r="G339" s="578"/>
      <c r="H339" s="1654"/>
      <c r="I339" s="1654"/>
      <c r="J339" s="1654"/>
      <c r="K339" s="1654"/>
      <c r="L339" s="1654"/>
      <c r="M339" s="1654"/>
      <c r="N339" s="1654"/>
      <c r="O339" s="1654"/>
      <c r="P339" s="1654"/>
      <c r="Q339" s="1654"/>
      <c r="R339" s="1654"/>
      <c r="T339" s="72" t="s">
        <v>761</v>
      </c>
      <c r="AA339" s="1654"/>
      <c r="AB339" s="1654"/>
      <c r="AC339" s="1654"/>
      <c r="AD339" s="1654"/>
      <c r="AE339" s="1654"/>
      <c r="AF339" s="1654"/>
      <c r="AG339" s="1654"/>
      <c r="AH339" s="1654"/>
      <c r="AI339" s="1654"/>
      <c r="AJ339" s="1654"/>
      <c r="AK339" s="1654"/>
      <c r="AL339" s="50"/>
    </row>
    <row r="340" spans="1:53" ht="12.75">
      <c r="A340" s="50"/>
      <c r="B340" s="578" t="s">
        <v>414</v>
      </c>
      <c r="C340" s="578"/>
      <c r="D340" s="578"/>
      <c r="E340" s="578"/>
      <c r="F340" s="578"/>
      <c r="G340" s="579"/>
      <c r="H340" s="1654"/>
      <c r="I340" s="1654"/>
      <c r="J340" s="1654"/>
      <c r="K340" s="1654"/>
      <c r="L340" s="1654"/>
      <c r="M340" s="1654"/>
      <c r="N340" s="1654"/>
      <c r="O340" s="1654"/>
      <c r="P340" s="1654"/>
      <c r="Q340" s="1654"/>
      <c r="R340" s="1654"/>
      <c r="T340" s="72" t="s">
        <v>414</v>
      </c>
      <c r="AA340" s="1654"/>
      <c r="AB340" s="1654"/>
      <c r="AC340" s="1654"/>
      <c r="AD340" s="1654"/>
      <c r="AE340" s="1654"/>
      <c r="AF340" s="1654"/>
      <c r="AG340" s="1654"/>
      <c r="AH340" s="1654"/>
      <c r="AI340" s="1654"/>
      <c r="AJ340" s="1654"/>
      <c r="AK340" s="1654"/>
      <c r="AL340" s="50"/>
    </row>
    <row r="341" spans="1:53" ht="12.75">
      <c r="A341" s="50"/>
      <c r="B341" s="578" t="s">
        <v>415</v>
      </c>
      <c r="C341" s="578"/>
      <c r="D341" s="578"/>
      <c r="E341" s="578"/>
      <c r="F341" s="578"/>
      <c r="G341" s="578"/>
      <c r="H341" s="1655"/>
      <c r="I341" s="1655"/>
      <c r="J341" s="1655"/>
      <c r="K341" s="1655"/>
      <c r="L341" s="1655"/>
      <c r="M341" s="1655"/>
      <c r="N341" s="8" t="s">
        <v>891</v>
      </c>
      <c r="O341" s="8"/>
      <c r="P341" s="1660"/>
      <c r="Q341" s="1660"/>
      <c r="R341" s="1660"/>
      <c r="T341" s="72" t="s">
        <v>415</v>
      </c>
      <c r="AA341" s="1655"/>
      <c r="AB341" s="1655"/>
      <c r="AC341" s="1655"/>
      <c r="AD341" s="1655"/>
      <c r="AE341" s="1655"/>
      <c r="AF341" s="1655"/>
      <c r="AG341" s="8" t="s">
        <v>891</v>
      </c>
      <c r="AH341" s="8"/>
      <c r="AI341" s="1660"/>
      <c r="AJ341" s="1660"/>
      <c r="AK341" s="1660"/>
      <c r="AL341" s="50"/>
    </row>
    <row r="342" spans="1:53" ht="12.75">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4"/>
      <c r="I343" s="1654"/>
      <c r="J343" s="1654"/>
      <c r="K343" s="1654"/>
      <c r="L343" s="1654"/>
      <c r="M343" s="1654"/>
      <c r="N343" s="1662"/>
      <c r="O343" s="1662"/>
      <c r="P343" s="1662"/>
      <c r="Q343" s="1662"/>
      <c r="R343" s="1662"/>
      <c r="T343" s="72" t="s">
        <v>763</v>
      </c>
      <c r="AA343" s="1654"/>
      <c r="AB343" s="1654"/>
      <c r="AC343" s="1654"/>
      <c r="AD343" s="1654"/>
      <c r="AE343" s="1654"/>
      <c r="AF343" s="1654"/>
      <c r="AG343" s="1662"/>
      <c r="AH343" s="1662"/>
      <c r="AI343" s="1662"/>
      <c r="AJ343" s="1662"/>
      <c r="AK343" s="166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6" t="s">
        <v>542</v>
      </c>
      <c r="B345" s="1666"/>
      <c r="C345" s="1666"/>
      <c r="D345" s="1666"/>
      <c r="E345" s="1666"/>
      <c r="F345" s="1666"/>
      <c r="G345" s="1666"/>
      <c r="H345" s="1666"/>
      <c r="I345" s="1666"/>
      <c r="J345" s="1666"/>
      <c r="K345" s="1666"/>
      <c r="L345" s="1666"/>
      <c r="M345" s="1666"/>
      <c r="N345" s="1666"/>
      <c r="O345" s="1666"/>
      <c r="P345" s="1666"/>
      <c r="Q345" s="1666"/>
      <c r="R345" s="1666"/>
      <c r="S345" s="1666"/>
      <c r="T345" s="1666"/>
      <c r="U345" s="1666"/>
      <c r="V345" s="1666"/>
      <c r="W345" s="1666"/>
      <c r="X345" s="1666"/>
      <c r="Y345" s="1666"/>
      <c r="Z345" s="1666"/>
      <c r="AA345" s="1666"/>
      <c r="AB345" s="1666"/>
      <c r="AC345" s="1666"/>
      <c r="AD345" s="1666"/>
      <c r="AE345" s="1666"/>
      <c r="AF345" s="1666"/>
      <c r="AG345" s="1666"/>
      <c r="AH345" s="1666"/>
      <c r="AI345" s="1666"/>
      <c r="AJ345" s="1666"/>
      <c r="AK345" s="1666"/>
      <c r="AL345" s="1666"/>
    </row>
    <row r="346" spans="1:53" ht="12.75" customHeight="1" thickBot="1">
      <c r="A346" s="1667"/>
      <c r="B346" s="1667"/>
      <c r="C346" s="1667"/>
      <c r="D346" s="1667"/>
      <c r="E346" s="1667"/>
      <c r="F346" s="1667"/>
      <c r="G346" s="1667"/>
      <c r="H346" s="1667"/>
      <c r="I346" s="1667"/>
      <c r="J346" s="1667"/>
      <c r="K346" s="1667"/>
      <c r="L346" s="1667"/>
      <c r="M346" s="1667"/>
      <c r="N346" s="1667"/>
      <c r="O346" s="1667"/>
      <c r="P346" s="1667"/>
      <c r="Q346" s="1667"/>
      <c r="R346" s="1667"/>
      <c r="S346" s="1667"/>
      <c r="T346" s="1667"/>
      <c r="U346" s="1667"/>
      <c r="V346" s="1667"/>
      <c r="W346" s="1667"/>
      <c r="X346" s="1667"/>
      <c r="Y346" s="1667"/>
      <c r="Z346" s="1667"/>
      <c r="AA346" s="1667"/>
      <c r="AB346" s="1667"/>
      <c r="AC346" s="1667"/>
      <c r="AD346" s="1667"/>
      <c r="AE346" s="1667"/>
      <c r="AF346" s="1667"/>
      <c r="AG346" s="1667"/>
      <c r="AH346" s="1667"/>
      <c r="AI346" s="1667"/>
      <c r="AJ346" s="1667"/>
      <c r="AK346" s="1667"/>
      <c r="AL346" s="166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586</v>
      </c>
      <c r="K348" s="35"/>
      <c r="L348" s="35"/>
    </row>
    <row r="349" spans="1:53" ht="12.75" customHeight="1">
      <c r="D349" s="16" t="s">
        <v>45</v>
      </c>
      <c r="M349" s="1658" t="s">
        <v>118</v>
      </c>
      <c r="N349" s="1658"/>
      <c r="P349" s="16" t="s">
        <v>2172</v>
      </c>
      <c r="AJ349" s="1658" t="s">
        <v>527</v>
      </c>
      <c r="AK349" s="1658"/>
    </row>
    <row r="350" spans="1:53" ht="12.75" customHeight="1">
      <c r="D350" s="72" t="s">
        <v>2086</v>
      </c>
      <c r="M350" s="1658" t="s">
        <v>134</v>
      </c>
      <c r="N350" s="1658"/>
      <c r="P350" s="72" t="s">
        <v>2173</v>
      </c>
      <c r="AJ350" s="1661"/>
      <c r="AK350" s="1661"/>
    </row>
    <row r="351" spans="1:53" ht="12.75" customHeight="1">
      <c r="D351" s="16" t="s">
        <v>347</v>
      </c>
      <c r="M351" s="1658" t="s">
        <v>134</v>
      </c>
      <c r="N351" s="1658"/>
      <c r="P351" s="16" t="s">
        <v>2174</v>
      </c>
      <c r="AJ351" s="1658" t="s">
        <v>134</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2.75">
      <c r="E358" s="16" t="s">
        <v>794</v>
      </c>
      <c r="Y358" s="1658" t="s">
        <v>134</v>
      </c>
      <c r="Z358" s="1658"/>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2.75">
      <c r="E361" s="1551" t="s">
        <v>349</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134</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527</v>
      </c>
    </row>
    <row r="363" spans="1:57" ht="12.75" customHeight="1">
      <c r="E363" s="8" t="s">
        <v>651</v>
      </c>
      <c r="F363" s="8"/>
      <c r="G363" s="8"/>
      <c r="H363" s="8"/>
      <c r="I363" s="8"/>
      <c r="J363" s="8"/>
      <c r="K363" s="8"/>
      <c r="L363" s="8"/>
      <c r="N363" s="1850"/>
      <c r="O363" s="1850"/>
      <c r="P363" s="1850"/>
      <c r="Q363" s="1850"/>
      <c r="R363" s="8"/>
      <c r="U363" s="8" t="s">
        <v>652</v>
      </c>
      <c r="V363" s="8"/>
      <c r="W363" s="8"/>
      <c r="X363" s="8"/>
      <c r="Y363" s="8"/>
      <c r="Z363" s="8"/>
      <c r="AA363" s="8"/>
      <c r="AB363" s="8"/>
      <c r="AC363" s="1850"/>
      <c r="AD363" s="1850"/>
      <c r="AE363" s="1850"/>
      <c r="AF363" s="1850"/>
      <c r="BE363" s="16" t="s">
        <v>118</v>
      </c>
    </row>
    <row r="364" spans="1:57" ht="12.75">
      <c r="E364" s="8" t="s">
        <v>653</v>
      </c>
      <c r="F364" s="8"/>
      <c r="G364" s="8"/>
      <c r="H364" s="8"/>
      <c r="I364" s="8"/>
      <c r="J364" s="8"/>
      <c r="K364" s="8"/>
      <c r="L364" s="8"/>
      <c r="N364" s="1850"/>
      <c r="O364" s="1850"/>
      <c r="P364" s="1850"/>
      <c r="Q364" s="1850"/>
      <c r="R364" s="8"/>
      <c r="U364" s="8" t="s">
        <v>654</v>
      </c>
      <c r="V364" s="8"/>
      <c r="W364" s="8"/>
      <c r="X364" s="8"/>
      <c r="Y364" s="8"/>
      <c r="Z364" s="8"/>
      <c r="AA364" s="8"/>
      <c r="AB364" s="8"/>
      <c r="AC364" s="1850"/>
      <c r="AD364" s="1850"/>
      <c r="AE364" s="1850"/>
      <c r="AF364" s="1850"/>
    </row>
    <row r="365" spans="1:57" ht="12.75" customHeight="1">
      <c r="E365" s="8" t="s">
        <v>68</v>
      </c>
      <c r="F365" s="8"/>
      <c r="G365" s="8"/>
      <c r="H365" s="8"/>
      <c r="I365" s="8"/>
      <c r="J365" s="8"/>
      <c r="K365" s="8"/>
      <c r="L365" s="8"/>
      <c r="N365" s="1850"/>
      <c r="O365" s="1850"/>
      <c r="P365" s="1850"/>
      <c r="Q365" s="1850"/>
      <c r="R365" s="8"/>
      <c r="V365" s="8"/>
      <c r="W365" s="8"/>
      <c r="X365" s="8"/>
      <c r="Y365" s="8"/>
      <c r="Z365" s="8"/>
      <c r="AA365" s="8"/>
      <c r="AB365" s="8"/>
    </row>
    <row r="366" spans="1:57" ht="12.75">
      <c r="E366" s="8" t="s">
        <v>69</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54"/>
      <c r="T370" s="1854"/>
      <c r="U370" s="758" t="s">
        <v>257</v>
      </c>
      <c r="V370" s="1854"/>
      <c r="W370" s="1854"/>
      <c r="X370" s="579"/>
      <c r="Y370" s="759" t="s">
        <v>255</v>
      </c>
      <c r="Z370" s="579"/>
      <c r="AA370" s="759"/>
      <c r="AB370" s="759" t="s">
        <v>256</v>
      </c>
      <c r="AC370" s="579"/>
      <c r="AD370" s="1854"/>
      <c r="AE370" s="1854"/>
      <c r="AF370" s="758" t="s">
        <v>257</v>
      </c>
      <c r="AG370" s="1854"/>
      <c r="AH370" s="1854"/>
    </row>
    <row r="371" spans="1:36" ht="12.75" customHeight="1">
      <c r="D371" s="579"/>
      <c r="E371" s="578" t="s">
        <v>1336</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134</v>
      </c>
      <c r="AH372" s="1849"/>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134</v>
      </c>
      <c r="AH373" s="1849"/>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9" t="s">
        <v>134</v>
      </c>
      <c r="W374" s="1849"/>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9" t="s">
        <v>134</v>
      </c>
      <c r="W375" s="1849"/>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62" t="s">
        <v>2400</v>
      </c>
      <c r="K378" s="1662"/>
      <c r="L378" s="1662"/>
      <c r="M378" s="1662"/>
      <c r="N378" s="1662"/>
      <c r="O378" s="1662"/>
      <c r="P378" s="1662"/>
      <c r="Q378" s="1662"/>
      <c r="R378" s="1662"/>
      <c r="S378" s="1662"/>
      <c r="T378" s="1662"/>
      <c r="U378" s="1662"/>
      <c r="V378" s="18" t="s">
        <v>771</v>
      </c>
      <c r="W378" s="18"/>
      <c r="X378" s="18"/>
      <c r="Y378" s="18"/>
      <c r="Z378" s="18"/>
      <c r="AA378" s="18"/>
      <c r="AB378" s="18"/>
      <c r="AC378" s="1662" t="s">
        <v>2339</v>
      </c>
      <c r="AD378" s="1662"/>
      <c r="AE378" s="1662"/>
      <c r="AF378" s="1662"/>
      <c r="AG378" s="1662"/>
      <c r="AH378" s="1662"/>
      <c r="AI378" s="1662"/>
      <c r="AJ378" s="1662"/>
    </row>
    <row r="379" spans="1:36" ht="12.75" customHeight="1">
      <c r="D379" s="72" t="s">
        <v>2175</v>
      </c>
      <c r="J379" s="1654" t="s">
        <v>2339</v>
      </c>
      <c r="K379" s="1654"/>
      <c r="L379" s="1654"/>
      <c r="M379" s="1654"/>
      <c r="N379" s="1654"/>
      <c r="O379" s="1654"/>
      <c r="P379" s="1654"/>
      <c r="Q379" s="1654"/>
      <c r="R379" s="1654"/>
      <c r="S379" s="1654"/>
      <c r="T379" s="1654"/>
      <c r="U379" s="1654"/>
      <c r="V379" s="72" t="s">
        <v>2175</v>
      </c>
      <c r="W379" s="18"/>
      <c r="X379" s="18"/>
      <c r="Y379" s="18"/>
      <c r="Z379" s="18"/>
      <c r="AA379" s="18"/>
      <c r="AB379" s="18"/>
      <c r="AC379" s="1662"/>
      <c r="AD379" s="1662"/>
      <c r="AE379" s="1662"/>
      <c r="AF379" s="1662"/>
      <c r="AG379" s="1662"/>
      <c r="AH379" s="1662"/>
      <c r="AI379" s="1662"/>
      <c r="AJ379" s="1662"/>
    </row>
    <row r="380" spans="1:36" ht="12.75" customHeight="1">
      <c r="D380" s="72" t="s">
        <v>599</v>
      </c>
      <c r="J380" s="1654" t="s">
        <v>600</v>
      </c>
      <c r="K380" s="1654"/>
      <c r="L380" s="1654"/>
      <c r="M380" s="1654"/>
      <c r="N380" s="1654"/>
      <c r="O380" s="1654"/>
      <c r="P380" s="1654"/>
      <c r="Q380" s="1654"/>
      <c r="R380" s="1654"/>
      <c r="S380" s="1654"/>
      <c r="T380" s="1654"/>
      <c r="U380" s="1654"/>
      <c r="V380" s="72" t="s">
        <v>599</v>
      </c>
      <c r="W380" s="18"/>
      <c r="X380" s="18"/>
      <c r="Y380" s="18"/>
      <c r="Z380" s="18"/>
      <c r="AA380" s="18"/>
      <c r="AB380" s="18"/>
      <c r="AC380" s="1662"/>
      <c r="AD380" s="1662"/>
      <c r="AE380" s="1662"/>
      <c r="AF380" s="1662"/>
      <c r="AG380" s="1662"/>
      <c r="AH380" s="1662"/>
      <c r="AI380" s="1662"/>
      <c r="AJ380" s="1662"/>
    </row>
    <row r="381" spans="1:36" ht="12.75" customHeight="1">
      <c r="D381" s="727" t="s">
        <v>2176</v>
      </c>
      <c r="I381" s="102"/>
      <c r="J381" s="1786" t="s">
        <v>2462</v>
      </c>
      <c r="K381" s="1713"/>
      <c r="L381" s="1713"/>
      <c r="M381" s="1713"/>
      <c r="N381" s="1713"/>
      <c r="O381" s="1713"/>
      <c r="P381" s="1713"/>
      <c r="Q381" s="1713"/>
      <c r="R381" s="1713"/>
      <c r="S381" s="1713"/>
      <c r="T381" s="1713"/>
      <c r="U381" s="1713"/>
      <c r="V381" s="1659" t="s">
        <v>2461</v>
      </c>
      <c r="W381" s="1662"/>
      <c r="X381" s="1662"/>
      <c r="Y381" s="1662"/>
      <c r="Z381" s="1662"/>
      <c r="AA381" s="1662"/>
      <c r="AB381" s="1662"/>
      <c r="AC381" s="1662"/>
      <c r="AD381" s="1662"/>
      <c r="AE381" s="1662"/>
      <c r="AF381" s="1662"/>
      <c r="AG381" s="1662"/>
      <c r="AH381" s="1662"/>
      <c r="AI381" s="1662"/>
      <c r="AJ381" s="1662"/>
    </row>
    <row r="382" spans="1:36" ht="12.75" customHeight="1">
      <c r="D382" s="16" t="s">
        <v>610</v>
      </c>
      <c r="Q382" s="1999">
        <v>44278</v>
      </c>
      <c r="R382" s="1999"/>
      <c r="S382" s="1999"/>
      <c r="T382" s="1999"/>
      <c r="U382" s="1999"/>
      <c r="V382" s="16" t="s">
        <v>183</v>
      </c>
      <c r="AI382" s="1658" t="s">
        <v>527</v>
      </c>
      <c r="AJ382" s="1658"/>
    </row>
    <row r="383" spans="1:36" ht="12.75" customHeight="1">
      <c r="D383" s="16" t="s">
        <v>611</v>
      </c>
      <c r="Q383" s="1751">
        <v>45107</v>
      </c>
      <c r="R383" s="1866"/>
      <c r="S383" s="1866"/>
      <c r="T383" s="1866"/>
      <c r="U383" s="1866"/>
      <c r="W383" s="43" t="s">
        <v>20</v>
      </c>
      <c r="AG383" s="1867"/>
      <c r="AH383" s="1867"/>
      <c r="AI383" s="1867"/>
      <c r="AJ383" s="1867"/>
    </row>
    <row r="384" spans="1:36" ht="12.75" customHeight="1">
      <c r="D384" s="16" t="s">
        <v>300</v>
      </c>
      <c r="Q384" s="1691">
        <v>1800000</v>
      </c>
      <c r="R384" s="1691"/>
      <c r="S384" s="1691"/>
      <c r="T384" s="1691"/>
      <c r="U384" s="1691"/>
      <c r="V384" s="72" t="s">
        <v>2177</v>
      </c>
      <c r="AG384" s="1808"/>
      <c r="AH384" s="1808"/>
      <c r="AI384" s="1808"/>
      <c r="AJ384" s="1808"/>
    </row>
    <row r="385" spans="4:36" ht="12.75" customHeight="1">
      <c r="D385" s="16" t="s">
        <v>415</v>
      </c>
      <c r="I385" s="1664"/>
      <c r="J385" s="1664"/>
      <c r="K385" s="1664"/>
      <c r="L385" s="1664"/>
      <c r="M385" s="1664"/>
      <c r="N385" s="1664"/>
      <c r="Q385" s="326" t="s">
        <v>891</v>
      </c>
      <c r="S385" s="2093"/>
      <c r="T385" s="2093"/>
      <c r="U385" s="2093"/>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1741">
        <v>0</v>
      </c>
      <c r="R386" s="1741"/>
      <c r="S386" s="1741"/>
      <c r="T386" s="1741"/>
      <c r="U386" s="1741"/>
      <c r="V386" s="16" t="s">
        <v>185</v>
      </c>
      <c r="W386" s="16"/>
      <c r="X386" s="16"/>
      <c r="Y386" s="16"/>
      <c r="Z386" s="16"/>
      <c r="AA386" s="16"/>
      <c r="AB386" s="16"/>
      <c r="AC386" s="16"/>
      <c r="AD386" s="16"/>
      <c r="AE386" s="16"/>
      <c r="AF386" s="16"/>
      <c r="AG386" s="1867"/>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4"/>
      <c r="R387" s="2094"/>
      <c r="S387" s="2094"/>
      <c r="T387" s="2094"/>
      <c r="U387" s="2094"/>
      <c r="V387" s="16" t="s">
        <v>1841</v>
      </c>
      <c r="W387" s="16"/>
      <c r="X387" s="16"/>
      <c r="Y387" s="16"/>
      <c r="Z387" s="16"/>
      <c r="AA387" s="16"/>
      <c r="AB387" s="16"/>
      <c r="AC387" s="16"/>
      <c r="AD387" s="16"/>
      <c r="AE387" s="16"/>
      <c r="AF387" s="16"/>
      <c r="AG387" s="1867"/>
      <c r="AH387" s="1867"/>
      <c r="AI387" s="1867"/>
      <c r="AJ387" s="1867"/>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2180</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2181</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2091" t="s">
        <v>527</v>
      </c>
      <c r="T394" s="2091"/>
      <c r="U394" s="2091"/>
      <c r="V394" s="727" t="s">
        <v>2183</v>
      </c>
      <c r="W394" s="16"/>
      <c r="X394" s="16"/>
      <c r="Y394" s="16"/>
      <c r="Z394" s="16"/>
      <c r="AA394" s="16"/>
      <c r="AG394" s="2095"/>
      <c r="AH394" s="2095"/>
      <c r="AI394" s="2095"/>
      <c r="AJ394" s="2095"/>
    </row>
    <row r="395" spans="4:36" s="50" customFormat="1" ht="12.75" customHeight="1">
      <c r="D395" s="72" t="s">
        <v>2184</v>
      </c>
      <c r="E395" s="16"/>
      <c r="F395" s="16"/>
      <c r="G395" s="16"/>
      <c r="H395" s="16"/>
      <c r="I395" s="16"/>
      <c r="J395" s="16"/>
      <c r="K395" s="16"/>
      <c r="L395" s="16"/>
      <c r="M395" s="16"/>
      <c r="N395" s="16"/>
      <c r="O395" s="16"/>
      <c r="P395" s="16"/>
      <c r="Q395" s="16"/>
      <c r="R395" s="16"/>
      <c r="S395" s="2091" t="s">
        <v>134</v>
      </c>
      <c r="T395" s="2091"/>
      <c r="U395" s="2091"/>
      <c r="V395" s="727" t="s">
        <v>2185</v>
      </c>
      <c r="W395" s="16"/>
      <c r="X395" s="16"/>
      <c r="Y395" s="16"/>
      <c r="Z395" s="16"/>
      <c r="AA395" s="16"/>
      <c r="AE395" s="2096"/>
      <c r="AF395" s="2096"/>
      <c r="AG395" s="2096"/>
      <c r="AH395" s="2096"/>
      <c r="AI395" s="2096"/>
      <c r="AJ395" s="2096"/>
    </row>
    <row r="396" spans="4:36" s="50" customFormat="1" ht="12.75" customHeight="1">
      <c r="D396" s="72" t="s">
        <v>2186</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2187</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00" t="s">
        <v>2401</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5" t="s">
        <v>2190</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981</v>
      </c>
    </row>
    <row r="403" spans="1:36" ht="12.75" customHeight="1">
      <c r="C403" s="35"/>
      <c r="D403" s="63" t="s">
        <v>1899</v>
      </c>
      <c r="I403" s="1659" t="s">
        <v>2402</v>
      </c>
      <c r="J403" s="1659"/>
      <c r="K403" s="1659"/>
      <c r="L403" s="1659"/>
      <c r="M403" s="1659"/>
      <c r="N403" s="1659"/>
      <c r="O403" s="1659"/>
      <c r="P403" s="1659"/>
      <c r="Q403" s="1659"/>
      <c r="R403" s="1659"/>
      <c r="S403" s="1659"/>
      <c r="T403" s="1659"/>
      <c r="U403" s="1659"/>
      <c r="V403" s="1659"/>
      <c r="W403" s="1659"/>
      <c r="X403" s="1659"/>
      <c r="Y403" s="1659"/>
      <c r="Z403" s="1659"/>
      <c r="AA403" s="1659"/>
      <c r="AB403" s="1659"/>
      <c r="AC403" s="1659"/>
      <c r="AD403" s="1659"/>
    </row>
    <row r="404" spans="1:36" ht="12.75" customHeight="1">
      <c r="C404" s="35"/>
      <c r="E404" s="16" t="s">
        <v>929</v>
      </c>
      <c r="R404" s="1658" t="s">
        <v>134</v>
      </c>
      <c r="S404" s="1658"/>
      <c r="T404" s="16" t="s">
        <v>317</v>
      </c>
      <c r="AD404" s="1850">
        <v>0</v>
      </c>
      <c r="AE404" s="1850"/>
    </row>
    <row r="405" spans="1:36" ht="12.75" customHeight="1">
      <c r="C405" s="35"/>
      <c r="E405" s="16" t="s">
        <v>930</v>
      </c>
      <c r="R405" s="1658" t="s">
        <v>118</v>
      </c>
      <c r="S405" s="1658"/>
      <c r="T405" s="16" t="s">
        <v>317</v>
      </c>
      <c r="AD405" s="1850">
        <v>2</v>
      </c>
      <c r="AE405" s="1850"/>
    </row>
    <row r="406" spans="1:36" ht="12.75" customHeight="1">
      <c r="E406" s="16" t="s">
        <v>931</v>
      </c>
      <c r="S406" s="1658" t="s">
        <v>134</v>
      </c>
      <c r="T406" s="1658"/>
    </row>
    <row r="407" spans="1:36" ht="12.75" customHeight="1">
      <c r="E407" s="16" t="s">
        <v>309</v>
      </c>
      <c r="H407" s="1972" t="s">
        <v>618</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133</v>
      </c>
      <c r="B410" s="63"/>
      <c r="C410" s="63"/>
      <c r="D410" s="63" t="s">
        <v>984</v>
      </c>
      <c r="AE410" s="8"/>
      <c r="AF410" s="63" t="s">
        <v>1313</v>
      </c>
    </row>
    <row r="411" spans="1:36" ht="12.75" customHeight="1">
      <c r="E411" s="1967"/>
      <c r="F411" s="1967"/>
      <c r="G411" s="1967"/>
      <c r="H411" s="33" t="s">
        <v>985</v>
      </c>
      <c r="I411" s="1967"/>
      <c r="J411" s="1967"/>
      <c r="K411" s="1967"/>
      <c r="L411" s="16" t="s">
        <v>986</v>
      </c>
      <c r="N411" s="240" t="s">
        <v>924</v>
      </c>
      <c r="P411" s="1956">
        <v>5.66</v>
      </c>
      <c r="Q411" s="1956"/>
      <c r="R411" s="1956"/>
      <c r="S411" s="16" t="s">
        <v>987</v>
      </c>
      <c r="W411" s="1970">
        <f>IF(E411&gt;0,(E411*I411),(P411*43560))</f>
        <v>246549.6</v>
      </c>
      <c r="X411" s="1970"/>
      <c r="Y411" s="1970"/>
      <c r="Z411" s="16" t="s">
        <v>988</v>
      </c>
      <c r="AF411" s="2107">
        <f>IF(P411&gt;0,(AG430/P411),(AG430/(W411/43560)))</f>
        <v>19.964664310954063</v>
      </c>
      <c r="AG411" s="2107"/>
      <c r="AH411" s="2107"/>
    </row>
    <row r="412" spans="1:36" ht="12.75" customHeight="1">
      <c r="E412" s="16" t="s">
        <v>222</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2191</v>
      </c>
      <c r="F414" s="59"/>
      <c r="G414" s="59"/>
      <c r="H414" s="59"/>
      <c r="I414" s="2105">
        <v>5.66</v>
      </c>
      <c r="J414" s="2105"/>
      <c r="K414" s="2105"/>
      <c r="L414" s="59"/>
      <c r="M414" s="412"/>
      <c r="N414" s="59"/>
      <c r="O414" s="59"/>
      <c r="P414" s="2106">
        <f>(CQ629+CS634+CQ648)/I414</f>
        <v>35.335689045936398</v>
      </c>
      <c r="Q414" s="2106"/>
      <c r="R414" s="2106"/>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990</v>
      </c>
    </row>
    <row r="417" spans="1:36" ht="12.75" customHeight="1">
      <c r="E417" s="16" t="s">
        <v>496</v>
      </c>
      <c r="P417" s="1658">
        <v>18</v>
      </c>
      <c r="Q417" s="1658"/>
      <c r="S417" s="16" t="s">
        <v>147</v>
      </c>
      <c r="AE417" s="1658">
        <v>17</v>
      </c>
      <c r="AF417" s="1658"/>
    </row>
    <row r="418" spans="1:36" ht="12.75" customHeight="1">
      <c r="E418" s="16" t="s">
        <v>148</v>
      </c>
      <c r="P418" s="1658">
        <v>1</v>
      </c>
      <c r="Q418" s="1658"/>
      <c r="S418" s="16" t="s">
        <v>787</v>
      </c>
      <c r="AE418" s="1658" t="s">
        <v>134</v>
      </c>
      <c r="AF418" s="1658"/>
    </row>
    <row r="419" spans="1:36" ht="12.75">
      <c r="F419" s="81" t="s">
        <v>245</v>
      </c>
    </row>
    <row r="420" spans="1:36" ht="12.75">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933</v>
      </c>
      <c r="N422" s="50"/>
      <c r="O422" s="50"/>
      <c r="P422" s="390"/>
      <c r="Q422" s="1658" t="s">
        <v>118</v>
      </c>
      <c r="R422" s="1658"/>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58" t="s">
        <v>134</v>
      </c>
      <c r="AF423" s="1966"/>
    </row>
    <row r="424" spans="1:36" ht="12.75">
      <c r="S424" s="35"/>
      <c r="T424" s="35"/>
    </row>
    <row r="425" spans="1:36" ht="12.75" customHeight="1">
      <c r="A425" s="63"/>
      <c r="B425" s="63"/>
      <c r="C425" s="63"/>
      <c r="E425" s="8" t="s">
        <v>86</v>
      </c>
      <c r="Z425" s="1658" t="s">
        <v>118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527</v>
      </c>
      <c r="AA427" s="1658"/>
    </row>
    <row r="428" spans="1:36" ht="12.75" customHeight="1">
      <c r="AG428" s="16">
        <v>0</v>
      </c>
    </row>
    <row r="429" spans="1:36" ht="12.75" customHeight="1">
      <c r="A429" s="63" t="s">
        <v>407</v>
      </c>
      <c r="B429" s="63"/>
      <c r="C429" s="63"/>
      <c r="D429" s="63" t="s">
        <v>187</v>
      </c>
      <c r="AF429" s="94"/>
    </row>
    <row r="430" spans="1:36" ht="12.75" customHeight="1">
      <c r="D430" s="1721" t="s">
        <v>396</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4"/>
      <c r="AG430" s="2010">
        <v>113</v>
      </c>
      <c r="AH430" s="2010"/>
      <c r="AI430" s="2010"/>
      <c r="AJ430" s="2010"/>
    </row>
    <row r="431" spans="1:36" ht="12.75" customHeight="1">
      <c r="D431" s="1855" t="s">
        <v>1490</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3">
        <v>0</v>
      </c>
      <c r="AH431" s="2104"/>
      <c r="AI431" s="2104"/>
      <c r="AJ431" s="2104"/>
    </row>
    <row r="432" spans="1:36" ht="12.75" customHeight="1">
      <c r="D432" s="1855" t="s">
        <v>1491</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0">
        <v>112</v>
      </c>
      <c r="AH432" s="2010"/>
      <c r="AI432" s="2010"/>
      <c r="AJ432" s="2010"/>
    </row>
    <row r="433" spans="4:36" ht="12.75" customHeight="1">
      <c r="D433" s="1855" t="s">
        <v>1487</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0">
        <v>112</v>
      </c>
      <c r="AH433" s="2010"/>
      <c r="AI433" s="2010"/>
      <c r="AJ433" s="2010"/>
    </row>
    <row r="434" spans="4:36" ht="12.75" customHeight="1">
      <c r="D434" s="1855" t="s">
        <v>1492</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2">
        <f>IF(ISERROR(AG433/AG432),"",AG433/AG432)</f>
        <v>1</v>
      </c>
      <c r="AH434" s="2012"/>
      <c r="AI434" s="2012"/>
      <c r="AJ434" s="2012"/>
    </row>
    <row r="435" spans="4:36" ht="12.75" customHeight="1">
      <c r="D435" s="1855" t="s">
        <v>1489</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127095</v>
      </c>
      <c r="AH435" s="1971"/>
      <c r="AI435" s="1971"/>
      <c r="AJ435" s="1971"/>
    </row>
    <row r="436" spans="4:36" ht="12.75" customHeight="1">
      <c r="D436" s="1855" t="s">
        <v>1488</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127095</v>
      </c>
      <c r="AH436" s="1971"/>
      <c r="AI436" s="1971"/>
      <c r="AJ436" s="1971"/>
    </row>
    <row r="437" spans="4:36" ht="12.75" customHeight="1">
      <c r="D437" s="1855" t="s">
        <v>1495</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2">
        <f>IF(ISERROR(AG436/AG435),"",AG436/AG435)</f>
        <v>1</v>
      </c>
      <c r="AH437" s="2012"/>
      <c r="AI437" s="2012"/>
      <c r="AJ437" s="2012"/>
    </row>
    <row r="438" spans="4:36" ht="12.75" customHeight="1">
      <c r="D438" s="1855" t="s">
        <v>1493</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2">
        <f>MIN(IF(AG434&gt;AG437,AG437,AG434),1)</f>
        <v>1</v>
      </c>
      <c r="AH438" s="2012"/>
      <c r="AI438" s="2012"/>
      <c r="AJ438" s="2012"/>
    </row>
    <row r="439" spans="4:36" ht="12.75">
      <c r="D439" s="2100" t="s">
        <v>1900</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4"/>
      <c r="AG439" s="1971">
        <v>2871</v>
      </c>
      <c r="AH439" s="1971"/>
      <c r="AI439" s="1971"/>
      <c r="AJ439" s="1971"/>
    </row>
    <row r="440" spans="4:36" ht="12.75">
      <c r="D440" s="1855" t="s">
        <v>229</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100" t="s">
        <v>1901</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4138</v>
      </c>
      <c r="AH441" s="1971"/>
      <c r="AI441" s="1971"/>
      <c r="AJ441" s="1971"/>
    </row>
    <row r="442" spans="4:36" ht="12.75">
      <c r="D442" s="1855" t="s">
        <v>1494</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2.75">
      <c r="D443" s="1855" t="s">
        <v>1496</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0">
        <f>AG435+AG439+AG441+AG442</f>
        <v>134104</v>
      </c>
      <c r="AH443" s="2080"/>
      <c r="AI443" s="2080"/>
      <c r="AJ443" s="2080"/>
    </row>
    <row r="444" spans="4:36" ht="12.75">
      <c r="D444" s="1962" t="s">
        <v>1902</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510681.48672566371</v>
      </c>
      <c r="AD447" s="1974"/>
      <c r="AE447" s="1974"/>
      <c r="AF447" s="1974"/>
      <c r="AG447" s="2008"/>
      <c r="AH447" s="2008"/>
      <c r="AI447" s="2008"/>
      <c r="AJ447" s="2008"/>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510681.48672566371</v>
      </c>
      <c r="AD448" s="1974"/>
      <c r="AE448" s="1974"/>
      <c r="AF448" s="1974"/>
      <c r="AG448" s="2008"/>
      <c r="AH448" s="2008"/>
      <c r="AI448" s="2008"/>
      <c r="AJ448" s="2008"/>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474403.74336283188</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234</v>
      </c>
      <c r="E458" s="1852"/>
      <c r="F458" s="1852"/>
      <c r="G458" s="1852"/>
      <c r="H458" s="1852"/>
      <c r="I458" s="1852"/>
      <c r="J458" s="1852"/>
      <c r="K458" s="1852"/>
      <c r="L458" s="1852"/>
      <c r="M458" s="1852"/>
      <c r="N458" s="1852"/>
      <c r="O458" s="1852"/>
      <c r="P458" s="1852"/>
      <c r="Q458" s="1852"/>
      <c r="R458" s="1852"/>
      <c r="S458" s="1852"/>
      <c r="T458" s="1852"/>
      <c r="U458" s="1852"/>
      <c r="V458" s="1853"/>
      <c r="W458" s="1957" t="s">
        <v>134</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235</v>
      </c>
      <c r="E459" s="1852"/>
      <c r="F459" s="1852"/>
      <c r="G459" s="1852"/>
      <c r="H459" s="1852"/>
      <c r="I459" s="1852"/>
      <c r="J459" s="1852"/>
      <c r="K459" s="1852"/>
      <c r="L459" s="1852"/>
      <c r="M459" s="1852"/>
      <c r="N459" s="1852"/>
      <c r="O459" s="1852"/>
      <c r="P459" s="1852"/>
      <c r="Q459" s="1852"/>
      <c r="R459" s="1852"/>
      <c r="S459" s="1852"/>
      <c r="T459" s="1852"/>
      <c r="U459" s="1852"/>
      <c r="V459" s="1853"/>
      <c r="W459" s="1957" t="s">
        <v>134</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236</v>
      </c>
      <c r="E460" s="1852"/>
      <c r="F460" s="1852"/>
      <c r="G460" s="1852"/>
      <c r="H460" s="1852"/>
      <c r="I460" s="1852"/>
      <c r="J460" s="1852"/>
      <c r="K460" s="1852"/>
      <c r="L460" s="1852"/>
      <c r="M460" s="1852"/>
      <c r="N460" s="1852"/>
      <c r="O460" s="1852"/>
      <c r="P460" s="1852"/>
      <c r="Q460" s="1852"/>
      <c r="R460" s="1852"/>
      <c r="S460" s="1852"/>
      <c r="T460" s="1852"/>
      <c r="U460" s="1852"/>
      <c r="V460" s="1853"/>
      <c r="W460" s="1957" t="s">
        <v>134</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240</v>
      </c>
      <c r="E461" s="1852"/>
      <c r="F461" s="1852"/>
      <c r="G461" s="1852"/>
      <c r="H461" s="1852"/>
      <c r="I461" s="1852"/>
      <c r="J461" s="1852"/>
      <c r="K461" s="1852"/>
      <c r="L461" s="1852"/>
      <c r="M461" s="1852"/>
      <c r="N461" s="1852"/>
      <c r="O461" s="1852"/>
      <c r="P461" s="1852"/>
      <c r="Q461" s="1852"/>
      <c r="R461" s="1852"/>
      <c r="S461" s="1852"/>
      <c r="T461" s="1852"/>
      <c r="U461" s="1852"/>
      <c r="V461" s="1853"/>
      <c r="W461" s="1957" t="s">
        <v>134</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1196</v>
      </c>
      <c r="E462" s="1852"/>
      <c r="F462" s="1852"/>
      <c r="G462" s="1852"/>
      <c r="H462" s="1852"/>
      <c r="I462" s="1852"/>
      <c r="J462" s="1852"/>
      <c r="K462" s="1852"/>
      <c r="L462" s="1852"/>
      <c r="M462" s="1852"/>
      <c r="N462" s="1852"/>
      <c r="O462" s="1852"/>
      <c r="P462" s="1852"/>
      <c r="Q462" s="1852"/>
      <c r="R462" s="1852"/>
      <c r="S462" s="1852"/>
      <c r="T462" s="1852"/>
      <c r="U462" s="1852"/>
      <c r="V462" s="1853"/>
      <c r="W462" s="1957" t="s">
        <v>134</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244</v>
      </c>
      <c r="E463" s="1852"/>
      <c r="F463" s="1852"/>
      <c r="G463" s="1852"/>
      <c r="H463" s="1852"/>
      <c r="I463" s="1852"/>
      <c r="J463" s="1852"/>
      <c r="K463" s="1852"/>
      <c r="L463" s="1852"/>
      <c r="M463" s="1852"/>
      <c r="N463" s="1852"/>
      <c r="O463" s="1852"/>
      <c r="P463" s="1852"/>
      <c r="Q463" s="1852"/>
      <c r="R463" s="1852"/>
      <c r="S463" s="1852"/>
      <c r="T463" s="1852"/>
      <c r="U463" s="1852"/>
      <c r="V463" s="1853"/>
      <c r="W463" s="1957" t="s">
        <v>134</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1414</v>
      </c>
      <c r="E464" s="2101"/>
      <c r="F464" s="2101"/>
      <c r="G464" s="2101"/>
      <c r="H464" s="2101"/>
      <c r="I464" s="2101"/>
      <c r="J464" s="2101"/>
      <c r="K464" s="2101"/>
      <c r="L464" s="2101"/>
      <c r="M464" s="2101"/>
      <c r="N464" s="2101"/>
      <c r="O464" s="2101"/>
      <c r="P464" s="2101"/>
      <c r="Q464" s="2101"/>
      <c r="R464" s="2101"/>
      <c r="S464" s="2101"/>
      <c r="T464" s="2101"/>
      <c r="U464" s="2101"/>
      <c r="V464" s="2102"/>
      <c r="W464" s="2082" t="s">
        <v>134</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097"/>
      <c r="H465" s="2098"/>
      <c r="I465" s="2098"/>
      <c r="J465" s="2098"/>
      <c r="K465" s="2098"/>
      <c r="L465" s="2098"/>
      <c r="M465" s="2098"/>
      <c r="N465" s="2098"/>
      <c r="O465" s="2098"/>
      <c r="P465" s="2098"/>
      <c r="Q465" s="2098"/>
      <c r="R465" s="2098"/>
      <c r="S465" s="2098"/>
      <c r="T465" s="2098"/>
      <c r="U465" s="2098"/>
      <c r="V465" s="2099"/>
      <c r="W465" s="1957" t="s">
        <v>134</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60" t="s">
        <v>237</v>
      </c>
      <c r="E469" s="1961"/>
      <c r="F469" s="1961"/>
      <c r="G469" s="1961"/>
      <c r="H469" s="1961"/>
      <c r="I469" s="1961"/>
      <c r="J469" s="1961"/>
      <c r="K469" s="1961"/>
      <c r="L469" s="1961"/>
      <c r="M469" s="1961"/>
      <c r="N469" s="1961"/>
      <c r="O469" s="1961"/>
      <c r="P469" s="1961"/>
      <c r="Q469" s="1961"/>
      <c r="R469" s="1961"/>
      <c r="S469" s="1961"/>
      <c r="T469" s="1961"/>
      <c r="U469" s="1961"/>
      <c r="V469" s="1961"/>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238</v>
      </c>
      <c r="E470" s="1852"/>
      <c r="F470" s="1852"/>
      <c r="G470" s="1852"/>
      <c r="H470" s="1852"/>
      <c r="I470" s="1852"/>
      <c r="J470" s="1852"/>
      <c r="K470" s="1852"/>
      <c r="L470" s="1852"/>
      <c r="M470" s="1852"/>
      <c r="N470" s="1852"/>
      <c r="O470" s="1852"/>
      <c r="P470" s="1852"/>
      <c r="Q470" s="1852"/>
      <c r="R470" s="1852"/>
      <c r="S470" s="1852"/>
      <c r="T470" s="1852"/>
      <c r="U470" s="1852"/>
      <c r="V470" s="1853"/>
      <c r="W470" s="1957" t="s">
        <v>134</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6" t="s">
        <v>1111</v>
      </c>
      <c r="B473" s="1666"/>
      <c r="C473" s="1666"/>
      <c r="D473" s="1666"/>
      <c r="E473" s="1666"/>
      <c r="F473" s="1666"/>
      <c r="G473" s="1666"/>
      <c r="H473" s="1666"/>
      <c r="I473" s="1666"/>
      <c r="J473" s="1666"/>
      <c r="K473" s="1666"/>
      <c r="L473" s="1666"/>
      <c r="M473" s="1666"/>
      <c r="N473" s="1666"/>
      <c r="O473" s="1666"/>
      <c r="P473" s="1666"/>
      <c r="Q473" s="1666"/>
      <c r="R473" s="1666"/>
      <c r="S473" s="1666"/>
      <c r="T473" s="1666"/>
      <c r="U473" s="1666"/>
      <c r="V473" s="1666"/>
      <c r="W473" s="1666"/>
      <c r="X473" s="1666"/>
      <c r="Y473" s="1666"/>
      <c r="Z473" s="1666"/>
      <c r="AA473" s="1666"/>
      <c r="AB473" s="1666"/>
      <c r="AC473" s="1666"/>
      <c r="AD473" s="1666"/>
      <c r="AE473" s="1666"/>
      <c r="AF473" s="1666"/>
      <c r="AG473" s="1666"/>
      <c r="AH473" s="1666"/>
      <c r="AI473" s="1666"/>
      <c r="AJ473" s="1666"/>
      <c r="AK473" s="1666"/>
      <c r="AL473" s="166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7"/>
      <c r="B474" s="1667"/>
      <c r="C474" s="1667"/>
      <c r="D474" s="1667"/>
      <c r="E474" s="1667"/>
      <c r="F474" s="1667"/>
      <c r="G474" s="1667"/>
      <c r="H474" s="1667"/>
      <c r="I474" s="1667"/>
      <c r="J474" s="1667"/>
      <c r="K474" s="1667"/>
      <c r="L474" s="1667"/>
      <c r="M474" s="1667"/>
      <c r="N474" s="1667"/>
      <c r="O474" s="1667"/>
      <c r="P474" s="1667"/>
      <c r="Q474" s="1667"/>
      <c r="R474" s="1667"/>
      <c r="S474" s="1667"/>
      <c r="T474" s="1667"/>
      <c r="U474" s="1667"/>
      <c r="V474" s="1667"/>
      <c r="W474" s="1667"/>
      <c r="X474" s="1667"/>
      <c r="Y474" s="1667"/>
      <c r="Z474" s="1667"/>
      <c r="AA474" s="1667"/>
      <c r="AB474" s="1667"/>
      <c r="AC474" s="1667"/>
      <c r="AD474" s="1667"/>
      <c r="AE474" s="1667"/>
      <c r="AF474" s="1667"/>
      <c r="AG474" s="1667"/>
      <c r="AH474" s="1667"/>
      <c r="AI474" s="1667"/>
      <c r="AJ474" s="1667"/>
      <c r="AK474" s="1667"/>
      <c r="AL474" s="166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9" t="s">
        <v>1112</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7" t="s">
        <v>864</v>
      </c>
      <c r="U479" s="2007"/>
      <c r="V479" s="2007"/>
      <c r="W479" s="2007"/>
      <c r="X479" s="2007"/>
      <c r="Y479" s="2007" t="s">
        <v>865</v>
      </c>
      <c r="Z479" s="2007"/>
      <c r="AA479" s="2007"/>
      <c r="AB479" s="2007"/>
      <c r="AC479" s="2007"/>
      <c r="AD479" s="2007" t="s">
        <v>925</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78"/>
      <c r="U481" s="1978"/>
      <c r="V481" s="1978"/>
      <c r="W481" s="1978"/>
      <c r="X481" s="1978"/>
      <c r="Y481" s="1978"/>
      <c r="Z481" s="1978"/>
      <c r="AA481" s="1978"/>
      <c r="AB481" s="1978"/>
      <c r="AC481" s="1978"/>
      <c r="AD481" s="1978">
        <v>37810</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78"/>
      <c r="U482" s="1978"/>
      <c r="V482" s="1978"/>
      <c r="W482" s="1978"/>
      <c r="X482" s="1978"/>
      <c r="Y482" s="1978"/>
      <c r="Z482" s="1978"/>
      <c r="AA482" s="1978"/>
      <c r="AB482" s="1978"/>
      <c r="AC482" s="1978"/>
      <c r="AD482" s="1978"/>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78"/>
      <c r="U483" s="1978"/>
      <c r="V483" s="1978"/>
      <c r="W483" s="1978"/>
      <c r="X483" s="1978"/>
      <c r="Y483" s="1978"/>
      <c r="Z483" s="1978"/>
      <c r="AA483" s="1978"/>
      <c r="AB483" s="1978"/>
      <c r="AC483" s="1978"/>
      <c r="AD483" s="1978"/>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78">
        <v>44896</v>
      </c>
      <c r="U484" s="1978"/>
      <c r="V484" s="1978"/>
      <c r="W484" s="1978"/>
      <c r="X484" s="1978"/>
      <c r="Y484" s="1978">
        <v>45015</v>
      </c>
      <c r="Z484" s="1978"/>
      <c r="AA484" s="1978"/>
      <c r="AB484" s="1978"/>
      <c r="AC484" s="1978"/>
      <c r="AD484" s="1978"/>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78"/>
      <c r="U485" s="1978"/>
      <c r="V485" s="1978"/>
      <c r="W485" s="1978"/>
      <c r="X485" s="1978"/>
      <c r="Y485" s="1978"/>
      <c r="Z485" s="1978"/>
      <c r="AA485" s="1978"/>
      <c r="AB485" s="1978"/>
      <c r="AC485" s="1978"/>
      <c r="AD485" s="1978"/>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78"/>
      <c r="U486" s="1978"/>
      <c r="V486" s="1978"/>
      <c r="W486" s="1978"/>
      <c r="X486" s="1978"/>
      <c r="Y486" s="1978"/>
      <c r="Z486" s="1978"/>
      <c r="AA486" s="1978"/>
      <c r="AB486" s="1978"/>
      <c r="AC486" s="1978"/>
      <c r="AD486" s="1978">
        <v>44727</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78"/>
      <c r="U487" s="1978"/>
      <c r="V487" s="1978"/>
      <c r="W487" s="1978"/>
      <c r="X487" s="1978"/>
      <c r="Y487" s="1978"/>
      <c r="Z487" s="1978"/>
      <c r="AA487" s="1978"/>
      <c r="AB487" s="1978"/>
      <c r="AC487" s="1978"/>
      <c r="AD487" s="1978">
        <v>44305</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78"/>
      <c r="U488" s="1978"/>
      <c r="V488" s="1978"/>
      <c r="W488" s="1978"/>
      <c r="X488" s="1978"/>
      <c r="Y488" s="1978"/>
      <c r="Z488" s="1978"/>
      <c r="AA488" s="1978"/>
      <c r="AB488" s="1978"/>
      <c r="AC488" s="1978"/>
      <c r="AD488" s="1978">
        <v>44305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78"/>
      <c r="U489" s="1978"/>
      <c r="V489" s="1978"/>
      <c r="W489" s="1978"/>
      <c r="X489" s="1978"/>
      <c r="Y489" s="1978"/>
      <c r="Z489" s="1978"/>
      <c r="AA489" s="1978"/>
      <c r="AB489" s="1978"/>
      <c r="AC489" s="1978"/>
      <c r="AD489" s="1978">
        <v>44305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78"/>
      <c r="U490" s="1978"/>
      <c r="V490" s="1978"/>
      <c r="W490" s="1978"/>
      <c r="X490" s="1978"/>
      <c r="Y490" s="1978"/>
      <c r="Z490" s="1978"/>
      <c r="AA490" s="1978"/>
      <c r="AB490" s="1978"/>
      <c r="AC490" s="1978"/>
      <c r="AD490" s="1978"/>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9" t="s">
        <v>264</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710" t="s">
        <v>2407</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710" t="s">
        <v>2408</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710" t="s">
        <v>2409</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268</v>
      </c>
      <c r="C496" s="2002"/>
      <c r="D496" s="2002"/>
      <c r="E496" s="2002"/>
      <c r="F496" s="2002"/>
      <c r="G496" s="2002"/>
      <c r="H496" s="2002"/>
      <c r="I496" s="2002"/>
      <c r="J496" s="2002"/>
      <c r="K496" s="2002"/>
      <c r="L496" s="2002"/>
      <c r="M496" s="2002"/>
      <c r="N496" s="2002"/>
      <c r="O496" s="2002"/>
      <c r="P496" s="2003"/>
      <c r="Q496" s="2108" t="s">
        <v>118</v>
      </c>
      <c r="R496" s="2109"/>
      <c r="S496" s="2112" t="s">
        <v>2410</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2194</v>
      </c>
      <c r="C498" s="1348"/>
      <c r="D498" s="1348"/>
      <c r="E498" s="1348"/>
      <c r="F498" s="1348"/>
      <c r="G498" s="1348"/>
      <c r="H498" s="1348"/>
      <c r="I498" s="1348"/>
      <c r="J498" s="1348"/>
      <c r="K498" s="1348"/>
      <c r="L498" s="1348"/>
      <c r="M498" s="1348"/>
      <c r="N498" s="1348"/>
      <c r="O498" s="1348"/>
      <c r="P498" s="1348"/>
      <c r="Q498" s="2118" t="s">
        <v>527</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710" t="s">
        <v>527</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710" t="s">
        <v>2411</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710">
        <v>173</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946">
        <v>173</v>
      </c>
      <c r="N502" s="1661"/>
      <c r="O502" s="1661"/>
      <c r="P502" s="1947"/>
      <c r="Q502" s="1384" t="s">
        <v>2197</v>
      </c>
      <c r="R502" s="1385"/>
      <c r="S502" s="1385"/>
      <c r="T502" s="1385"/>
      <c r="U502" s="1385"/>
      <c r="V502" s="1385"/>
      <c r="W502" s="1385"/>
      <c r="X502" s="1385"/>
      <c r="Y502" s="1385"/>
      <c r="Z502" s="1385"/>
      <c r="AA502" s="1385"/>
      <c r="AB502" s="1385"/>
      <c r="AC502" s="1385"/>
      <c r="AD502" s="1385"/>
      <c r="AE502" s="1385"/>
      <c r="AF502" s="1385"/>
      <c r="AG502" s="1385"/>
      <c r="AH502" s="1946"/>
      <c r="AI502" s="1661"/>
      <c r="AJ502" s="1661"/>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272</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273</v>
      </c>
      <c r="AD507" s="1995"/>
      <c r="AE507" s="1995"/>
      <c r="AF507" s="1995"/>
      <c r="AG507" s="96" t="s">
        <v>274</v>
      </c>
      <c r="AH507" s="1995" t="s">
        <v>275</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1" t="s">
        <v>276</v>
      </c>
      <c r="C508" s="1672"/>
      <c r="D508" s="1672"/>
      <c r="E508" s="1672"/>
      <c r="F508" s="1672"/>
      <c r="G508" s="1672"/>
      <c r="H508" s="1673"/>
      <c r="I508" s="86" t="s">
        <v>732</v>
      </c>
      <c r="J508" s="86"/>
      <c r="K508" s="86"/>
      <c r="L508" s="86"/>
      <c r="M508" s="86"/>
      <c r="N508" s="86"/>
      <c r="O508" s="86"/>
      <c r="P508" s="86"/>
      <c r="Q508" s="86"/>
      <c r="R508" s="86"/>
      <c r="S508" s="86"/>
      <c r="T508" s="86"/>
      <c r="U508" s="86"/>
      <c r="V508" s="86"/>
      <c r="W508" s="86"/>
      <c r="X508" s="35"/>
      <c r="Y508" s="35"/>
      <c r="AC508" s="1955">
        <v>7</v>
      </c>
      <c r="AD508" s="1850"/>
      <c r="AE508" s="1850"/>
      <c r="AF508" s="1850"/>
      <c r="AG508" s="89" t="s">
        <v>274</v>
      </c>
      <c r="AH508" s="1713">
        <v>2003</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4"/>
      <c r="C509" s="1675"/>
      <c r="D509" s="1675"/>
      <c r="E509" s="1675"/>
      <c r="F509" s="1675"/>
      <c r="G509" s="1675"/>
      <c r="H509" s="1676"/>
      <c r="I509" s="94" t="s">
        <v>733</v>
      </c>
      <c r="J509" s="94"/>
      <c r="K509" s="94"/>
      <c r="L509" s="94"/>
      <c r="M509" s="94"/>
      <c r="N509" s="94"/>
      <c r="O509" s="94"/>
      <c r="P509" s="94"/>
      <c r="Q509" s="94"/>
      <c r="R509" s="94"/>
      <c r="S509" s="94"/>
      <c r="T509" s="94"/>
      <c r="U509" s="94"/>
      <c r="V509" s="94"/>
      <c r="W509" s="94"/>
      <c r="X509" s="94"/>
      <c r="Y509" s="94"/>
      <c r="Z509" s="94"/>
      <c r="AA509" s="94"/>
      <c r="AB509" s="94"/>
      <c r="AC509" s="1955">
        <v>3</v>
      </c>
      <c r="AD509" s="1850"/>
      <c r="AE509" s="1850"/>
      <c r="AF509" s="1850"/>
      <c r="AG509" s="79" t="s">
        <v>274</v>
      </c>
      <c r="AH509" s="1713">
        <v>2021</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1" t="s">
        <v>734</v>
      </c>
      <c r="C510" s="1672"/>
      <c r="D510" s="1672"/>
      <c r="E510" s="1672"/>
      <c r="F510" s="1672"/>
      <c r="G510" s="1672"/>
      <c r="H510" s="1673"/>
      <c r="I510" s="86" t="s">
        <v>735</v>
      </c>
      <c r="J510" s="86"/>
      <c r="K510" s="86"/>
      <c r="L510" s="86"/>
      <c r="M510" s="86"/>
      <c r="N510" s="86"/>
      <c r="O510" s="86"/>
      <c r="P510" s="86"/>
      <c r="Q510" s="86"/>
      <c r="R510" s="86"/>
      <c r="S510" s="86"/>
      <c r="T510" s="86"/>
      <c r="U510" s="86"/>
      <c r="V510" s="86"/>
      <c r="W510" s="86"/>
      <c r="X510" s="35"/>
      <c r="Y510" s="35"/>
      <c r="AC510" s="1955">
        <v>4</v>
      </c>
      <c r="AD510" s="1850"/>
      <c r="AE510" s="1850"/>
      <c r="AF510" s="1850"/>
      <c r="AG510" s="89" t="s">
        <v>274</v>
      </c>
      <c r="AH510" s="1713">
        <v>2021</v>
      </c>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4"/>
      <c r="C511" s="1675"/>
      <c r="D511" s="1675"/>
      <c r="E511" s="1675"/>
      <c r="F511" s="1675"/>
      <c r="G511" s="1675"/>
      <c r="H511" s="1676"/>
      <c r="I511" s="35" t="s">
        <v>736</v>
      </c>
      <c r="J511" s="35"/>
      <c r="K511" s="35"/>
      <c r="L511" s="35"/>
      <c r="M511" s="35"/>
      <c r="N511" s="35"/>
      <c r="O511" s="35"/>
      <c r="P511" s="35"/>
      <c r="Q511" s="35"/>
      <c r="R511" s="35"/>
      <c r="S511" s="35"/>
      <c r="T511" s="35"/>
      <c r="U511" s="35"/>
      <c r="V511" s="35"/>
      <c r="W511" s="35"/>
      <c r="X511" s="35"/>
      <c r="Y511" s="35"/>
      <c r="AC511" s="1955">
        <v>4</v>
      </c>
      <c r="AD511" s="1850"/>
      <c r="AE511" s="1850"/>
      <c r="AF511" s="1850"/>
      <c r="AG511" s="89" t="s">
        <v>274</v>
      </c>
      <c r="AH511" s="1713">
        <v>2021</v>
      </c>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4"/>
      <c r="C512" s="1675"/>
      <c r="D512" s="1675"/>
      <c r="E512" s="1675"/>
      <c r="F512" s="1675"/>
      <c r="G512" s="1675"/>
      <c r="H512" s="1676"/>
      <c r="I512" s="35" t="s">
        <v>737</v>
      </c>
      <c r="J512" s="35"/>
      <c r="K512" s="35"/>
      <c r="L512" s="35"/>
      <c r="M512" s="35"/>
      <c r="N512" s="35"/>
      <c r="O512" s="35"/>
      <c r="P512" s="35"/>
      <c r="Q512" s="35"/>
      <c r="R512" s="35"/>
      <c r="S512" s="35"/>
      <c r="T512" s="35"/>
      <c r="U512" s="35"/>
      <c r="V512" s="35"/>
      <c r="W512" s="35"/>
      <c r="X512" s="35"/>
      <c r="Y512" s="35"/>
      <c r="AC512" s="1955">
        <v>2</v>
      </c>
      <c r="AD512" s="1850"/>
      <c r="AE512" s="1850"/>
      <c r="AF512" s="1850"/>
      <c r="AG512" s="89" t="s">
        <v>274</v>
      </c>
      <c r="AH512" s="1713">
        <v>2021</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4"/>
      <c r="C513" s="1675"/>
      <c r="D513" s="1675"/>
      <c r="E513" s="1675"/>
      <c r="F513" s="1675"/>
      <c r="G513" s="1675"/>
      <c r="H513" s="1676"/>
      <c r="I513" s="35" t="s">
        <v>738</v>
      </c>
      <c r="J513" s="35"/>
      <c r="K513" s="35"/>
      <c r="L513" s="35"/>
      <c r="M513" s="35"/>
      <c r="N513" s="35"/>
      <c r="O513" s="35"/>
      <c r="P513" s="35"/>
      <c r="Q513" s="35"/>
      <c r="R513" s="35"/>
      <c r="S513" s="35"/>
      <c r="T513" s="35"/>
      <c r="U513" s="35"/>
      <c r="V513" s="35"/>
      <c r="W513" s="35"/>
      <c r="X513" s="35"/>
      <c r="Y513" s="35"/>
      <c r="AC513" s="1955" t="s">
        <v>134</v>
      </c>
      <c r="AD513" s="1850"/>
      <c r="AE513" s="1850"/>
      <c r="AF513" s="1850"/>
      <c r="AG513" s="89" t="s">
        <v>274</v>
      </c>
      <c r="AH513" s="1713"/>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4"/>
      <c r="C514" s="1675"/>
      <c r="D514" s="1675"/>
      <c r="E514" s="1675"/>
      <c r="F514" s="1675"/>
      <c r="G514" s="1675"/>
      <c r="H514" s="1676"/>
      <c r="I514" s="326" t="s">
        <v>739</v>
      </c>
      <c r="J514" s="35"/>
      <c r="K514" s="35"/>
      <c r="L514" s="35"/>
      <c r="M514" s="35"/>
      <c r="N514" s="35"/>
      <c r="O514" s="35"/>
      <c r="P514" s="35"/>
      <c r="Q514" s="35"/>
      <c r="R514" s="35"/>
      <c r="S514" s="35"/>
      <c r="T514" s="35"/>
      <c r="U514" s="35"/>
      <c r="V514" s="35"/>
      <c r="W514" s="35"/>
      <c r="X514" s="35"/>
      <c r="Y514" s="35"/>
      <c r="AC514" s="1785" t="s">
        <v>134</v>
      </c>
      <c r="AD514" s="1786"/>
      <c r="AE514" s="1786"/>
      <c r="AF514" s="1786"/>
      <c r="AG514" s="1350" t="s">
        <v>274</v>
      </c>
      <c r="AH514" s="1713"/>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4"/>
      <c r="C515" s="1675"/>
      <c r="D515" s="1675"/>
      <c r="E515" s="1675"/>
      <c r="F515" s="1675"/>
      <c r="G515" s="1675"/>
      <c r="H515" s="1676"/>
      <c r="I515" s="624" t="s">
        <v>309</v>
      </c>
      <c r="J515" s="94"/>
      <c r="K515" s="94"/>
      <c r="L515" s="2090" t="s">
        <v>618</v>
      </c>
      <c r="M515" s="2091"/>
      <c r="N515" s="2091"/>
      <c r="O515" s="2091"/>
      <c r="P515" s="2091"/>
      <c r="Q515" s="2091"/>
      <c r="R515" s="2091"/>
      <c r="S515" s="2091"/>
      <c r="T515" s="2091"/>
      <c r="U515" s="2091"/>
      <c r="V515" s="2091"/>
      <c r="W515" s="2091"/>
      <c r="X515" s="2091"/>
      <c r="Y515" s="2091"/>
      <c r="Z515" s="2091"/>
      <c r="AA515" s="2091"/>
      <c r="AB515" s="2092"/>
      <c r="AC515" s="2075" t="s">
        <v>134</v>
      </c>
      <c r="AD515" s="1837"/>
      <c r="AE515" s="1837"/>
      <c r="AF515" s="1837"/>
      <c r="AG515" s="1346" t="s">
        <v>274</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4"/>
      <c r="C516" s="1675"/>
      <c r="D516" s="1675"/>
      <c r="E516" s="1675"/>
      <c r="F516" s="1675"/>
      <c r="G516" s="1675"/>
      <c r="H516" s="1676"/>
      <c r="I516" s="1070" t="s">
        <v>2198</v>
      </c>
      <c r="J516" s="35"/>
      <c r="K516" s="35"/>
      <c r="L516" s="35"/>
      <c r="M516" s="35"/>
      <c r="N516" s="35"/>
      <c r="O516" s="35"/>
      <c r="P516" s="35"/>
      <c r="Q516" s="35"/>
      <c r="R516" s="35"/>
      <c r="S516" s="35"/>
      <c r="T516" s="35"/>
      <c r="U516" s="35"/>
      <c r="V516" s="35"/>
      <c r="W516" s="35"/>
      <c r="X516" s="35"/>
      <c r="Y516" s="35"/>
      <c r="AC516" s="2076" t="s">
        <v>2189</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4"/>
      <c r="C517" s="1675"/>
      <c r="D517" s="1675"/>
      <c r="E517" s="1675"/>
      <c r="F517" s="1675"/>
      <c r="G517" s="1675"/>
      <c r="H517" s="1676"/>
      <c r="I517" s="623" t="s">
        <v>2199</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4"/>
      <c r="C518" s="1675"/>
      <c r="D518" s="1675"/>
      <c r="E518" s="1675"/>
      <c r="F518" s="1675"/>
      <c r="G518" s="1675"/>
      <c r="H518" s="1676"/>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4"/>
      <c r="C519" s="1675"/>
      <c r="D519" s="1675"/>
      <c r="E519" s="1675"/>
      <c r="F519" s="1675"/>
      <c r="G519" s="1675"/>
      <c r="H519" s="1676"/>
      <c r="I519" s="1390" t="s">
        <v>2201</v>
      </c>
      <c r="J519" s="94"/>
      <c r="K519" s="94"/>
      <c r="L519" s="94"/>
      <c r="M519" s="94"/>
      <c r="N519" s="94"/>
      <c r="O519" s="94"/>
      <c r="P519" s="94"/>
      <c r="Q519" s="94"/>
      <c r="R519" s="94"/>
      <c r="S519" s="94"/>
      <c r="T519" s="94"/>
      <c r="U519" s="94"/>
      <c r="V519" s="94"/>
      <c r="W519" s="94"/>
      <c r="X519" s="94"/>
      <c r="Y519" s="94"/>
      <c r="Z519" s="94"/>
      <c r="AA519" s="94"/>
      <c r="AB519" s="94"/>
      <c r="AC519" s="2085"/>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1" t="s">
        <v>740</v>
      </c>
      <c r="C520" s="1672"/>
      <c r="D520" s="1672"/>
      <c r="E520" s="1672"/>
      <c r="F520" s="1672"/>
      <c r="G520" s="1672"/>
      <c r="H520" s="1673"/>
      <c r="I520" s="86" t="s">
        <v>741</v>
      </c>
      <c r="J520" s="86"/>
      <c r="K520" s="86"/>
      <c r="L520" s="86"/>
      <c r="M520" s="86"/>
      <c r="N520" s="86"/>
      <c r="O520" s="86"/>
      <c r="P520" s="86"/>
      <c r="Q520" s="86"/>
      <c r="R520" s="86"/>
      <c r="S520" s="86"/>
      <c r="T520" s="86"/>
      <c r="U520" s="86"/>
      <c r="V520" s="86"/>
      <c r="W520" s="86"/>
      <c r="X520" s="35"/>
      <c r="Y520" s="35"/>
      <c r="AC520" s="1955" t="s">
        <v>134</v>
      </c>
      <c r="AD520" s="1850"/>
      <c r="AE520" s="1850"/>
      <c r="AF520" s="1850"/>
      <c r="AG520" s="89" t="s">
        <v>274</v>
      </c>
      <c r="AH520" s="1713"/>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4"/>
      <c r="C521" s="1675"/>
      <c r="D521" s="1675"/>
      <c r="E521" s="1675"/>
      <c r="F521" s="1675"/>
      <c r="G521" s="1675"/>
      <c r="H521" s="1676"/>
      <c r="I521" s="35" t="s">
        <v>742</v>
      </c>
      <c r="J521" s="35"/>
      <c r="K521" s="35"/>
      <c r="L521" s="35"/>
      <c r="M521" s="35"/>
      <c r="N521" s="35"/>
      <c r="O521" s="35"/>
      <c r="P521" s="35"/>
      <c r="Q521" s="35"/>
      <c r="R521" s="35"/>
      <c r="S521" s="35"/>
      <c r="T521" s="35"/>
      <c r="U521" s="35"/>
      <c r="V521" s="35"/>
      <c r="W521" s="35"/>
      <c r="X521" s="35"/>
      <c r="Y521" s="35"/>
      <c r="AC521" s="1955">
        <v>6</v>
      </c>
      <c r="AD521" s="1850"/>
      <c r="AE521" s="1850"/>
      <c r="AF521" s="1850"/>
      <c r="AG521" s="89" t="s">
        <v>274</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4"/>
      <c r="C522" s="1675"/>
      <c r="D522" s="1675"/>
      <c r="E522" s="1675"/>
      <c r="F522" s="1675"/>
      <c r="G522" s="1675"/>
      <c r="H522" s="1676"/>
      <c r="I522" s="94" t="s">
        <v>743</v>
      </c>
      <c r="J522" s="94"/>
      <c r="K522" s="94"/>
      <c r="L522" s="94"/>
      <c r="M522" s="94"/>
      <c r="N522" s="94"/>
      <c r="O522" s="94"/>
      <c r="P522" s="94"/>
      <c r="Q522" s="94"/>
      <c r="R522" s="94"/>
      <c r="S522" s="94"/>
      <c r="T522" s="94"/>
      <c r="U522" s="94"/>
      <c r="V522" s="94"/>
      <c r="W522" s="94"/>
      <c r="X522" s="94"/>
      <c r="Y522" s="94"/>
      <c r="Z522" s="94"/>
      <c r="AA522" s="94"/>
      <c r="AB522" s="94"/>
      <c r="AC522" s="1955">
        <v>3</v>
      </c>
      <c r="AD522" s="1850"/>
      <c r="AE522" s="1850"/>
      <c r="AF522" s="1850"/>
      <c r="AG522" s="79" t="s">
        <v>274</v>
      </c>
      <c r="AH522" s="1713">
        <v>2023</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1" t="s">
        <v>744</v>
      </c>
      <c r="C523" s="1672"/>
      <c r="D523" s="1672"/>
      <c r="E523" s="1672"/>
      <c r="F523" s="1672"/>
      <c r="G523" s="1672"/>
      <c r="H523" s="1673"/>
      <c r="I523" s="86" t="s">
        <v>741</v>
      </c>
      <c r="J523" s="86"/>
      <c r="K523" s="86"/>
      <c r="L523" s="86"/>
      <c r="M523" s="86"/>
      <c r="N523" s="86"/>
      <c r="O523" s="86"/>
      <c r="P523" s="86"/>
      <c r="Q523" s="86"/>
      <c r="R523" s="86"/>
      <c r="S523" s="86"/>
      <c r="T523" s="86"/>
      <c r="U523" s="86"/>
      <c r="V523" s="86"/>
      <c r="W523" s="86"/>
      <c r="X523" s="86"/>
      <c r="Y523" s="86"/>
      <c r="Z523" s="86"/>
      <c r="AA523" s="86"/>
      <c r="AB523" s="86"/>
      <c r="AC523" s="1823" t="s">
        <v>134</v>
      </c>
      <c r="AD523" s="1824"/>
      <c r="AE523" s="1824"/>
      <c r="AF523" s="1824"/>
      <c r="AG523" s="360" t="s">
        <v>274</v>
      </c>
      <c r="AH523" s="1713"/>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4"/>
      <c r="C524" s="1675"/>
      <c r="D524" s="1675"/>
      <c r="E524" s="1675"/>
      <c r="F524" s="1675"/>
      <c r="G524" s="1675"/>
      <c r="H524" s="1676"/>
      <c r="I524" s="35" t="s">
        <v>742</v>
      </c>
      <c r="J524" s="35"/>
      <c r="K524" s="35"/>
      <c r="L524" s="35"/>
      <c r="M524" s="35"/>
      <c r="N524" s="35"/>
      <c r="O524" s="35"/>
      <c r="P524" s="35"/>
      <c r="Q524" s="35"/>
      <c r="R524" s="35"/>
      <c r="S524" s="35"/>
      <c r="T524" s="35"/>
      <c r="U524" s="35"/>
      <c r="V524" s="35"/>
      <c r="W524" s="35"/>
      <c r="X524" s="35"/>
      <c r="Y524" s="35"/>
      <c r="Z524" s="35"/>
      <c r="AA524" s="35"/>
      <c r="AB524" s="35"/>
      <c r="AC524" s="1955">
        <v>6</v>
      </c>
      <c r="AD524" s="1850"/>
      <c r="AE524" s="1850"/>
      <c r="AF524" s="1850"/>
      <c r="AG524" s="89" t="s">
        <v>274</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7"/>
      <c r="C525" s="1678"/>
      <c r="D525" s="1678"/>
      <c r="E525" s="1678"/>
      <c r="F525" s="1678"/>
      <c r="G525" s="1678"/>
      <c r="H525" s="1679"/>
      <c r="I525" s="94" t="s">
        <v>743</v>
      </c>
      <c r="J525" s="94"/>
      <c r="K525" s="94"/>
      <c r="L525" s="94"/>
      <c r="M525" s="94"/>
      <c r="N525" s="94"/>
      <c r="O525" s="94"/>
      <c r="P525" s="94"/>
      <c r="Q525" s="94"/>
      <c r="R525" s="94"/>
      <c r="S525" s="94"/>
      <c r="T525" s="94"/>
      <c r="U525" s="94"/>
      <c r="V525" s="94"/>
      <c r="W525" s="94"/>
      <c r="X525" s="94"/>
      <c r="Y525" s="94"/>
      <c r="Z525" s="94"/>
      <c r="AA525" s="94"/>
      <c r="AB525" s="94"/>
      <c r="AC525" s="1955" t="s">
        <v>134</v>
      </c>
      <c r="AD525" s="1850"/>
      <c r="AE525" s="1850"/>
      <c r="AF525" s="1850"/>
      <c r="AG525" s="79" t="s">
        <v>274</v>
      </c>
      <c r="AH525" s="1713"/>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1" t="s">
        <v>745</v>
      </c>
      <c r="C526" s="1672"/>
      <c r="D526" s="1672"/>
      <c r="E526" s="1672"/>
      <c r="F526" s="1672"/>
      <c r="G526" s="1672"/>
      <c r="H526" s="1673"/>
      <c r="I526" s="85" t="s">
        <v>746</v>
      </c>
      <c r="J526" s="86"/>
      <c r="K526" s="86"/>
      <c r="L526" s="86"/>
      <c r="M526" s="86"/>
      <c r="N526" s="86"/>
      <c r="O526" s="1654" t="s">
        <v>2400</v>
      </c>
      <c r="P526" s="1654"/>
      <c r="Q526" s="1654"/>
      <c r="R526" s="1654"/>
      <c r="S526" s="1654"/>
      <c r="T526" s="1654"/>
      <c r="U526" s="1654"/>
      <c r="V526" s="1654"/>
      <c r="W526" s="1654"/>
      <c r="X526" s="1654"/>
      <c r="Y526" s="1654"/>
      <c r="Z526" s="1654"/>
      <c r="AA526" s="1654"/>
      <c r="AB526" s="108"/>
      <c r="AC526" s="1823">
        <v>4</v>
      </c>
      <c r="AD526" s="1824"/>
      <c r="AE526" s="1824"/>
      <c r="AF526" s="1824"/>
      <c r="AG526" s="360" t="s">
        <v>274</v>
      </c>
      <c r="AH526" s="1713">
        <v>2021</v>
      </c>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4"/>
      <c r="C527" s="1675"/>
      <c r="D527" s="1675"/>
      <c r="E527" s="1675"/>
      <c r="F527" s="1675"/>
      <c r="G527" s="1675"/>
      <c r="H527" s="1676"/>
      <c r="I527" s="317" t="s">
        <v>747</v>
      </c>
      <c r="J527" s="35"/>
      <c r="K527" s="35"/>
      <c r="L527" s="35"/>
      <c r="M527" s="35"/>
      <c r="N527" s="35"/>
      <c r="O527" s="35"/>
      <c r="P527" s="35"/>
      <c r="Q527" s="35"/>
      <c r="R527" s="35"/>
      <c r="S527" s="35"/>
      <c r="T527" s="35"/>
      <c r="U527" s="35"/>
      <c r="V527" s="35"/>
      <c r="W527" s="35"/>
      <c r="X527" s="35"/>
      <c r="Y527" s="35"/>
      <c r="Z527" s="35"/>
      <c r="AA527" s="35"/>
      <c r="AB527" s="115"/>
      <c r="AC527" s="1955" t="s">
        <v>134</v>
      </c>
      <c r="AD527" s="1850"/>
      <c r="AE527" s="1850"/>
      <c r="AF527" s="1850"/>
      <c r="AG527" s="89" t="s">
        <v>274</v>
      </c>
      <c r="AH527" s="1713"/>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4"/>
      <c r="C528" s="1675"/>
      <c r="D528" s="1675"/>
      <c r="E528" s="1675"/>
      <c r="F528" s="1675"/>
      <c r="G528" s="1675"/>
      <c r="H528" s="1676"/>
      <c r="I528" s="93" t="s">
        <v>748</v>
      </c>
      <c r="J528" s="94"/>
      <c r="K528" s="94"/>
      <c r="L528" s="94"/>
      <c r="M528" s="94"/>
      <c r="N528" s="94"/>
      <c r="O528" s="94"/>
      <c r="P528" s="94"/>
      <c r="Q528" s="94"/>
      <c r="R528" s="94"/>
      <c r="S528" s="94"/>
      <c r="T528" s="94"/>
      <c r="U528" s="94"/>
      <c r="V528" s="94"/>
      <c r="W528" s="94"/>
      <c r="X528" s="94"/>
      <c r="Y528" s="94"/>
      <c r="Z528" s="94"/>
      <c r="AA528" s="94"/>
      <c r="AB528" s="95"/>
      <c r="AC528" s="1955" t="s">
        <v>134</v>
      </c>
      <c r="AD528" s="1850"/>
      <c r="AE528" s="1850"/>
      <c r="AF528" s="1850"/>
      <c r="AG528" s="79" t="s">
        <v>274</v>
      </c>
      <c r="AH528" s="1713"/>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4"/>
      <c r="C529" s="1675"/>
      <c r="D529" s="1675"/>
      <c r="E529" s="1675"/>
      <c r="F529" s="1675"/>
      <c r="G529" s="1675"/>
      <c r="H529" s="1676"/>
      <c r="I529" s="86" t="s">
        <v>749</v>
      </c>
      <c r="J529" s="86"/>
      <c r="K529" s="86"/>
      <c r="L529" s="86"/>
      <c r="M529" s="86"/>
      <c r="N529" s="86"/>
      <c r="O529" s="1662" t="s">
        <v>2412</v>
      </c>
      <c r="P529" s="1662"/>
      <c r="Q529" s="1662"/>
      <c r="R529" s="1662"/>
      <c r="S529" s="1662"/>
      <c r="T529" s="1662"/>
      <c r="U529" s="1662"/>
      <c r="V529" s="1662"/>
      <c r="W529" s="1662"/>
      <c r="X529" s="1662"/>
      <c r="Y529" s="1662"/>
      <c r="Z529" s="1662"/>
      <c r="AA529" s="1662"/>
      <c r="AC529" s="1955" t="s">
        <v>134</v>
      </c>
      <c r="AD529" s="1850"/>
      <c r="AE529" s="1850"/>
      <c r="AF529" s="1850"/>
      <c r="AG529" s="89" t="s">
        <v>274</v>
      </c>
      <c r="AH529" s="1713"/>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4"/>
      <c r="C530" s="1675"/>
      <c r="D530" s="1675"/>
      <c r="E530" s="1675"/>
      <c r="F530" s="1675"/>
      <c r="G530" s="1675"/>
      <c r="H530" s="1676"/>
      <c r="I530" s="35" t="s">
        <v>747</v>
      </c>
      <c r="J530" s="35"/>
      <c r="K530" s="35"/>
      <c r="L530" s="35"/>
      <c r="M530" s="35"/>
      <c r="N530" s="35"/>
      <c r="O530" s="35"/>
      <c r="P530" s="35"/>
      <c r="Q530" s="35"/>
      <c r="R530" s="35"/>
      <c r="S530" s="35"/>
      <c r="T530" s="35"/>
      <c r="U530" s="35"/>
      <c r="V530" s="35"/>
      <c r="W530" s="35"/>
      <c r="X530" s="35"/>
      <c r="Y530" s="35"/>
      <c r="AC530" s="1955" t="s">
        <v>134</v>
      </c>
      <c r="AD530" s="1850"/>
      <c r="AE530" s="1850"/>
      <c r="AF530" s="1850"/>
      <c r="AG530" s="89" t="s">
        <v>274</v>
      </c>
      <c r="AH530" s="1713"/>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4"/>
      <c r="C531" s="1675"/>
      <c r="D531" s="1675"/>
      <c r="E531" s="1675"/>
      <c r="F531" s="1675"/>
      <c r="G531" s="1675"/>
      <c r="H531" s="1676"/>
      <c r="I531" s="94" t="s">
        <v>748</v>
      </c>
      <c r="J531" s="94"/>
      <c r="K531" s="94"/>
      <c r="L531" s="94"/>
      <c r="M531" s="94"/>
      <c r="N531" s="94"/>
      <c r="O531" s="94"/>
      <c r="P531" s="94"/>
      <c r="Q531" s="94"/>
      <c r="R531" s="94"/>
      <c r="S531" s="94"/>
      <c r="T531" s="94"/>
      <c r="U531" s="94"/>
      <c r="V531" s="94"/>
      <c r="W531" s="94"/>
      <c r="X531" s="94"/>
      <c r="Y531" s="94"/>
      <c r="Z531" s="94"/>
      <c r="AA531" s="94"/>
      <c r="AB531" s="94"/>
      <c r="AC531" s="1955">
        <v>4</v>
      </c>
      <c r="AD531" s="1850"/>
      <c r="AE531" s="1850"/>
      <c r="AF531" s="1850"/>
      <c r="AG531" s="79" t="s">
        <v>274</v>
      </c>
      <c r="AH531" s="1713">
        <v>2022</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4"/>
      <c r="C532" s="1675"/>
      <c r="D532" s="1675"/>
      <c r="E532" s="1675"/>
      <c r="F532" s="1675"/>
      <c r="G532" s="1675"/>
      <c r="H532" s="1676"/>
      <c r="I532" s="86" t="s">
        <v>749</v>
      </c>
      <c r="J532" s="86"/>
      <c r="K532" s="86"/>
      <c r="L532" s="86"/>
      <c r="M532" s="86"/>
      <c r="N532" s="86"/>
      <c r="O532" s="1662" t="s">
        <v>618</v>
      </c>
      <c r="P532" s="1662"/>
      <c r="Q532" s="1662"/>
      <c r="R532" s="1662"/>
      <c r="S532" s="1662"/>
      <c r="T532" s="1662"/>
      <c r="U532" s="1662"/>
      <c r="V532" s="1662"/>
      <c r="W532" s="1662"/>
      <c r="X532" s="1662"/>
      <c r="Y532" s="1662"/>
      <c r="Z532" s="1662"/>
      <c r="AA532" s="1662"/>
      <c r="AC532" s="1955" t="s">
        <v>134</v>
      </c>
      <c r="AD532" s="1850"/>
      <c r="AE532" s="1850"/>
      <c r="AF532" s="1850"/>
      <c r="AG532" s="89" t="s">
        <v>274</v>
      </c>
      <c r="AH532" s="1713"/>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4"/>
      <c r="C533" s="1675"/>
      <c r="D533" s="1675"/>
      <c r="E533" s="1675"/>
      <c r="F533" s="1675"/>
      <c r="G533" s="1675"/>
      <c r="H533" s="1676"/>
      <c r="I533" s="35" t="s">
        <v>747</v>
      </c>
      <c r="J533" s="35"/>
      <c r="K533" s="35"/>
      <c r="L533" s="35"/>
      <c r="M533" s="35"/>
      <c r="N533" s="35"/>
      <c r="O533" s="35"/>
      <c r="P533" s="35"/>
      <c r="Q533" s="35"/>
      <c r="R533" s="35"/>
      <c r="S533" s="35"/>
      <c r="T533" s="35"/>
      <c r="U533" s="35"/>
      <c r="V533" s="35"/>
      <c r="W533" s="35"/>
      <c r="X533" s="35"/>
      <c r="Y533" s="35"/>
      <c r="AC533" s="1955" t="s">
        <v>134</v>
      </c>
      <c r="AD533" s="1850"/>
      <c r="AE533" s="1850"/>
      <c r="AF533" s="1850"/>
      <c r="AG533" s="89" t="s">
        <v>274</v>
      </c>
      <c r="AH533" s="1713"/>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4"/>
      <c r="C534" s="1675"/>
      <c r="D534" s="1675"/>
      <c r="E534" s="1675"/>
      <c r="F534" s="1675"/>
      <c r="G534" s="1675"/>
      <c r="H534" s="1676"/>
      <c r="I534" s="94" t="s">
        <v>748</v>
      </c>
      <c r="J534" s="94"/>
      <c r="K534" s="94"/>
      <c r="L534" s="94"/>
      <c r="M534" s="94"/>
      <c r="N534" s="94"/>
      <c r="O534" s="94"/>
      <c r="P534" s="94"/>
      <c r="Q534" s="94"/>
      <c r="R534" s="94"/>
      <c r="S534" s="94"/>
      <c r="T534" s="94"/>
      <c r="U534" s="94"/>
      <c r="V534" s="94"/>
      <c r="W534" s="94"/>
      <c r="X534" s="94"/>
      <c r="Y534" s="94"/>
      <c r="Z534" s="94"/>
      <c r="AA534" s="94"/>
      <c r="AB534" s="94"/>
      <c r="AC534" s="1955" t="s">
        <v>134</v>
      </c>
      <c r="AD534" s="1850"/>
      <c r="AE534" s="1850"/>
      <c r="AF534" s="1850"/>
      <c r="AG534" s="79" t="s">
        <v>274</v>
      </c>
      <c r="AH534" s="1713"/>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4"/>
      <c r="C535" s="1675"/>
      <c r="D535" s="1675"/>
      <c r="E535" s="1675"/>
      <c r="F535" s="1675"/>
      <c r="G535" s="1675"/>
      <c r="H535" s="1676"/>
      <c r="I535" s="86" t="s">
        <v>749</v>
      </c>
      <c r="J535" s="86"/>
      <c r="K535" s="86"/>
      <c r="L535" s="86"/>
      <c r="M535" s="86"/>
      <c r="N535" s="86"/>
      <c r="O535" s="1662" t="s">
        <v>618</v>
      </c>
      <c r="P535" s="1662"/>
      <c r="Q535" s="1662"/>
      <c r="R535" s="1662"/>
      <c r="S535" s="1662"/>
      <c r="T535" s="1662"/>
      <c r="U535" s="1662"/>
      <c r="V535" s="1662"/>
      <c r="W535" s="1662"/>
      <c r="X535" s="1662"/>
      <c r="Y535" s="1662"/>
      <c r="Z535" s="1662"/>
      <c r="AA535" s="1662"/>
      <c r="AC535" s="1955" t="s">
        <v>134</v>
      </c>
      <c r="AD535" s="1850"/>
      <c r="AE535" s="1850"/>
      <c r="AF535" s="1850"/>
      <c r="AG535" s="89" t="s">
        <v>274</v>
      </c>
      <c r="AH535" s="1713"/>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4"/>
      <c r="C536" s="1675"/>
      <c r="D536" s="1675"/>
      <c r="E536" s="1675"/>
      <c r="F536" s="1675"/>
      <c r="G536" s="1675"/>
      <c r="H536" s="1676"/>
      <c r="I536" s="35" t="s">
        <v>747</v>
      </c>
      <c r="J536" s="35"/>
      <c r="K536" s="35"/>
      <c r="L536" s="35"/>
      <c r="M536" s="35"/>
      <c r="N536" s="35"/>
      <c r="O536" s="35"/>
      <c r="P536" s="35"/>
      <c r="Q536" s="35"/>
      <c r="R536" s="35"/>
      <c r="S536" s="35"/>
      <c r="T536" s="35"/>
      <c r="U536" s="35"/>
      <c r="V536" s="35"/>
      <c r="W536" s="35"/>
      <c r="X536" s="35"/>
      <c r="Y536" s="35"/>
      <c r="AC536" s="1955" t="s">
        <v>134</v>
      </c>
      <c r="AD536" s="1850"/>
      <c r="AE536" s="1850"/>
      <c r="AF536" s="1850"/>
      <c r="AG536" s="89" t="s">
        <v>274</v>
      </c>
      <c r="AH536" s="1713"/>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4"/>
      <c r="C537" s="1675"/>
      <c r="D537" s="1675"/>
      <c r="E537" s="1675"/>
      <c r="F537" s="1675"/>
      <c r="G537" s="1675"/>
      <c r="H537" s="1676"/>
      <c r="I537" s="94" t="s">
        <v>748</v>
      </c>
      <c r="J537" s="94"/>
      <c r="K537" s="94"/>
      <c r="L537" s="94"/>
      <c r="M537" s="94"/>
      <c r="N537" s="94"/>
      <c r="O537" s="94"/>
      <c r="P537" s="94"/>
      <c r="Q537" s="94"/>
      <c r="R537" s="94"/>
      <c r="S537" s="94"/>
      <c r="T537" s="94"/>
      <c r="U537" s="94"/>
      <c r="V537" s="94"/>
      <c r="W537" s="94"/>
      <c r="X537" s="94"/>
      <c r="Y537" s="94"/>
      <c r="Z537" s="94"/>
      <c r="AA537" s="94"/>
      <c r="AB537" s="94"/>
      <c r="AC537" s="1955" t="s">
        <v>134</v>
      </c>
      <c r="AD537" s="1850"/>
      <c r="AE537" s="1850"/>
      <c r="AF537" s="1850"/>
      <c r="AG537" s="79" t="s">
        <v>274</v>
      </c>
      <c r="AH537" s="1713"/>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4"/>
      <c r="C538" s="1675"/>
      <c r="D538" s="1675"/>
      <c r="E538" s="1675"/>
      <c r="F538" s="1675"/>
      <c r="G538" s="1675"/>
      <c r="H538" s="1676"/>
      <c r="I538" s="86" t="s">
        <v>749</v>
      </c>
      <c r="J538" s="86"/>
      <c r="K538" s="86"/>
      <c r="L538" s="86"/>
      <c r="M538" s="86"/>
      <c r="N538" s="86"/>
      <c r="O538" s="1662" t="s">
        <v>618</v>
      </c>
      <c r="P538" s="1662"/>
      <c r="Q538" s="1662"/>
      <c r="R538" s="1662"/>
      <c r="S538" s="1662"/>
      <c r="T538" s="1662"/>
      <c r="U538" s="1662"/>
      <c r="V538" s="1662"/>
      <c r="W538" s="1662"/>
      <c r="X538" s="1662"/>
      <c r="Y538" s="1662"/>
      <c r="Z538" s="1662"/>
      <c r="AA538" s="1662"/>
      <c r="AC538" s="1955" t="s">
        <v>134</v>
      </c>
      <c r="AD538" s="1850"/>
      <c r="AE538" s="1850"/>
      <c r="AF538" s="1850"/>
      <c r="AG538" s="89" t="s">
        <v>274</v>
      </c>
      <c r="AH538" s="1713"/>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4"/>
      <c r="C539" s="1675"/>
      <c r="D539" s="1675"/>
      <c r="E539" s="1675"/>
      <c r="F539" s="1675"/>
      <c r="G539" s="1675"/>
      <c r="H539" s="1676"/>
      <c r="I539" s="35" t="s">
        <v>747</v>
      </c>
      <c r="J539" s="35"/>
      <c r="K539" s="35"/>
      <c r="L539" s="35"/>
      <c r="M539" s="35"/>
      <c r="N539" s="35"/>
      <c r="O539" s="35"/>
      <c r="P539" s="35"/>
      <c r="Q539" s="35"/>
      <c r="R539" s="35"/>
      <c r="S539" s="35"/>
      <c r="T539" s="35"/>
      <c r="U539" s="35"/>
      <c r="V539" s="35"/>
      <c r="W539" s="35"/>
      <c r="X539" s="35"/>
      <c r="Y539" s="35"/>
      <c r="AC539" s="1955" t="s">
        <v>134</v>
      </c>
      <c r="AD539" s="1850"/>
      <c r="AE539" s="1850"/>
      <c r="AF539" s="1850"/>
      <c r="AG539" s="79" t="s">
        <v>274</v>
      </c>
      <c r="AH539" s="1713"/>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4"/>
      <c r="C540" s="1675"/>
      <c r="D540" s="1675"/>
      <c r="E540" s="1675"/>
      <c r="F540" s="1675"/>
      <c r="G540" s="1675"/>
      <c r="H540" s="1676"/>
      <c r="I540" s="94" t="s">
        <v>748</v>
      </c>
      <c r="J540" s="94"/>
      <c r="K540" s="94"/>
      <c r="L540" s="94"/>
      <c r="M540" s="94"/>
      <c r="N540" s="94"/>
      <c r="O540" s="94"/>
      <c r="P540" s="94"/>
      <c r="Q540" s="94"/>
      <c r="R540" s="94"/>
      <c r="S540" s="94"/>
      <c r="T540" s="94"/>
      <c r="U540" s="94"/>
      <c r="V540" s="94"/>
      <c r="W540" s="94"/>
      <c r="X540" s="94"/>
      <c r="Y540" s="94"/>
      <c r="Z540" s="94"/>
      <c r="AA540" s="94"/>
      <c r="AB540" s="94"/>
      <c r="AC540" s="1955" t="s">
        <v>134</v>
      </c>
      <c r="AD540" s="1850"/>
      <c r="AE540" s="1850"/>
      <c r="AF540" s="1850"/>
      <c r="AG540" s="89" t="s">
        <v>274</v>
      </c>
      <c r="AH540" s="1713"/>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4"/>
      <c r="C541" s="1675"/>
      <c r="D541" s="1675"/>
      <c r="E541" s="1675"/>
      <c r="F541" s="1675"/>
      <c r="G541" s="1675"/>
      <c r="H541" s="1676"/>
      <c r="I541" s="86" t="s">
        <v>749</v>
      </c>
      <c r="J541" s="86"/>
      <c r="K541" s="86"/>
      <c r="L541" s="86"/>
      <c r="M541" s="86"/>
      <c r="N541" s="86"/>
      <c r="O541" s="1662" t="s">
        <v>618</v>
      </c>
      <c r="P541" s="1662"/>
      <c r="Q541" s="1662"/>
      <c r="R541" s="1662"/>
      <c r="S541" s="1662"/>
      <c r="T541" s="1662"/>
      <c r="U541" s="1662"/>
      <c r="V541" s="1662"/>
      <c r="W541" s="1662"/>
      <c r="X541" s="1662"/>
      <c r="Y541" s="1662"/>
      <c r="Z541" s="1662"/>
      <c r="AA541" s="1662"/>
      <c r="AC541" s="1955" t="s">
        <v>134</v>
      </c>
      <c r="AD541" s="1850"/>
      <c r="AE541" s="1850"/>
      <c r="AF541" s="1850"/>
      <c r="AG541" s="79" t="s">
        <v>274</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4"/>
      <c r="C542" s="1675"/>
      <c r="D542" s="1675"/>
      <c r="E542" s="1675"/>
      <c r="F542" s="1675"/>
      <c r="G542" s="1675"/>
      <c r="H542" s="1676"/>
      <c r="I542" s="35" t="s">
        <v>747</v>
      </c>
      <c r="J542" s="35"/>
      <c r="K542" s="35"/>
      <c r="L542" s="35"/>
      <c r="M542" s="35"/>
      <c r="N542" s="35"/>
      <c r="O542" s="35"/>
      <c r="P542" s="35"/>
      <c r="Q542" s="35"/>
      <c r="R542" s="35"/>
      <c r="S542" s="35"/>
      <c r="T542" s="35"/>
      <c r="U542" s="35"/>
      <c r="V542" s="35"/>
      <c r="W542" s="35"/>
      <c r="X542" s="35"/>
      <c r="Y542" s="35"/>
      <c r="AC542" s="1955" t="s">
        <v>134</v>
      </c>
      <c r="AD542" s="1850"/>
      <c r="AE542" s="1850"/>
      <c r="AF542" s="1850"/>
      <c r="AG542" s="89" t="s">
        <v>274</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4"/>
      <c r="C543" s="1675"/>
      <c r="D543" s="1675"/>
      <c r="E543" s="1675"/>
      <c r="F543" s="1675"/>
      <c r="G543" s="1675"/>
      <c r="H543" s="1676"/>
      <c r="I543" s="94" t="s">
        <v>748</v>
      </c>
      <c r="J543" s="94"/>
      <c r="K543" s="94"/>
      <c r="L543" s="94"/>
      <c r="M543" s="94"/>
      <c r="N543" s="94"/>
      <c r="O543" s="94"/>
      <c r="P543" s="94"/>
      <c r="Q543" s="94"/>
      <c r="R543" s="94"/>
      <c r="S543" s="94"/>
      <c r="T543" s="94"/>
      <c r="U543" s="94"/>
      <c r="V543" s="94"/>
      <c r="W543" s="94"/>
      <c r="X543" s="94"/>
      <c r="Y543" s="94"/>
      <c r="Z543" s="94"/>
      <c r="AA543" s="94"/>
      <c r="AB543" s="94"/>
      <c r="AC543" s="1955" t="s">
        <v>134</v>
      </c>
      <c r="AD543" s="1850"/>
      <c r="AE543" s="1850"/>
      <c r="AF543" s="1850"/>
      <c r="AG543" s="79" t="s">
        <v>274</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4"/>
      <c r="C544" s="1675"/>
      <c r="D544" s="1675"/>
      <c r="E544" s="1675"/>
      <c r="F544" s="1675"/>
      <c r="G544" s="1675"/>
      <c r="H544" s="1676"/>
      <c r="I544" s="86" t="s">
        <v>796</v>
      </c>
      <c r="J544" s="86"/>
      <c r="K544" s="86"/>
      <c r="L544" s="86"/>
      <c r="M544" s="86"/>
      <c r="N544" s="86"/>
      <c r="O544" s="86"/>
      <c r="P544" s="86"/>
      <c r="Q544" s="86"/>
      <c r="R544" s="86"/>
      <c r="S544" s="86"/>
      <c r="T544" s="86"/>
      <c r="U544" s="86"/>
      <c r="V544" s="86"/>
      <c r="W544" s="86"/>
      <c r="X544" s="35"/>
      <c r="Y544" s="35"/>
      <c r="AC544" s="1955">
        <v>3</v>
      </c>
      <c r="AD544" s="1850"/>
      <c r="AE544" s="1850"/>
      <c r="AF544" s="1850"/>
      <c r="AG544" s="79" t="s">
        <v>274</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74"/>
      <c r="C545" s="1675"/>
      <c r="D545" s="1675"/>
      <c r="E545" s="1675"/>
      <c r="F545" s="1675"/>
      <c r="G545" s="1675"/>
      <c r="H545" s="1676"/>
      <c r="I545" s="35" t="s">
        <v>797</v>
      </c>
      <c r="J545" s="35"/>
      <c r="K545" s="35"/>
      <c r="L545" s="35"/>
      <c r="M545" s="35"/>
      <c r="N545" s="35"/>
      <c r="O545" s="35"/>
      <c r="P545" s="35"/>
      <c r="Q545" s="35"/>
      <c r="R545" s="35"/>
      <c r="S545" s="35"/>
      <c r="T545" s="35"/>
      <c r="U545" s="35"/>
      <c r="V545" s="35"/>
      <c r="W545" s="35"/>
      <c r="X545" s="35"/>
      <c r="Y545" s="35"/>
      <c r="AC545" s="1955">
        <v>4</v>
      </c>
      <c r="AD545" s="1850"/>
      <c r="AE545" s="1850"/>
      <c r="AF545" s="1850"/>
      <c r="AG545" s="89" t="s">
        <v>274</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4"/>
      <c r="C546" s="1675"/>
      <c r="D546" s="1675"/>
      <c r="E546" s="1675"/>
      <c r="F546" s="1675"/>
      <c r="G546" s="1675"/>
      <c r="H546" s="1676"/>
      <c r="I546" s="35" t="s">
        <v>798</v>
      </c>
      <c r="J546" s="35"/>
      <c r="K546" s="35"/>
      <c r="L546" s="35"/>
      <c r="M546" s="35"/>
      <c r="N546" s="35"/>
      <c r="O546" s="35"/>
      <c r="P546" s="35"/>
      <c r="Q546" s="35"/>
      <c r="R546" s="35"/>
      <c r="S546" s="35"/>
      <c r="T546" s="35"/>
      <c r="U546" s="35"/>
      <c r="V546" s="35"/>
      <c r="W546" s="35"/>
      <c r="X546" s="35"/>
      <c r="Y546" s="35"/>
      <c r="AC546" s="1955">
        <v>12</v>
      </c>
      <c r="AD546" s="1850"/>
      <c r="AE546" s="1850"/>
      <c r="AF546" s="1850"/>
      <c r="AG546" s="79" t="s">
        <v>274</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4"/>
      <c r="C547" s="1675"/>
      <c r="D547" s="1675"/>
      <c r="E547" s="1675"/>
      <c r="F547" s="1675"/>
      <c r="G547" s="1675"/>
      <c r="H547" s="1676"/>
      <c r="I547" s="35" t="s">
        <v>799</v>
      </c>
      <c r="J547" s="35"/>
      <c r="K547" s="35"/>
      <c r="L547" s="35"/>
      <c r="M547" s="35"/>
      <c r="N547" s="35"/>
      <c r="O547" s="35"/>
      <c r="P547" s="35"/>
      <c r="Q547" s="35"/>
      <c r="R547" s="35"/>
      <c r="S547" s="35"/>
      <c r="T547" s="35"/>
      <c r="U547" s="35"/>
      <c r="V547" s="35"/>
      <c r="W547" s="35"/>
      <c r="X547" s="35"/>
      <c r="Y547" s="35"/>
      <c r="AC547" s="1955">
        <v>1</v>
      </c>
      <c r="AD547" s="1850"/>
      <c r="AE547" s="1850"/>
      <c r="AF547" s="1850"/>
      <c r="AG547" s="79" t="s">
        <v>274</v>
      </c>
      <c r="AH547" s="1713">
        <v>2025</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7"/>
      <c r="C548" s="1678"/>
      <c r="D548" s="1678"/>
      <c r="E548" s="1678"/>
      <c r="F548" s="1678"/>
      <c r="G548" s="1678"/>
      <c r="H548" s="1679"/>
      <c r="I548" s="94" t="s">
        <v>1486</v>
      </c>
      <c r="J548" s="94"/>
      <c r="K548" s="94"/>
      <c r="L548" s="94"/>
      <c r="M548" s="94"/>
      <c r="N548" s="94"/>
      <c r="O548" s="94"/>
      <c r="P548" s="94"/>
      <c r="Q548" s="94"/>
      <c r="R548" s="94"/>
      <c r="S548" s="94"/>
      <c r="T548" s="94"/>
      <c r="U548" s="94"/>
      <c r="V548" s="94"/>
      <c r="W548" s="94"/>
      <c r="X548" s="94"/>
      <c r="Y548" s="94"/>
      <c r="Z548" s="94"/>
      <c r="AA548" s="94"/>
      <c r="AB548" s="94"/>
      <c r="AC548" s="1955">
        <v>5</v>
      </c>
      <c r="AD548" s="1850"/>
      <c r="AE548" s="1850"/>
      <c r="AF548" s="1850"/>
      <c r="AG548" s="79" t="s">
        <v>274</v>
      </c>
      <c r="AH548" s="1713">
        <v>2025</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543</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1" t="s">
        <v>801</v>
      </c>
      <c r="C557" s="1672"/>
      <c r="D557" s="1672"/>
      <c r="E557" s="1672"/>
      <c r="F557" s="1672"/>
      <c r="G557" s="1672"/>
      <c r="H557" s="1672"/>
      <c r="I557" s="1672"/>
      <c r="J557" s="1672"/>
      <c r="K557" s="1672"/>
      <c r="L557" s="1672"/>
      <c r="M557" s="1672"/>
      <c r="N557" s="1672"/>
      <c r="O557" s="1672"/>
      <c r="P557" s="1673"/>
      <c r="Q557" s="1671" t="s">
        <v>485</v>
      </c>
      <c r="R557" s="1672"/>
      <c r="S557" s="1673"/>
      <c r="T557" s="1671" t="s">
        <v>2203</v>
      </c>
      <c r="U557" s="1672"/>
      <c r="V557" s="1673"/>
      <c r="W557" s="1671" t="s">
        <v>802</v>
      </c>
      <c r="X557" s="1672"/>
      <c r="Y557" s="1673"/>
      <c r="Z557" s="1671" t="s">
        <v>2208</v>
      </c>
      <c r="AA557" s="1672"/>
      <c r="AB557" s="1672"/>
      <c r="AC557" s="1672"/>
      <c r="AD557" s="1673"/>
      <c r="AE557" s="1671" t="s">
        <v>2205</v>
      </c>
      <c r="AF557" s="1672"/>
      <c r="AG557" s="1672"/>
      <c r="AH557" s="1673"/>
      <c r="AI557" s="1671" t="s">
        <v>2209</v>
      </c>
      <c r="AJ557" s="1672"/>
      <c r="AK557" s="1672"/>
      <c r="AL557" s="1673"/>
      <c r="AM557" s="1671" t="s">
        <v>803</v>
      </c>
      <c r="AN557" s="1672"/>
      <c r="AO557" s="1672"/>
      <c r="AP557" s="1672"/>
      <c r="AQ557" s="1672"/>
      <c r="AR557" s="1672"/>
      <c r="AS557" s="167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4"/>
      <c r="C558" s="1675"/>
      <c r="D558" s="1675"/>
      <c r="E558" s="1675"/>
      <c r="F558" s="1675"/>
      <c r="G558" s="1675"/>
      <c r="H558" s="1675"/>
      <c r="I558" s="1675"/>
      <c r="J558" s="1675"/>
      <c r="K558" s="1675"/>
      <c r="L558" s="1675"/>
      <c r="M558" s="1675"/>
      <c r="N558" s="1675"/>
      <c r="O558" s="1675"/>
      <c r="P558" s="1676"/>
      <c r="Q558" s="1674"/>
      <c r="R558" s="1675"/>
      <c r="S558" s="1676"/>
      <c r="T558" s="1674"/>
      <c r="U558" s="1675"/>
      <c r="V558" s="1676"/>
      <c r="W558" s="1674"/>
      <c r="X558" s="1675"/>
      <c r="Y558" s="1676"/>
      <c r="Z558" s="1674"/>
      <c r="AA558" s="1675"/>
      <c r="AB558" s="1675"/>
      <c r="AC558" s="1675"/>
      <c r="AD558" s="1676"/>
      <c r="AE558" s="1674"/>
      <c r="AF558" s="1675"/>
      <c r="AG558" s="1675"/>
      <c r="AH558" s="1676"/>
      <c r="AI558" s="1674"/>
      <c r="AJ558" s="1675"/>
      <c r="AK558" s="1675"/>
      <c r="AL558" s="1676"/>
      <c r="AM558" s="1674"/>
      <c r="AN558" s="1675"/>
      <c r="AO558" s="1675"/>
      <c r="AP558" s="1675"/>
      <c r="AQ558" s="1675"/>
      <c r="AR558" s="1675"/>
      <c r="AS558" s="16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7"/>
      <c r="C559" s="1678"/>
      <c r="D559" s="1678"/>
      <c r="E559" s="1678"/>
      <c r="F559" s="1678"/>
      <c r="G559" s="1678"/>
      <c r="H559" s="1678"/>
      <c r="I559" s="1678"/>
      <c r="J559" s="1678"/>
      <c r="K559" s="1678"/>
      <c r="L559" s="1678"/>
      <c r="M559" s="1678"/>
      <c r="N559" s="1678"/>
      <c r="O559" s="1678"/>
      <c r="P559" s="1679"/>
      <c r="Q559" s="1677"/>
      <c r="R559" s="1678"/>
      <c r="S559" s="1679"/>
      <c r="T559" s="1677"/>
      <c r="U559" s="1678"/>
      <c r="V559" s="1679"/>
      <c r="W559" s="1677"/>
      <c r="X559" s="1678"/>
      <c r="Y559" s="1679"/>
      <c r="Z559" s="1677"/>
      <c r="AA559" s="1678"/>
      <c r="AB559" s="1678"/>
      <c r="AC559" s="1678"/>
      <c r="AD559" s="1679"/>
      <c r="AE559" s="1677"/>
      <c r="AF559" s="1678"/>
      <c r="AG559" s="1678"/>
      <c r="AH559" s="1679"/>
      <c r="AI559" s="1677"/>
      <c r="AJ559" s="1678"/>
      <c r="AK559" s="1678"/>
      <c r="AL559" s="1679"/>
      <c r="AM559" s="1677"/>
      <c r="AN559" s="1678"/>
      <c r="AO559" s="1678"/>
      <c r="AP559" s="1678"/>
      <c r="AQ559" s="1678"/>
      <c r="AR559" s="1678"/>
      <c r="AS559" s="16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63" t="s">
        <v>2470</v>
      </c>
      <c r="D560" s="1663"/>
      <c r="E560" s="1663"/>
      <c r="F560" s="1663"/>
      <c r="G560" s="1663"/>
      <c r="H560" s="1663"/>
      <c r="I560" s="1663"/>
      <c r="J560" s="1663"/>
      <c r="K560" s="1663"/>
      <c r="L560" s="1663"/>
      <c r="M560" s="1663"/>
      <c r="N560" s="1663"/>
      <c r="O560" s="1663"/>
      <c r="P560" s="2011"/>
      <c r="Q560" s="1833">
        <v>24</v>
      </c>
      <c r="R560" s="1833"/>
      <c r="S560" s="1949"/>
      <c r="T560" s="1948">
        <v>24</v>
      </c>
      <c r="U560" s="1833"/>
      <c r="V560" s="1949"/>
      <c r="W560" s="2013">
        <v>5.1400000000000001E-2</v>
      </c>
      <c r="X560" s="2014"/>
      <c r="Y560" s="2015"/>
      <c r="Z560" s="2016" t="s">
        <v>2421</v>
      </c>
      <c r="AA560" s="2016"/>
      <c r="AB560" s="2016"/>
      <c r="AC560" s="2016"/>
      <c r="AD560" s="2016"/>
      <c r="AE560" s="2017">
        <v>1</v>
      </c>
      <c r="AF560" s="2018"/>
      <c r="AG560" s="2018"/>
      <c r="AH560" s="2019"/>
      <c r="AI560" s="2020"/>
      <c r="AJ560" s="2021"/>
      <c r="AK560" s="2021"/>
      <c r="AL560" s="2022"/>
      <c r="AM560" s="1686">
        <v>46365114</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63" t="s">
        <v>2400</v>
      </c>
      <c r="D561" s="1663"/>
      <c r="E561" s="1663"/>
      <c r="F561" s="1663"/>
      <c r="G561" s="1663"/>
      <c r="H561" s="1663"/>
      <c r="I561" s="1663"/>
      <c r="J561" s="1663"/>
      <c r="K561" s="1663"/>
      <c r="L561" s="1663"/>
      <c r="M561" s="1663"/>
      <c r="N561" s="1663"/>
      <c r="O561" s="1663"/>
      <c r="P561" s="2011"/>
      <c r="Q561" s="1948">
        <v>24</v>
      </c>
      <c r="R561" s="1833"/>
      <c r="S561" s="1949"/>
      <c r="T561" s="1948"/>
      <c r="U561" s="1833"/>
      <c r="V561" s="1949"/>
      <c r="W561" s="2013">
        <v>0.02</v>
      </c>
      <c r="X561" s="2014"/>
      <c r="Y561" s="2015"/>
      <c r="Z561" s="2016" t="s">
        <v>2421</v>
      </c>
      <c r="AA561" s="2016"/>
      <c r="AB561" s="2016"/>
      <c r="AC561" s="2016"/>
      <c r="AD561" s="2016"/>
      <c r="AE561" s="2017">
        <v>2</v>
      </c>
      <c r="AF561" s="2018"/>
      <c r="AG561" s="2018"/>
      <c r="AH561" s="2019"/>
      <c r="AI561" s="2020"/>
      <c r="AJ561" s="2021"/>
      <c r="AK561" s="2021"/>
      <c r="AL561" s="2022"/>
      <c r="AM561" s="1686">
        <v>5393800</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63" t="s">
        <v>2413</v>
      </c>
      <c r="D562" s="1663"/>
      <c r="E562" s="1663"/>
      <c r="F562" s="1663"/>
      <c r="G562" s="1663"/>
      <c r="H562" s="1663"/>
      <c r="I562" s="1663"/>
      <c r="J562" s="1663"/>
      <c r="K562" s="1663"/>
      <c r="L562" s="1663"/>
      <c r="M562" s="1663"/>
      <c r="N562" s="1663"/>
      <c r="O562" s="1663"/>
      <c r="P562" s="2011"/>
      <c r="Q562" s="1948">
        <v>24</v>
      </c>
      <c r="R562" s="1833"/>
      <c r="S562" s="1949"/>
      <c r="T562" s="1948"/>
      <c r="U562" s="1833"/>
      <c r="V562" s="1949"/>
      <c r="W562" s="2013">
        <v>0.02</v>
      </c>
      <c r="X562" s="2014"/>
      <c r="Y562" s="2015"/>
      <c r="Z562" s="2016" t="s">
        <v>2421</v>
      </c>
      <c r="AA562" s="2016"/>
      <c r="AB562" s="2016"/>
      <c r="AC562" s="2016"/>
      <c r="AD562" s="2016"/>
      <c r="AE562" s="2017">
        <v>3</v>
      </c>
      <c r="AF562" s="2018"/>
      <c r="AG562" s="2018"/>
      <c r="AH562" s="2019"/>
      <c r="AI562" s="2020"/>
      <c r="AJ562" s="2021"/>
      <c r="AK562" s="2021"/>
      <c r="AL562" s="2022"/>
      <c r="AM562" s="1686">
        <v>1800000</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663" t="s">
        <v>2414</v>
      </c>
      <c r="D563" s="1663"/>
      <c r="E563" s="1663"/>
      <c r="F563" s="1663"/>
      <c r="G563" s="1663"/>
      <c r="H563" s="1663"/>
      <c r="I563" s="1663"/>
      <c r="J563" s="1663"/>
      <c r="K563" s="1663"/>
      <c r="L563" s="1663"/>
      <c r="M563" s="1663"/>
      <c r="N563" s="1663"/>
      <c r="O563" s="1663"/>
      <c r="P563" s="2011"/>
      <c r="Q563" s="1948"/>
      <c r="R563" s="1833"/>
      <c r="S563" s="1949"/>
      <c r="T563" s="1948"/>
      <c r="U563" s="1833"/>
      <c r="V563" s="1949"/>
      <c r="W563" s="2013"/>
      <c r="X563" s="2014"/>
      <c r="Y563" s="2015"/>
      <c r="Z563" s="2016" t="s">
        <v>134</v>
      </c>
      <c r="AA563" s="2016"/>
      <c r="AB563" s="2016"/>
      <c r="AC563" s="2016"/>
      <c r="AD563" s="2016"/>
      <c r="AE563" s="2017"/>
      <c r="AF563" s="2018"/>
      <c r="AG563" s="2018"/>
      <c r="AH563" s="2019"/>
      <c r="AI563" s="2020"/>
      <c r="AJ563" s="2021"/>
      <c r="AK563" s="2021"/>
      <c r="AL563" s="2022"/>
      <c r="AM563" s="1686">
        <v>1322260</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663" t="s">
        <v>2415</v>
      </c>
      <c r="D564" s="1663"/>
      <c r="E564" s="1663"/>
      <c r="F564" s="1663"/>
      <c r="G564" s="1663"/>
      <c r="H564" s="1663"/>
      <c r="I564" s="1663"/>
      <c r="J564" s="1663"/>
      <c r="K564" s="1663"/>
      <c r="L564" s="1663"/>
      <c r="M564" s="1663"/>
      <c r="N564" s="1663"/>
      <c r="O564" s="1663"/>
      <c r="P564" s="2011"/>
      <c r="Q564" s="1948"/>
      <c r="R564" s="1833"/>
      <c r="S564" s="1949"/>
      <c r="T564" s="1948"/>
      <c r="U564" s="1833"/>
      <c r="V564" s="1949"/>
      <c r="W564" s="2013"/>
      <c r="X564" s="2014"/>
      <c r="Y564" s="2015"/>
      <c r="Z564" s="2016" t="s">
        <v>134</v>
      </c>
      <c r="AA564" s="2016"/>
      <c r="AB564" s="2016"/>
      <c r="AC564" s="2016"/>
      <c r="AD564" s="2016"/>
      <c r="AE564" s="2017"/>
      <c r="AF564" s="2018"/>
      <c r="AG564" s="2018"/>
      <c r="AH564" s="2019"/>
      <c r="AI564" s="2020"/>
      <c r="AJ564" s="2021"/>
      <c r="AK564" s="2021"/>
      <c r="AL564" s="2022"/>
      <c r="AM564" s="1686">
        <v>2825834</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663"/>
      <c r="D565" s="1663"/>
      <c r="E565" s="1663"/>
      <c r="F565" s="1663"/>
      <c r="G565" s="1663"/>
      <c r="H565" s="1663"/>
      <c r="I565" s="1663"/>
      <c r="J565" s="1663"/>
      <c r="K565" s="1663"/>
      <c r="L565" s="1663"/>
      <c r="M565" s="1663"/>
      <c r="N565" s="1663"/>
      <c r="O565" s="1663"/>
      <c r="P565" s="2011"/>
      <c r="Q565" s="1948"/>
      <c r="R565" s="1833"/>
      <c r="S565" s="1949"/>
      <c r="T565" s="1948"/>
      <c r="U565" s="1833"/>
      <c r="V565" s="1949"/>
      <c r="W565" s="2013"/>
      <c r="X565" s="2014"/>
      <c r="Y565" s="2015"/>
      <c r="Z565" s="2016" t="s">
        <v>2189</v>
      </c>
      <c r="AA565" s="2016"/>
      <c r="AB565" s="2016"/>
      <c r="AC565" s="2016"/>
      <c r="AD565" s="2016"/>
      <c r="AE565" s="2017"/>
      <c r="AF565" s="2018"/>
      <c r="AG565" s="2018"/>
      <c r="AH565" s="2019"/>
      <c r="AI565" s="2020"/>
      <c r="AJ565" s="2021"/>
      <c r="AK565" s="2021"/>
      <c r="AL565" s="2022"/>
      <c r="AM565" s="1686"/>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63"/>
      <c r="D566" s="1663"/>
      <c r="E566" s="1663"/>
      <c r="F566" s="1663"/>
      <c r="G566" s="1663"/>
      <c r="H566" s="1663"/>
      <c r="I566" s="1663"/>
      <c r="J566" s="1663"/>
      <c r="K566" s="1663"/>
      <c r="L566" s="1663"/>
      <c r="M566" s="1663"/>
      <c r="N566" s="1663"/>
      <c r="O566" s="1663"/>
      <c r="P566" s="2011"/>
      <c r="Q566" s="1948"/>
      <c r="R566" s="1833"/>
      <c r="S566" s="1949"/>
      <c r="T566" s="1948"/>
      <c r="U566" s="1833"/>
      <c r="V566" s="1949"/>
      <c r="W566" s="2013"/>
      <c r="X566" s="2014"/>
      <c r="Y566" s="2015"/>
      <c r="Z566" s="2016" t="s">
        <v>2189</v>
      </c>
      <c r="AA566" s="2016"/>
      <c r="AB566" s="2016"/>
      <c r="AC566" s="2016"/>
      <c r="AD566" s="2016"/>
      <c r="AE566" s="2017"/>
      <c r="AF566" s="2018"/>
      <c r="AG566" s="2018"/>
      <c r="AH566" s="2019"/>
      <c r="AI566" s="2020"/>
      <c r="AJ566" s="2021"/>
      <c r="AK566" s="2021"/>
      <c r="AL566" s="2022"/>
      <c r="AM566" s="1686"/>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63"/>
      <c r="D567" s="1663"/>
      <c r="E567" s="1663"/>
      <c r="F567" s="1663"/>
      <c r="G567" s="1663"/>
      <c r="H567" s="1663"/>
      <c r="I567" s="1663"/>
      <c r="J567" s="1663"/>
      <c r="K567" s="1663"/>
      <c r="L567" s="1663"/>
      <c r="M567" s="1663"/>
      <c r="N567" s="1663"/>
      <c r="O567" s="1663"/>
      <c r="P567" s="2011"/>
      <c r="Q567" s="1948"/>
      <c r="R567" s="1833"/>
      <c r="S567" s="1949"/>
      <c r="T567" s="1948"/>
      <c r="U567" s="1833"/>
      <c r="V567" s="1949"/>
      <c r="W567" s="2013"/>
      <c r="X567" s="2014"/>
      <c r="Y567" s="2015"/>
      <c r="Z567" s="2016" t="s">
        <v>2189</v>
      </c>
      <c r="AA567" s="2016"/>
      <c r="AB567" s="2016"/>
      <c r="AC567" s="2016"/>
      <c r="AD567" s="2016"/>
      <c r="AE567" s="2017"/>
      <c r="AF567" s="2018"/>
      <c r="AG567" s="2018"/>
      <c r="AH567" s="2019"/>
      <c r="AI567" s="2020"/>
      <c r="AJ567" s="2021"/>
      <c r="AK567" s="2021"/>
      <c r="AL567" s="2022"/>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663"/>
      <c r="D568" s="1663"/>
      <c r="E568" s="1663"/>
      <c r="F568" s="1663"/>
      <c r="G568" s="1663"/>
      <c r="H568" s="1663"/>
      <c r="I568" s="1663"/>
      <c r="J568" s="1663"/>
      <c r="K568" s="1663"/>
      <c r="L568" s="1663"/>
      <c r="M568" s="1663"/>
      <c r="N568" s="1663"/>
      <c r="O568" s="1663"/>
      <c r="P568" s="2011"/>
      <c r="Q568" s="1948"/>
      <c r="R568" s="1833"/>
      <c r="S568" s="1949"/>
      <c r="T568" s="1948"/>
      <c r="U568" s="1833"/>
      <c r="V568" s="1949"/>
      <c r="W568" s="2013"/>
      <c r="X568" s="2014"/>
      <c r="Y568" s="2015"/>
      <c r="Z568" s="2016" t="s">
        <v>2189</v>
      </c>
      <c r="AA568" s="2016"/>
      <c r="AB568" s="2016"/>
      <c r="AC568" s="2016"/>
      <c r="AD568" s="2016"/>
      <c r="AE568" s="2017"/>
      <c r="AF568" s="2018"/>
      <c r="AG568" s="2018"/>
      <c r="AH568" s="2019"/>
      <c r="AI568" s="2020"/>
      <c r="AJ568" s="2021"/>
      <c r="AK568" s="2021"/>
      <c r="AL568" s="2022"/>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663"/>
      <c r="D569" s="1663"/>
      <c r="E569" s="1663"/>
      <c r="F569" s="1663"/>
      <c r="G569" s="1663"/>
      <c r="H569" s="1663"/>
      <c r="I569" s="1663"/>
      <c r="J569" s="1663"/>
      <c r="K569" s="1663"/>
      <c r="L569" s="1663"/>
      <c r="M569" s="1663"/>
      <c r="N569" s="1663"/>
      <c r="O569" s="1663"/>
      <c r="P569" s="2011"/>
      <c r="Q569" s="1948"/>
      <c r="R569" s="1833"/>
      <c r="S569" s="1949"/>
      <c r="T569" s="1948"/>
      <c r="U569" s="1833"/>
      <c r="V569" s="1949"/>
      <c r="W569" s="2013"/>
      <c r="X569" s="2014"/>
      <c r="Y569" s="2015"/>
      <c r="Z569" s="2016" t="s">
        <v>2189</v>
      </c>
      <c r="AA569" s="2016"/>
      <c r="AB569" s="2016"/>
      <c r="AC569" s="2016"/>
      <c r="AD569" s="2016"/>
      <c r="AE569" s="2017"/>
      <c r="AF569" s="2018"/>
      <c r="AG569" s="2018"/>
      <c r="AH569" s="2019"/>
      <c r="AI569" s="2020"/>
      <c r="AJ569" s="2021"/>
      <c r="AK569" s="2021"/>
      <c r="AL569" s="2022"/>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3"/>
      <c r="D570" s="1663"/>
      <c r="E570" s="1663"/>
      <c r="F570" s="1663"/>
      <c r="G570" s="1663"/>
      <c r="H570" s="1663"/>
      <c r="I570" s="1663"/>
      <c r="J570" s="1663"/>
      <c r="K570" s="1663"/>
      <c r="L570" s="1663"/>
      <c r="M570" s="1663"/>
      <c r="N570" s="1663"/>
      <c r="O570" s="1663"/>
      <c r="P570" s="2011"/>
      <c r="Q570" s="1948"/>
      <c r="R570" s="1833"/>
      <c r="S570" s="1949"/>
      <c r="T570" s="1948"/>
      <c r="U570" s="1833"/>
      <c r="V570" s="1949"/>
      <c r="W570" s="2013"/>
      <c r="X570" s="2014"/>
      <c r="Y570" s="2015"/>
      <c r="Z570" s="2016" t="s">
        <v>2189</v>
      </c>
      <c r="AA570" s="2016"/>
      <c r="AB570" s="2016"/>
      <c r="AC570" s="2016"/>
      <c r="AD570" s="2016"/>
      <c r="AE570" s="2017"/>
      <c r="AF570" s="2018"/>
      <c r="AG570" s="2018"/>
      <c r="AH570" s="2019"/>
      <c r="AI570" s="2020"/>
      <c r="AJ570" s="2021"/>
      <c r="AK570" s="2021"/>
      <c r="AL570" s="2022"/>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3"/>
      <c r="D571" s="1663"/>
      <c r="E571" s="1663"/>
      <c r="F571" s="1663"/>
      <c r="G571" s="1663"/>
      <c r="H571" s="1663"/>
      <c r="I571" s="1663"/>
      <c r="J571" s="1663"/>
      <c r="K571" s="1663"/>
      <c r="L571" s="1663"/>
      <c r="M571" s="1663"/>
      <c r="N571" s="1663"/>
      <c r="O571" s="1663"/>
      <c r="P571" s="2011"/>
      <c r="Q571" s="1948"/>
      <c r="R571" s="1833"/>
      <c r="S571" s="1949"/>
      <c r="T571" s="1948"/>
      <c r="U571" s="1833"/>
      <c r="V571" s="1949"/>
      <c r="W571" s="2013"/>
      <c r="X571" s="2014"/>
      <c r="Y571" s="2015"/>
      <c r="Z571" s="2016" t="s">
        <v>2189</v>
      </c>
      <c r="AA571" s="2016"/>
      <c r="AB571" s="2016"/>
      <c r="AC571" s="2016"/>
      <c r="AD571" s="2016"/>
      <c r="AE571" s="2017"/>
      <c r="AF571" s="2018"/>
      <c r="AG571" s="2018"/>
      <c r="AH571" s="2019"/>
      <c r="AI571" s="2020"/>
      <c r="AJ571" s="2021"/>
      <c r="AK571" s="2021"/>
      <c r="AL571" s="2022"/>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397</v>
      </c>
      <c r="C572" s="1777"/>
      <c r="D572" s="1777"/>
      <c r="E572" s="1777"/>
      <c r="F572" s="1777"/>
      <c r="G572" s="1777"/>
      <c r="H572" s="1777"/>
      <c r="I572" s="1777"/>
      <c r="J572" s="1777"/>
      <c r="K572" s="1777"/>
      <c r="L572" s="1777"/>
      <c r="M572" s="1777"/>
      <c r="N572" s="1777"/>
      <c r="O572" s="1777"/>
      <c r="P572" s="1777"/>
      <c r="Q572" s="1777"/>
      <c r="R572" s="1777"/>
      <c r="S572" s="1777"/>
      <c r="T572" s="1777"/>
      <c r="U572" s="2055"/>
      <c r="V572" s="1777"/>
      <c r="W572" s="1777"/>
      <c r="X572" s="1777"/>
      <c r="Y572" s="1777"/>
      <c r="Z572" s="1777"/>
      <c r="AA572" s="1777"/>
      <c r="AB572" s="1777"/>
      <c r="AC572" s="1777"/>
      <c r="AD572" s="1777"/>
      <c r="AE572" s="1777"/>
      <c r="AF572" s="1777"/>
      <c r="AG572" s="1777"/>
      <c r="AH572" s="1777"/>
      <c r="AI572" s="1777"/>
      <c r="AJ572" s="1777"/>
      <c r="AK572" s="1777"/>
      <c r="AL572" s="1778"/>
      <c r="AM572" s="1693">
        <f>SUM(AM560:AS571)</f>
        <v>57707008</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92</v>
      </c>
      <c r="G574" s="1827" t="str">
        <f>C560</f>
        <v>JP Morgan Chase Bank, NA</v>
      </c>
      <c r="H574" s="1827"/>
      <c r="I574" s="1827"/>
      <c r="J574" s="1827"/>
      <c r="K574" s="1827"/>
      <c r="L574" s="1827"/>
      <c r="M574" s="1827"/>
      <c r="N574" s="1827"/>
      <c r="O574" s="1827"/>
      <c r="P574" s="1827"/>
      <c r="Q574" s="1827"/>
      <c r="R574" s="1827"/>
      <c r="S574" s="18"/>
      <c r="T574" s="101" t="s">
        <v>983</v>
      </c>
      <c r="U574" s="16" t="s">
        <v>92</v>
      </c>
      <c r="Z574" s="1827" t="str">
        <f>C561</f>
        <v>City of Lancaster</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662" t="s">
        <v>2471</v>
      </c>
      <c r="H575" s="1662"/>
      <c r="I575" s="1662"/>
      <c r="J575" s="1662"/>
      <c r="K575" s="1662"/>
      <c r="L575" s="1662"/>
      <c r="M575" s="1662"/>
      <c r="N575" s="1662"/>
      <c r="O575" s="1662"/>
      <c r="P575" s="1662"/>
      <c r="Q575" s="1662"/>
      <c r="R575" s="1662"/>
      <c r="S575" s="18"/>
      <c r="T575" s="46"/>
      <c r="U575" s="16" t="s">
        <v>412</v>
      </c>
      <c r="Z575" s="1662" t="s">
        <v>2340</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662" t="s">
        <v>2472</v>
      </c>
      <c r="H576" s="1662"/>
      <c r="I576" s="1662"/>
      <c r="J576" s="1662"/>
      <c r="K576" s="1662"/>
      <c r="L576" s="1662"/>
      <c r="M576" s="1662"/>
      <c r="N576" s="1662"/>
      <c r="O576" s="1662"/>
      <c r="P576" s="1662"/>
      <c r="Q576" s="1662"/>
      <c r="R576" s="1662"/>
      <c r="S576" s="102"/>
      <c r="T576" s="46"/>
      <c r="U576" s="16" t="s">
        <v>475</v>
      </c>
      <c r="Z576" s="1654" t="s">
        <v>2341</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62" t="s">
        <v>2473</v>
      </c>
      <c r="H577" s="1662"/>
      <c r="I577" s="1662"/>
      <c r="J577" s="1662"/>
      <c r="K577" s="1662"/>
      <c r="L577" s="1662"/>
      <c r="M577" s="1662"/>
      <c r="N577" s="1662"/>
      <c r="O577" s="1662"/>
      <c r="P577" s="1662"/>
      <c r="Q577" s="1662"/>
      <c r="R577" s="1662"/>
      <c r="S577" s="18"/>
      <c r="T577" s="46"/>
      <c r="U577" s="16" t="s">
        <v>906</v>
      </c>
      <c r="Z577" s="1654" t="s">
        <v>2350</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6" t="s">
        <v>2474</v>
      </c>
      <c r="H578" s="1657"/>
      <c r="I578" s="1657"/>
      <c r="J578" s="1657"/>
      <c r="K578" s="1657"/>
      <c r="L578" s="1657"/>
      <c r="O578" s="149" t="s">
        <v>891</v>
      </c>
      <c r="P578" s="1663" t="s">
        <v>2343</v>
      </c>
      <c r="Q578" s="1665"/>
      <c r="R578" s="1665"/>
      <c r="S578" s="20"/>
      <c r="T578" s="46"/>
      <c r="U578" s="16" t="s">
        <v>711</v>
      </c>
      <c r="Z578" s="1832" t="s">
        <v>2342</v>
      </c>
      <c r="AA578" s="1832"/>
      <c r="AB578" s="1832"/>
      <c r="AC578" s="1832"/>
      <c r="AD578" s="1832"/>
      <c r="AE578" s="1832"/>
      <c r="AH578" s="149" t="s">
        <v>891</v>
      </c>
      <c r="AI578" s="1663" t="s">
        <v>2343</v>
      </c>
      <c r="AJ578" s="1665"/>
      <c r="AK578" s="166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2" t="s">
        <v>2475</v>
      </c>
      <c r="I579" s="1662"/>
      <c r="J579" s="1662"/>
      <c r="K579" s="1662"/>
      <c r="L579" s="1662"/>
      <c r="M579" s="1662"/>
      <c r="N579" s="1662"/>
      <c r="O579" s="1662"/>
      <c r="P579" s="1662"/>
      <c r="Q579" s="1662"/>
      <c r="R579" s="1662"/>
      <c r="S579" s="18"/>
      <c r="T579" s="46"/>
      <c r="U579" s="16" t="s">
        <v>907</v>
      </c>
      <c r="AA579" s="1662" t="s">
        <v>2416</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118</v>
      </c>
      <c r="O580" s="1658"/>
      <c r="T580" s="46"/>
      <c r="U580" s="16" t="s">
        <v>909</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7" t="str">
        <f>C562</f>
        <v>City Land Loan</v>
      </c>
      <c r="H582" s="1827"/>
      <c r="I582" s="1827"/>
      <c r="J582" s="1827"/>
      <c r="K582" s="1827"/>
      <c r="L582" s="1827"/>
      <c r="M582" s="1827"/>
      <c r="N582" s="1827"/>
      <c r="O582" s="1827"/>
      <c r="P582" s="1827"/>
      <c r="Q582" s="1827"/>
      <c r="R582" s="1827"/>
      <c r="T582" s="101" t="s">
        <v>476</v>
      </c>
      <c r="U582" s="16" t="s">
        <v>92</v>
      </c>
      <c r="Z582" s="1827" t="str">
        <f>C563</f>
        <v>Costs Deferred Until Completion</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62" t="s">
        <v>2340</v>
      </c>
      <c r="H583" s="1662"/>
      <c r="I583" s="1662"/>
      <c r="J583" s="1662"/>
      <c r="K583" s="1662"/>
      <c r="L583" s="1662"/>
      <c r="M583" s="1662"/>
      <c r="N583" s="1662"/>
      <c r="O583" s="1662"/>
      <c r="P583" s="1662"/>
      <c r="Q583" s="1662"/>
      <c r="R583" s="1662"/>
      <c r="T583" s="46"/>
      <c r="U583" s="16" t="s">
        <v>412</v>
      </c>
      <c r="Z583" s="1659" t="s">
        <v>2422</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4" t="s">
        <v>2341</v>
      </c>
      <c r="H584" s="1654"/>
      <c r="I584" s="1654"/>
      <c r="J584" s="1654"/>
      <c r="K584" s="1654"/>
      <c r="L584" s="1654"/>
      <c r="M584" s="1654"/>
      <c r="N584" s="1654"/>
      <c r="O584" s="1654"/>
      <c r="P584" s="1654"/>
      <c r="Q584" s="1654"/>
      <c r="R584" s="1654"/>
      <c r="T584" s="46"/>
      <c r="U584" s="16" t="s">
        <v>475</v>
      </c>
      <c r="Z584" s="1663" t="s">
        <v>124</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4" t="s">
        <v>2350</v>
      </c>
      <c r="H585" s="1654"/>
      <c r="I585" s="1654"/>
      <c r="J585" s="1654"/>
      <c r="K585" s="1654"/>
      <c r="L585" s="1654"/>
      <c r="M585" s="1654"/>
      <c r="N585" s="1654"/>
      <c r="O585" s="1654"/>
      <c r="P585" s="1654"/>
      <c r="Q585" s="1654"/>
      <c r="R585" s="1654"/>
      <c r="T585" s="46"/>
      <c r="U585" s="16" t="s">
        <v>906</v>
      </c>
      <c r="Z585" s="1663" t="s">
        <v>2352</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32" t="s">
        <v>2342</v>
      </c>
      <c r="H586" s="1832"/>
      <c r="I586" s="1832"/>
      <c r="J586" s="1832"/>
      <c r="K586" s="1832"/>
      <c r="L586" s="1832"/>
      <c r="O586" s="149" t="s">
        <v>891</v>
      </c>
      <c r="P586" s="1665"/>
      <c r="Q586" s="1665"/>
      <c r="R586" s="1665"/>
      <c r="T586" s="46"/>
      <c r="U586" s="16" t="s">
        <v>711</v>
      </c>
      <c r="Z586" s="1656" t="s">
        <v>2423</v>
      </c>
      <c r="AA586" s="1657"/>
      <c r="AB586" s="1657"/>
      <c r="AC586" s="1657"/>
      <c r="AD586" s="1657"/>
      <c r="AE586" s="1657"/>
      <c r="AH586" s="149" t="s">
        <v>891</v>
      </c>
      <c r="AI586" s="1663" t="s">
        <v>2343</v>
      </c>
      <c r="AJ586" s="1665"/>
      <c r="AK586" s="166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2" t="s">
        <v>2417</v>
      </c>
      <c r="I587" s="1662"/>
      <c r="J587" s="1662"/>
      <c r="K587" s="1662"/>
      <c r="L587" s="1662"/>
      <c r="M587" s="1662"/>
      <c r="N587" s="1662"/>
      <c r="O587" s="1662"/>
      <c r="P587" s="1662"/>
      <c r="Q587" s="1662"/>
      <c r="R587" s="1662"/>
      <c r="T587" s="46"/>
      <c r="U587" s="16" t="s">
        <v>907</v>
      </c>
      <c r="AA587" s="1659" t="s">
        <v>2424</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3" t="s">
        <v>118</v>
      </c>
      <c r="O588" s="1713"/>
      <c r="T588" s="46"/>
      <c r="U588" s="16" t="s">
        <v>909</v>
      </c>
      <c r="AG588" s="1713" t="s">
        <v>118</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7" t="str">
        <f>C564</f>
        <v>Capital Contributions</v>
      </c>
      <c r="H590" s="1827"/>
      <c r="I590" s="1827"/>
      <c r="J590" s="1827"/>
      <c r="K590" s="1827"/>
      <c r="L590" s="1827"/>
      <c r="M590" s="1827"/>
      <c r="N590" s="1827"/>
      <c r="O590" s="1827"/>
      <c r="P590" s="1827"/>
      <c r="Q590" s="1827"/>
      <c r="R590" s="1827"/>
      <c r="T590" s="101" t="s">
        <v>479</v>
      </c>
      <c r="U590" s="16" t="s">
        <v>92</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2"/>
      <c r="H591" s="1662"/>
      <c r="I591" s="1662"/>
      <c r="J591" s="1662"/>
      <c r="K591" s="1662"/>
      <c r="L591" s="1662"/>
      <c r="M591" s="1662"/>
      <c r="N591" s="1662"/>
      <c r="O591" s="1662"/>
      <c r="P591" s="1662"/>
      <c r="Q591" s="1662"/>
      <c r="R591" s="1662"/>
      <c r="T591" s="46"/>
      <c r="U591" s="16" t="s">
        <v>412</v>
      </c>
      <c r="Z591" s="1662"/>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2"/>
      <c r="H592" s="1662"/>
      <c r="I592" s="1662"/>
      <c r="J592" s="1662"/>
      <c r="K592" s="1662"/>
      <c r="L592" s="1662"/>
      <c r="M592" s="1662"/>
      <c r="N592" s="1662"/>
      <c r="O592" s="1662"/>
      <c r="P592" s="1662"/>
      <c r="Q592" s="1662"/>
      <c r="R592" s="1662"/>
      <c r="T592" s="46"/>
      <c r="U592" s="16" t="s">
        <v>475</v>
      </c>
      <c r="Z592" s="1654"/>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2"/>
      <c r="H593" s="1662"/>
      <c r="I593" s="1662"/>
      <c r="J593" s="1662"/>
      <c r="K593" s="1662"/>
      <c r="L593" s="1662"/>
      <c r="M593" s="1662"/>
      <c r="N593" s="1662"/>
      <c r="O593" s="1662"/>
      <c r="P593" s="1662"/>
      <c r="Q593" s="1662"/>
      <c r="R593" s="1662"/>
      <c r="T593" s="46"/>
      <c r="U593" s="16" t="s">
        <v>906</v>
      </c>
      <c r="Z593" s="1654"/>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57"/>
      <c r="H594" s="1657"/>
      <c r="I594" s="1657"/>
      <c r="J594" s="1657"/>
      <c r="K594" s="1657"/>
      <c r="L594" s="1657"/>
      <c r="O594" s="149" t="s">
        <v>891</v>
      </c>
      <c r="P594" s="1665"/>
      <c r="Q594" s="1665"/>
      <c r="R594" s="1665"/>
      <c r="T594" s="46"/>
      <c r="U594" s="16" t="s">
        <v>711</v>
      </c>
      <c r="Z594" s="1657"/>
      <c r="AA594" s="1657"/>
      <c r="AB594" s="1657"/>
      <c r="AC594" s="1657"/>
      <c r="AD594" s="1657"/>
      <c r="AE594" s="1657"/>
      <c r="AH594" s="149" t="s">
        <v>891</v>
      </c>
      <c r="AI594" s="1665"/>
      <c r="AJ594" s="1665"/>
      <c r="AK594" s="166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62"/>
      <c r="I595" s="1662"/>
      <c r="J595" s="1662"/>
      <c r="K595" s="1662"/>
      <c r="L595" s="1662"/>
      <c r="M595" s="1662"/>
      <c r="N595" s="1662"/>
      <c r="O595" s="1662"/>
      <c r="P595" s="1662"/>
      <c r="Q595" s="1662"/>
      <c r="R595" s="1662"/>
      <c r="T595" s="46"/>
      <c r="U595" s="16" t="s">
        <v>907</v>
      </c>
      <c r="AA595" s="1662"/>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3" t="s">
        <v>118</v>
      </c>
      <c r="O596" s="1713"/>
      <c r="T596" s="46"/>
      <c r="U596" s="16" t="s">
        <v>909</v>
      </c>
      <c r="AG596" s="1713" t="s">
        <v>118</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7">
        <f>C566</f>
        <v>0</v>
      </c>
      <c r="H598" s="1827"/>
      <c r="I598" s="1827"/>
      <c r="J598" s="1827"/>
      <c r="K598" s="1827"/>
      <c r="L598" s="1827"/>
      <c r="M598" s="1827"/>
      <c r="N598" s="1827"/>
      <c r="O598" s="1827"/>
      <c r="P598" s="1827"/>
      <c r="Q598" s="1827"/>
      <c r="R598" s="1827"/>
      <c r="T598" s="101" t="s">
        <v>805</v>
      </c>
      <c r="U598" s="16" t="s">
        <v>92</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662"/>
      <c r="H599" s="1662"/>
      <c r="I599" s="1662"/>
      <c r="J599" s="1662"/>
      <c r="K599" s="1662"/>
      <c r="L599" s="1662"/>
      <c r="M599" s="1662"/>
      <c r="N599" s="1662"/>
      <c r="O599" s="1662"/>
      <c r="P599" s="1662"/>
      <c r="Q599" s="1662"/>
      <c r="R599" s="1662"/>
      <c r="T599" s="46"/>
      <c r="U599" s="16" t="s">
        <v>412</v>
      </c>
      <c r="Z599" s="1662"/>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2"/>
      <c r="H600" s="1662"/>
      <c r="I600" s="1662"/>
      <c r="J600" s="1662"/>
      <c r="K600" s="1662"/>
      <c r="L600" s="1662"/>
      <c r="M600" s="1662"/>
      <c r="N600" s="1662"/>
      <c r="O600" s="1662"/>
      <c r="P600" s="1662"/>
      <c r="Q600" s="1662"/>
      <c r="R600" s="1662"/>
      <c r="S600" s="16"/>
      <c r="T600" s="46"/>
      <c r="U600" s="16" t="s">
        <v>475</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62"/>
      <c r="H601" s="1662"/>
      <c r="I601" s="1662"/>
      <c r="J601" s="1662"/>
      <c r="K601" s="1662"/>
      <c r="L601" s="1662"/>
      <c r="M601" s="1662"/>
      <c r="N601" s="1662"/>
      <c r="O601" s="1662"/>
      <c r="P601" s="1662"/>
      <c r="Q601" s="1662"/>
      <c r="R601" s="1662"/>
      <c r="S601" s="16"/>
      <c r="T601" s="46"/>
      <c r="U601" s="16" t="s">
        <v>906</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381</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57"/>
      <c r="H602" s="1657"/>
      <c r="I602" s="1657"/>
      <c r="J602" s="1657"/>
      <c r="K602" s="1657"/>
      <c r="L602" s="1657"/>
      <c r="M602" s="16"/>
      <c r="N602" s="16"/>
      <c r="O602" s="149" t="s">
        <v>891</v>
      </c>
      <c r="P602" s="1665"/>
      <c r="Q602" s="1665"/>
      <c r="R602" s="1665"/>
      <c r="S602" s="16"/>
      <c r="T602" s="46"/>
      <c r="U602" s="16" t="s">
        <v>711</v>
      </c>
      <c r="V602" s="16"/>
      <c r="W602" s="16"/>
      <c r="X602" s="16"/>
      <c r="Y602" s="16"/>
      <c r="Z602" s="1657"/>
      <c r="AA602" s="1657"/>
      <c r="AB602" s="1657"/>
      <c r="AC602" s="1657"/>
      <c r="AD602" s="1657"/>
      <c r="AE602" s="1657"/>
      <c r="AF602" s="16"/>
      <c r="AG602" s="16"/>
      <c r="AH602" s="149" t="s">
        <v>891</v>
      </c>
      <c r="AI602" s="1665"/>
      <c r="AJ602" s="1665"/>
      <c r="AK602" s="1665"/>
      <c r="AL602" s="16"/>
      <c r="AZ602" s="8" t="s">
        <v>486</v>
      </c>
      <c r="BA602" s="72"/>
      <c r="BB602" s="72"/>
      <c r="BC602" s="72"/>
      <c r="BD602" s="72"/>
      <c r="BE602" s="334" t="s">
        <v>388</v>
      </c>
      <c r="BF602" s="335"/>
      <c r="BG602" s="1802"/>
      <c r="BH602" s="1805"/>
      <c r="BI602" s="334" t="s">
        <v>389</v>
      </c>
      <c r="BJ602" s="335"/>
      <c r="BK602" s="1802"/>
      <c r="BL602" s="1805"/>
      <c r="BN602" s="1802">
        <f t="shared" ref="BN602:BN626" si="0">IF(B706="SRO/Studio",G706,0)</f>
        <v>0</v>
      </c>
      <c r="BO602" s="1803"/>
      <c r="BP602" s="1803"/>
      <c r="BQ602" s="1803"/>
      <c r="BR602" s="1804"/>
      <c r="BS602" s="1802">
        <f t="shared" ref="BS602:BS626" si="1">IF(B706="1 Bedroom",G706,0)</f>
        <v>20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4">
        <f t="shared" ref="CM602:CM626" si="5">IF(B706="5 Bedrooms",G706,0)</f>
        <v>0</v>
      </c>
      <c r="CN602" s="2125"/>
      <c r="CO602" s="2125"/>
      <c r="CP602" s="2125"/>
      <c r="CQ602" s="1804"/>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381</v>
      </c>
      <c r="DS602" s="1392"/>
      <c r="DT602" s="1392"/>
      <c r="DU602" s="1392"/>
      <c r="DV602" s="1392"/>
    </row>
    <row r="603" spans="1:126" s="8" customFormat="1" ht="12.75">
      <c r="A603" s="46"/>
      <c r="B603" s="16" t="s">
        <v>907</v>
      </c>
      <c r="C603" s="16"/>
      <c r="D603" s="16"/>
      <c r="E603" s="16"/>
      <c r="F603" s="16"/>
      <c r="G603" s="16"/>
      <c r="H603" s="1662"/>
      <c r="I603" s="1662"/>
      <c r="J603" s="1662"/>
      <c r="K603" s="1662"/>
      <c r="L603" s="1662"/>
      <c r="M603" s="1662"/>
      <c r="N603" s="1662"/>
      <c r="O603" s="1662"/>
      <c r="P603" s="1662"/>
      <c r="Q603" s="1662"/>
      <c r="R603" s="1662"/>
      <c r="S603" s="16"/>
      <c r="T603" s="46"/>
      <c r="U603" s="16" t="s">
        <v>907</v>
      </c>
      <c r="V603" s="16"/>
      <c r="W603" s="16"/>
      <c r="X603" s="16"/>
      <c r="Y603" s="16"/>
      <c r="Z603" s="16"/>
      <c r="AA603" s="1662"/>
      <c r="AB603" s="1662"/>
      <c r="AC603" s="1662"/>
      <c r="AD603" s="1662"/>
      <c r="AE603" s="1662"/>
      <c r="AF603" s="1662"/>
      <c r="AG603" s="1662"/>
      <c r="AH603" s="1662"/>
      <c r="AI603" s="1662"/>
      <c r="AJ603" s="1662"/>
      <c r="AK603" s="1662"/>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20</v>
      </c>
      <c r="BL603" s="1805"/>
      <c r="BN603" s="1802">
        <f t="shared" si="0"/>
        <v>0</v>
      </c>
      <c r="BO603" s="1803"/>
      <c r="BP603" s="1803"/>
      <c r="BQ603" s="1803"/>
      <c r="BR603" s="1804"/>
      <c r="BS603" s="1802">
        <f t="shared" si="1"/>
        <v>0</v>
      </c>
      <c r="BT603" s="1803"/>
      <c r="BU603" s="1803"/>
      <c r="BV603" s="1803"/>
      <c r="BW603" s="1805"/>
      <c r="BX603" s="1802">
        <f t="shared" si="2"/>
        <v>3</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1">
        <f>IF(AND(B706="SRO/Studio",AH706&lt;=0.3),G706,0)</f>
        <v>0</v>
      </c>
      <c r="CT603" s="2122"/>
      <c r="CU603" s="2122"/>
      <c r="CV603" s="2122"/>
      <c r="CW603" s="2123"/>
      <c r="CX603" s="2121">
        <f>IF(AND(B706="1 Bedroom",AH706&lt;=0.3),G706,0)</f>
        <v>20</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2.75">
      <c r="A604" s="46"/>
      <c r="B604" s="16" t="s">
        <v>909</v>
      </c>
      <c r="C604" s="16"/>
      <c r="D604" s="16"/>
      <c r="E604" s="16"/>
      <c r="F604" s="16"/>
      <c r="G604" s="16"/>
      <c r="H604" s="16"/>
      <c r="I604" s="16"/>
      <c r="J604" s="16"/>
      <c r="K604" s="16"/>
      <c r="L604" s="16"/>
      <c r="M604" s="16"/>
      <c r="N604" s="1713" t="s">
        <v>527</v>
      </c>
      <c r="O604" s="1713"/>
      <c r="P604" s="16"/>
      <c r="Q604" s="16"/>
      <c r="R604" s="16"/>
      <c r="S604" s="16"/>
      <c r="T604" s="46"/>
      <c r="U604" s="16" t="s">
        <v>909</v>
      </c>
      <c r="V604" s="16"/>
      <c r="W604" s="16"/>
      <c r="X604" s="16"/>
      <c r="Y604" s="16"/>
      <c r="Z604" s="16"/>
      <c r="AA604" s="16"/>
      <c r="AB604" s="16"/>
      <c r="AC604" s="16"/>
      <c r="AD604" s="16"/>
      <c r="AE604" s="16"/>
      <c r="AF604" s="16"/>
      <c r="AG604" s="1713" t="s">
        <v>527</v>
      </c>
      <c r="AH604" s="1713"/>
      <c r="AI604" s="16"/>
      <c r="AJ604" s="16"/>
      <c r="AK604" s="16"/>
      <c r="AL604" s="16"/>
      <c r="AZ604" s="8" t="s">
        <v>844</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3</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3</v>
      </c>
      <c r="CD604" s="1803"/>
      <c r="CE604" s="1803"/>
      <c r="CF604" s="1803"/>
      <c r="CG604" s="1805"/>
      <c r="CH604" s="1802">
        <f t="shared" si="4"/>
        <v>0</v>
      </c>
      <c r="CI604" s="1803"/>
      <c r="CJ604" s="1803"/>
      <c r="CK604" s="1803"/>
      <c r="CL604" s="1805"/>
      <c r="CM604" s="1802">
        <f t="shared" si="5"/>
        <v>0</v>
      </c>
      <c r="CN604" s="1803"/>
      <c r="CO604" s="1803"/>
      <c r="CP604" s="1803"/>
      <c r="CQ604" s="1805"/>
      <c r="CS604" s="2121">
        <f t="shared" ref="CS604:CS627" si="10">IF(AND(B707="SRO/Studio",AH707&lt;=0.3),G707,0)</f>
        <v>0</v>
      </c>
      <c r="CT604" s="2122"/>
      <c r="CU604" s="2122"/>
      <c r="CV604" s="2122"/>
      <c r="CW604" s="2123"/>
      <c r="CX604" s="2121">
        <f t="shared" ref="CX604:CX627" si="11">IF(AND(B707="1 Bedroom",AH707&lt;=0.3),G707,0)</f>
        <v>0</v>
      </c>
      <c r="CY604" s="2122"/>
      <c r="CZ604" s="2122"/>
      <c r="DA604" s="2122"/>
      <c r="DB604" s="2123"/>
      <c r="DC604" s="2121">
        <f t="shared" ref="DC604:DC627" si="12">IF(AND(B707="2 Bedrooms",AH707&lt;=0.3),G707,0)</f>
        <v>3</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2.75">
      <c r="AZ605" s="8" t="s">
        <v>845</v>
      </c>
      <c r="BA605" s="72"/>
      <c r="BB605" s="72"/>
      <c r="BC605" s="72"/>
      <c r="BD605" s="72"/>
      <c r="BE605" s="1806">
        <f t="shared" si="8"/>
        <v>0</v>
      </c>
      <c r="BF605" s="1807"/>
      <c r="BG605" s="1802">
        <f t="shared" si="6"/>
        <v>0</v>
      </c>
      <c r="BH605" s="1805"/>
      <c r="BI605" s="1806">
        <f t="shared" si="9"/>
        <v>1</v>
      </c>
      <c r="BJ605" s="1807"/>
      <c r="BK605" s="1802">
        <f t="shared" si="7"/>
        <v>3</v>
      </c>
      <c r="BL605" s="1805"/>
      <c r="BN605" s="1802">
        <f t="shared" si="0"/>
        <v>0</v>
      </c>
      <c r="BO605" s="1803"/>
      <c r="BP605" s="1803"/>
      <c r="BQ605" s="1803"/>
      <c r="BR605" s="1804"/>
      <c r="BS605" s="1802">
        <f t="shared" si="1"/>
        <v>0</v>
      </c>
      <c r="BT605" s="1803"/>
      <c r="BU605" s="1803"/>
      <c r="BV605" s="1803"/>
      <c r="BW605" s="1805"/>
      <c r="BX605" s="1802">
        <f t="shared" si="2"/>
        <v>4</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1">
        <f t="shared" si="10"/>
        <v>0</v>
      </c>
      <c r="CT605" s="2122"/>
      <c r="CU605" s="2122"/>
      <c r="CV605" s="2122"/>
      <c r="CW605" s="2123"/>
      <c r="CX605" s="2121">
        <f t="shared" si="11"/>
        <v>0</v>
      </c>
      <c r="CY605" s="2122"/>
      <c r="CZ605" s="2122"/>
      <c r="DA605" s="2122"/>
      <c r="DB605" s="2123"/>
      <c r="DC605" s="2121">
        <f t="shared" si="12"/>
        <v>0</v>
      </c>
      <c r="DD605" s="2122"/>
      <c r="DE605" s="2122"/>
      <c r="DF605" s="2122"/>
      <c r="DG605" s="2123"/>
      <c r="DH605" s="2121">
        <f t="shared" si="13"/>
        <v>3</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2.75">
      <c r="A606" s="101" t="s">
        <v>602</v>
      </c>
      <c r="B606" s="16" t="s">
        <v>92</v>
      </c>
      <c r="G606" s="1827">
        <f>C568</f>
        <v>0</v>
      </c>
      <c r="H606" s="1827"/>
      <c r="I606" s="1827"/>
      <c r="J606" s="1827"/>
      <c r="K606" s="1827"/>
      <c r="L606" s="1827"/>
      <c r="M606" s="1827"/>
      <c r="N606" s="1827"/>
      <c r="O606" s="1827"/>
      <c r="P606" s="1827"/>
      <c r="Q606" s="1827"/>
      <c r="R606" s="1827"/>
      <c r="T606" s="101" t="s">
        <v>189</v>
      </c>
      <c r="U606" s="16" t="s">
        <v>92</v>
      </c>
      <c r="Z606" s="1827">
        <f>C569</f>
        <v>0</v>
      </c>
      <c r="AA606" s="1827"/>
      <c r="AB606" s="1827"/>
      <c r="AC606" s="1827"/>
      <c r="AD606" s="1827"/>
      <c r="AE606" s="1827"/>
      <c r="AF606" s="1827"/>
      <c r="AG606" s="1827"/>
      <c r="AH606" s="1827"/>
      <c r="AI606" s="1827"/>
      <c r="AJ606" s="1827"/>
      <c r="AK606" s="1827"/>
      <c r="AZ606" s="8" t="s">
        <v>846</v>
      </c>
      <c r="BA606" s="72"/>
      <c r="BB606" s="72"/>
      <c r="BC606" s="72"/>
      <c r="BD606" s="72"/>
      <c r="BE606" s="1806">
        <f t="shared" si="8"/>
        <v>1</v>
      </c>
      <c r="BF606" s="1807"/>
      <c r="BG606" s="1802">
        <f t="shared" si="6"/>
        <v>4</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4</v>
      </c>
      <c r="CD606" s="1803"/>
      <c r="CE606" s="1803"/>
      <c r="CF606" s="1803"/>
      <c r="CG606" s="1805"/>
      <c r="CH606" s="1802">
        <f t="shared" si="4"/>
        <v>0</v>
      </c>
      <c r="CI606" s="1803"/>
      <c r="CJ606" s="1803"/>
      <c r="CK606" s="1803"/>
      <c r="CL606" s="1805"/>
      <c r="CM606" s="1802">
        <f t="shared" si="5"/>
        <v>0</v>
      </c>
      <c r="CN606" s="1803"/>
      <c r="CO606" s="1803"/>
      <c r="CP606" s="1803"/>
      <c r="CQ606" s="1805"/>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0</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2.75">
      <c r="A607" s="46"/>
      <c r="B607" s="16" t="s">
        <v>412</v>
      </c>
      <c r="G607" s="1662"/>
      <c r="H607" s="1662"/>
      <c r="I607" s="1662"/>
      <c r="J607" s="1662"/>
      <c r="K607" s="1662"/>
      <c r="L607" s="1662"/>
      <c r="M607" s="1662"/>
      <c r="N607" s="1662"/>
      <c r="O607" s="1662"/>
      <c r="P607" s="1662"/>
      <c r="Q607" s="1662"/>
      <c r="R607" s="1662"/>
      <c r="T607" s="46"/>
      <c r="U607" s="16" t="s">
        <v>412</v>
      </c>
      <c r="Z607" s="1662"/>
      <c r="AA607" s="1662"/>
      <c r="AB607" s="1662"/>
      <c r="AC607" s="1662"/>
      <c r="AD607" s="1662"/>
      <c r="AE607" s="1662"/>
      <c r="AF607" s="1662"/>
      <c r="AG607" s="1662"/>
      <c r="AH607" s="1662"/>
      <c r="AI607" s="1662"/>
      <c r="AJ607" s="1662"/>
      <c r="AK607" s="1662"/>
      <c r="AZ607" s="8" t="s">
        <v>381</v>
      </c>
      <c r="BA607" s="72"/>
      <c r="BB607" s="72"/>
      <c r="BC607" s="72"/>
      <c r="BD607" s="72"/>
      <c r="BE607" s="1806">
        <f t="shared" si="8"/>
        <v>1</v>
      </c>
      <c r="BF607" s="1807"/>
      <c r="BG607" s="1802">
        <f t="shared" si="6"/>
        <v>4</v>
      </c>
      <c r="BH607" s="1805"/>
      <c r="BI607" s="1806">
        <f t="shared" si="9"/>
        <v>0</v>
      </c>
      <c r="BJ607" s="1807"/>
      <c r="BK607" s="1802">
        <f t="shared" si="7"/>
        <v>0</v>
      </c>
      <c r="BL607" s="1805"/>
      <c r="BN607" s="1802">
        <f t="shared" si="0"/>
        <v>0</v>
      </c>
      <c r="BO607" s="1803"/>
      <c r="BP607" s="1803"/>
      <c r="BQ607" s="1803"/>
      <c r="BR607" s="1804"/>
      <c r="BS607" s="1802">
        <f t="shared" si="1"/>
        <v>26</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1">
        <f t="shared" si="10"/>
        <v>0</v>
      </c>
      <c r="CT607" s="2122"/>
      <c r="CU607" s="2122"/>
      <c r="CV607" s="2122"/>
      <c r="CW607" s="2123"/>
      <c r="CX607" s="2121">
        <f t="shared" si="11"/>
        <v>0</v>
      </c>
      <c r="CY607" s="2122"/>
      <c r="CZ607" s="2122"/>
      <c r="DA607" s="2122"/>
      <c r="DB607" s="2123"/>
      <c r="DC607" s="2121">
        <f t="shared" si="12"/>
        <v>0</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2.75">
      <c r="A608" s="46"/>
      <c r="B608" s="16" t="s">
        <v>475</v>
      </c>
      <c r="G608" s="1662"/>
      <c r="H608" s="1662"/>
      <c r="I608" s="1662"/>
      <c r="J608" s="1662"/>
      <c r="K608" s="1662"/>
      <c r="L608" s="1662"/>
      <c r="M608" s="1662"/>
      <c r="N608" s="1662"/>
      <c r="O608" s="1662"/>
      <c r="P608" s="1662"/>
      <c r="Q608" s="1662"/>
      <c r="R608" s="1662"/>
      <c r="T608" s="46"/>
      <c r="U608" s="16" t="s">
        <v>475</v>
      </c>
      <c r="Z608" s="1654"/>
      <c r="AA608" s="1654"/>
      <c r="AB608" s="1654"/>
      <c r="AC608" s="1654"/>
      <c r="AD608" s="1654"/>
      <c r="AE608" s="1654"/>
      <c r="AF608" s="1654"/>
      <c r="AG608" s="1654"/>
      <c r="AH608" s="1654"/>
      <c r="AI608" s="1654"/>
      <c r="AJ608" s="1654"/>
      <c r="AK608" s="1654"/>
      <c r="AZ608" s="72"/>
      <c r="BA608" s="72"/>
      <c r="BB608" s="72"/>
      <c r="BC608" s="72"/>
      <c r="BD608" s="72"/>
      <c r="BE608" s="1806">
        <f t="shared" si="8"/>
        <v>1</v>
      </c>
      <c r="BF608" s="1807"/>
      <c r="BG608" s="1802">
        <f t="shared" si="6"/>
        <v>26</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9</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1">
        <f t="shared" si="10"/>
        <v>0</v>
      </c>
      <c r="CT608" s="2122"/>
      <c r="CU608" s="2122"/>
      <c r="CV608" s="2122"/>
      <c r="CW608" s="2123"/>
      <c r="CX608" s="2121">
        <f t="shared" si="11"/>
        <v>0</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2.75">
      <c r="A609" s="46"/>
      <c r="B609" s="16" t="s">
        <v>906</v>
      </c>
      <c r="G609" s="1662"/>
      <c r="H609" s="1662"/>
      <c r="I609" s="1662"/>
      <c r="J609" s="1662"/>
      <c r="K609" s="1662"/>
      <c r="L609" s="1662"/>
      <c r="M609" s="1662"/>
      <c r="N609" s="1662"/>
      <c r="O609" s="1662"/>
      <c r="P609" s="1662"/>
      <c r="Q609" s="1662"/>
      <c r="R609" s="1662"/>
      <c r="T609" s="46"/>
      <c r="U609" s="16" t="s">
        <v>906</v>
      </c>
      <c r="Z609" s="1654"/>
      <c r="AA609" s="1654"/>
      <c r="AB609" s="1654"/>
      <c r="AC609" s="1654"/>
      <c r="AD609" s="1654"/>
      <c r="AE609" s="1654"/>
      <c r="AF609" s="1654"/>
      <c r="AG609" s="1654"/>
      <c r="AH609" s="1654"/>
      <c r="AI609" s="1654"/>
      <c r="AJ609" s="1654"/>
      <c r="AK609" s="1654"/>
      <c r="AZ609" s="72"/>
      <c r="BA609" s="72"/>
      <c r="BB609" s="72"/>
      <c r="BC609" s="72"/>
      <c r="BD609" s="72"/>
      <c r="BE609" s="1806">
        <f t="shared" si="8"/>
        <v>1</v>
      </c>
      <c r="BF609" s="1807"/>
      <c r="BG609" s="1802">
        <f t="shared" si="6"/>
        <v>9</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11</v>
      </c>
      <c r="CD609" s="1803"/>
      <c r="CE609" s="1803"/>
      <c r="CF609" s="1803"/>
      <c r="CG609" s="1805"/>
      <c r="CH609" s="1802">
        <f t="shared" si="4"/>
        <v>0</v>
      </c>
      <c r="CI609" s="1803"/>
      <c r="CJ609" s="1803"/>
      <c r="CK609" s="1803"/>
      <c r="CL609" s="1805"/>
      <c r="CM609" s="1802">
        <f t="shared" si="5"/>
        <v>0</v>
      </c>
      <c r="CN609" s="1803"/>
      <c r="CO609" s="1803"/>
      <c r="CP609" s="1803"/>
      <c r="CQ609" s="1805"/>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2.75">
      <c r="A610" s="46"/>
      <c r="B610" s="16" t="s">
        <v>711</v>
      </c>
      <c r="G610" s="1657"/>
      <c r="H610" s="1657"/>
      <c r="I610" s="1657"/>
      <c r="J610" s="1657"/>
      <c r="K610" s="1657"/>
      <c r="L610" s="1657"/>
      <c r="O610" s="149" t="s">
        <v>891</v>
      </c>
      <c r="P610" s="1665"/>
      <c r="Q610" s="1665"/>
      <c r="R610" s="1665"/>
      <c r="T610" s="46"/>
      <c r="U610" s="16" t="s">
        <v>711</v>
      </c>
      <c r="Z610" s="1657"/>
      <c r="AA610" s="1657"/>
      <c r="AB610" s="1657"/>
      <c r="AC610" s="1657"/>
      <c r="AD610" s="1657"/>
      <c r="AE610" s="1657"/>
      <c r="AH610" s="149" t="s">
        <v>891</v>
      </c>
      <c r="AI610" s="1665"/>
      <c r="AJ610" s="1665"/>
      <c r="AK610" s="1665"/>
      <c r="AZ610" s="72"/>
      <c r="BA610" s="72"/>
      <c r="BB610" s="72"/>
      <c r="BC610" s="72"/>
      <c r="BD610" s="72"/>
      <c r="BE610" s="1806">
        <f t="shared" si="8"/>
        <v>1</v>
      </c>
      <c r="BF610" s="1807"/>
      <c r="BG610" s="1802">
        <f t="shared" si="6"/>
        <v>11</v>
      </c>
      <c r="BH610" s="1805"/>
      <c r="BI610" s="1806">
        <f t="shared" si="9"/>
        <v>0</v>
      </c>
      <c r="BJ610" s="1807"/>
      <c r="BK610" s="1802">
        <f t="shared" si="7"/>
        <v>0</v>
      </c>
      <c r="BL610" s="1805"/>
      <c r="BN610" s="1802">
        <f t="shared" si="0"/>
        <v>0</v>
      </c>
      <c r="BO610" s="1803"/>
      <c r="BP610" s="1803"/>
      <c r="BQ610" s="1803"/>
      <c r="BR610" s="1804"/>
      <c r="BS610" s="1802">
        <f t="shared" si="1"/>
        <v>8</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2.75">
      <c r="A611" s="46"/>
      <c r="B611" s="16" t="s">
        <v>907</v>
      </c>
      <c r="C611" s="16"/>
      <c r="D611" s="16"/>
      <c r="E611" s="16"/>
      <c r="F611" s="16"/>
      <c r="G611" s="16"/>
      <c r="H611" s="1662"/>
      <c r="I611" s="1662"/>
      <c r="J611" s="1662"/>
      <c r="K611" s="1662"/>
      <c r="L611" s="1662"/>
      <c r="M611" s="1662"/>
      <c r="N611" s="1662"/>
      <c r="O611" s="1662"/>
      <c r="P611" s="1662"/>
      <c r="Q611" s="1662"/>
      <c r="R611" s="1662"/>
      <c r="S611" s="16"/>
      <c r="T611" s="46"/>
      <c r="U611" s="16" t="s">
        <v>907</v>
      </c>
      <c r="V611" s="16"/>
      <c r="W611" s="16"/>
      <c r="X611" s="16"/>
      <c r="Y611" s="16"/>
      <c r="Z611" s="16"/>
      <c r="AA611" s="1662"/>
      <c r="AB611" s="1662"/>
      <c r="AC611" s="1662"/>
      <c r="AD611" s="1662"/>
      <c r="AE611" s="1662"/>
      <c r="AF611" s="1662"/>
      <c r="AG611" s="1662"/>
      <c r="AH611" s="1662"/>
      <c r="AI611" s="1662"/>
      <c r="AJ611" s="1662"/>
      <c r="AK611" s="1662"/>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13</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0</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2.75">
      <c r="A612" s="46"/>
      <c r="B612" s="16" t="s">
        <v>909</v>
      </c>
      <c r="C612" s="16"/>
      <c r="D612" s="16"/>
      <c r="E612" s="16"/>
      <c r="F612" s="16"/>
      <c r="G612" s="16"/>
      <c r="H612" s="16"/>
      <c r="I612" s="16"/>
      <c r="J612" s="16"/>
      <c r="K612" s="16"/>
      <c r="L612" s="16"/>
      <c r="M612" s="16"/>
      <c r="N612" s="1713" t="s">
        <v>527</v>
      </c>
      <c r="O612" s="1713"/>
      <c r="P612" s="16"/>
      <c r="Q612" s="16"/>
      <c r="R612" s="16"/>
      <c r="S612" s="16"/>
      <c r="T612" s="46"/>
      <c r="U612" s="16" t="s">
        <v>909</v>
      </c>
      <c r="V612" s="16"/>
      <c r="W612" s="16"/>
      <c r="X612" s="16"/>
      <c r="Y612" s="16"/>
      <c r="Z612" s="16"/>
      <c r="AA612" s="16"/>
      <c r="AB612" s="16"/>
      <c r="AC612" s="16"/>
      <c r="AD612" s="16"/>
      <c r="AE612" s="16"/>
      <c r="AF612" s="16"/>
      <c r="AG612" s="1713" t="s">
        <v>527</v>
      </c>
      <c r="AH612" s="1713"/>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11</v>
      </c>
      <c r="CD612" s="1803"/>
      <c r="CE612" s="1803"/>
      <c r="CF612" s="1803"/>
      <c r="CG612" s="1805"/>
      <c r="CH612" s="1802">
        <f t="shared" si="4"/>
        <v>0</v>
      </c>
      <c r="CI612" s="1803"/>
      <c r="CJ612" s="1803"/>
      <c r="CK612" s="1803"/>
      <c r="CL612" s="1805"/>
      <c r="CM612" s="1802">
        <f t="shared" si="5"/>
        <v>0</v>
      </c>
      <c r="CN612" s="1803"/>
      <c r="CO612" s="1803"/>
      <c r="CP612" s="1803"/>
      <c r="CQ612" s="1805"/>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2.75">
      <c r="A614" s="101" t="s">
        <v>37</v>
      </c>
      <c r="B614" s="16" t="s">
        <v>92</v>
      </c>
      <c r="G614" s="1827">
        <f>C570</f>
        <v>0</v>
      </c>
      <c r="H614" s="1827"/>
      <c r="I614" s="1827"/>
      <c r="J614" s="1827"/>
      <c r="K614" s="1827"/>
      <c r="L614" s="1827"/>
      <c r="M614" s="1827"/>
      <c r="N614" s="1827"/>
      <c r="O614" s="1827"/>
      <c r="P614" s="1827"/>
      <c r="Q614" s="1827"/>
      <c r="R614" s="1827"/>
      <c r="T614" s="101" t="s">
        <v>38</v>
      </c>
      <c r="U614" s="16" t="s">
        <v>92</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2.75">
      <c r="B615" s="16" t="s">
        <v>412</v>
      </c>
      <c r="G615" s="1662"/>
      <c r="H615" s="1662"/>
      <c r="I615" s="1662"/>
      <c r="J615" s="1662"/>
      <c r="K615" s="1662"/>
      <c r="L615" s="1662"/>
      <c r="M615" s="1662"/>
      <c r="N615" s="1662"/>
      <c r="O615" s="1662"/>
      <c r="P615" s="1662"/>
      <c r="Q615" s="1662"/>
      <c r="R615" s="1662"/>
      <c r="U615" s="16" t="s">
        <v>412</v>
      </c>
      <c r="Z615" s="1662"/>
      <c r="AA615" s="1662"/>
      <c r="AB615" s="1662"/>
      <c r="AC615" s="1662"/>
      <c r="AD615" s="1662"/>
      <c r="AE615" s="1662"/>
      <c r="AF615" s="1662"/>
      <c r="AG615" s="1662"/>
      <c r="AH615" s="1662"/>
      <c r="AI615" s="1662"/>
      <c r="AJ615" s="1662"/>
      <c r="AK615" s="1662"/>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2.75">
      <c r="B616" s="16" t="s">
        <v>475</v>
      </c>
      <c r="G616" s="1662"/>
      <c r="H616" s="1662"/>
      <c r="I616" s="1662"/>
      <c r="J616" s="1662"/>
      <c r="K616" s="1662"/>
      <c r="L616" s="1662"/>
      <c r="M616" s="1662"/>
      <c r="N616" s="1662"/>
      <c r="O616" s="1662"/>
      <c r="P616" s="1662"/>
      <c r="Q616" s="1662"/>
      <c r="R616" s="1662"/>
      <c r="U616" s="16" t="s">
        <v>475</v>
      </c>
      <c r="Z616" s="1654"/>
      <c r="AA616" s="1654"/>
      <c r="AB616" s="1654"/>
      <c r="AC616" s="1654"/>
      <c r="AD616" s="1654"/>
      <c r="AE616" s="1654"/>
      <c r="AF616" s="1654"/>
      <c r="AG616" s="1654"/>
      <c r="AH616" s="1654"/>
      <c r="AI616" s="1654"/>
      <c r="AJ616" s="1654"/>
      <c r="AK616" s="1654"/>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2.75">
      <c r="B617" s="16" t="s">
        <v>906</v>
      </c>
      <c r="G617" s="1662"/>
      <c r="H617" s="1662"/>
      <c r="I617" s="1662"/>
      <c r="J617" s="1662"/>
      <c r="K617" s="1662"/>
      <c r="L617" s="1662"/>
      <c r="M617" s="1662"/>
      <c r="N617" s="1662"/>
      <c r="O617" s="1662"/>
      <c r="P617" s="1662"/>
      <c r="Q617" s="1662"/>
      <c r="R617" s="1662"/>
      <c r="U617" s="16" t="s">
        <v>906</v>
      </c>
      <c r="Z617" s="1654"/>
      <c r="AA617" s="1654"/>
      <c r="AB617" s="1654"/>
      <c r="AC617" s="1654"/>
      <c r="AD617" s="1654"/>
      <c r="AE617" s="1654"/>
      <c r="AF617" s="1654"/>
      <c r="AG617" s="1654"/>
      <c r="AH617" s="1654"/>
      <c r="AI617" s="1654"/>
      <c r="AJ617" s="1654"/>
      <c r="AK617" s="1654"/>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2.75">
      <c r="B618" s="16" t="s">
        <v>711</v>
      </c>
      <c r="G618" s="1657"/>
      <c r="H618" s="1657"/>
      <c r="I618" s="1657"/>
      <c r="J618" s="1657"/>
      <c r="K618" s="1657"/>
      <c r="L618" s="1657"/>
      <c r="O618" s="149" t="s">
        <v>891</v>
      </c>
      <c r="P618" s="1665"/>
      <c r="Q618" s="1665"/>
      <c r="R618" s="1665"/>
      <c r="U618" s="16" t="s">
        <v>711</v>
      </c>
      <c r="Z618" s="1657"/>
      <c r="AA618" s="1657"/>
      <c r="AB618" s="1657"/>
      <c r="AC618" s="1657"/>
      <c r="AD618" s="1657"/>
      <c r="AE618" s="1657"/>
      <c r="AH618" s="149" t="s">
        <v>891</v>
      </c>
      <c r="AI618" s="1665"/>
      <c r="AJ618" s="1665"/>
      <c r="AK618" s="1665"/>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2.75">
      <c r="B619" s="16" t="s">
        <v>907</v>
      </c>
      <c r="H619" s="1662"/>
      <c r="I619" s="1662"/>
      <c r="J619" s="1662"/>
      <c r="K619" s="1662"/>
      <c r="L619" s="1662"/>
      <c r="M619" s="1662"/>
      <c r="N619" s="1662"/>
      <c r="O619" s="1662"/>
      <c r="P619" s="1662"/>
      <c r="Q619" s="1662"/>
      <c r="R619" s="1662"/>
      <c r="U619" s="16" t="s">
        <v>907</v>
      </c>
      <c r="AA619" s="1662"/>
      <c r="AB619" s="1662"/>
      <c r="AC619" s="1662"/>
      <c r="AD619" s="1662"/>
      <c r="AE619" s="1662"/>
      <c r="AF619" s="1662"/>
      <c r="AG619" s="1662"/>
      <c r="AH619" s="1662"/>
      <c r="AI619" s="1662"/>
      <c r="AJ619" s="1662"/>
      <c r="AK619" s="1662"/>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909</v>
      </c>
      <c r="N620" s="1658" t="s">
        <v>527</v>
      </c>
      <c r="O620" s="1658"/>
      <c r="U620" s="16" t="s">
        <v>909</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8" t="s">
        <v>136</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2.75">
      <c r="A625" s="63" t="s">
        <v>714</v>
      </c>
      <c r="B625" s="63"/>
      <c r="C625" s="63" t="s">
        <v>910</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6"/>
      <c r="BP627" s="2126"/>
      <c r="BQ627" s="2126"/>
      <c r="BR627" s="1807"/>
      <c r="BS627" s="1806">
        <f>SUM(BS602:BW626)</f>
        <v>54</v>
      </c>
      <c r="BT627" s="2126"/>
      <c r="BU627" s="2126"/>
      <c r="BV627" s="2126"/>
      <c r="BW627" s="1807"/>
      <c r="BX627" s="1806">
        <f>SUM(BX602:CB626)</f>
        <v>29</v>
      </c>
      <c r="BY627" s="2126"/>
      <c r="BZ627" s="2126"/>
      <c r="CA627" s="2126"/>
      <c r="CB627" s="1807"/>
      <c r="CC627" s="1806">
        <f>SUM(CC602:CG626)</f>
        <v>29</v>
      </c>
      <c r="CD627" s="2126"/>
      <c r="CE627" s="2126"/>
      <c r="CF627" s="2126"/>
      <c r="CG627" s="1807"/>
      <c r="CH627" s="1806">
        <f>SUM(CH602:CL626)</f>
        <v>0</v>
      </c>
      <c r="CI627" s="2126"/>
      <c r="CJ627" s="2126"/>
      <c r="CK627" s="2126"/>
      <c r="CL627" s="1807"/>
      <c r="CM627" s="1806">
        <f>SUM(CM602:CQ626)</f>
        <v>0</v>
      </c>
      <c r="CN627" s="2126"/>
      <c r="CO627" s="2126"/>
      <c r="CP627" s="2126"/>
      <c r="CQ627" s="1807"/>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54</v>
      </c>
      <c r="BH628" s="1807"/>
      <c r="BI628" s="72"/>
      <c r="BJ628" s="72"/>
      <c r="BK628" s="1806">
        <f>SUM(BK603:BL627)</f>
        <v>26</v>
      </c>
      <c r="BL628" s="1807"/>
      <c r="BN628" s="72" t="s">
        <v>1887</v>
      </c>
      <c r="BO628" s="72"/>
      <c r="BP628" s="72"/>
      <c r="BQ628" s="72"/>
      <c r="BR628" s="714">
        <f>BN627*1</f>
        <v>0</v>
      </c>
      <c r="BS628" s="72"/>
      <c r="BT628" s="72"/>
      <c r="BU628" s="72"/>
      <c r="BV628" s="72"/>
      <c r="BW628" s="714">
        <f>BS627*1</f>
        <v>54</v>
      </c>
      <c r="BX628" s="72"/>
      <c r="BY628" s="72"/>
      <c r="BZ628" s="72"/>
      <c r="CA628" s="72"/>
      <c r="CB628" s="714">
        <f>BX627*2</f>
        <v>58</v>
      </c>
      <c r="CC628" s="72"/>
      <c r="CD628" s="72"/>
      <c r="CE628" s="72"/>
      <c r="CF628" s="72"/>
      <c r="CG628" s="714">
        <f>CC627*3</f>
        <v>87</v>
      </c>
      <c r="CH628" s="72"/>
      <c r="CI628" s="72"/>
      <c r="CJ628" s="72"/>
      <c r="CK628" s="72"/>
      <c r="CL628" s="714">
        <f>CH627*4</f>
        <v>0</v>
      </c>
      <c r="CM628" s="72"/>
      <c r="CN628" s="72"/>
      <c r="CO628" s="72"/>
      <c r="CP628" s="72"/>
      <c r="CQ628" s="713">
        <f>CM627*5</f>
        <v>0</v>
      </c>
      <c r="CS628" s="1806">
        <f>SUM(CS603:CW627)</f>
        <v>0</v>
      </c>
      <c r="CT628" s="2126"/>
      <c r="CU628" s="2126"/>
      <c r="CV628" s="2126"/>
      <c r="CW628" s="1807"/>
      <c r="CX628" s="1806">
        <f>SUM(CX603:DB627)</f>
        <v>20</v>
      </c>
      <c r="CY628" s="2126"/>
      <c r="CZ628" s="2126"/>
      <c r="DA628" s="2126"/>
      <c r="DB628" s="1807"/>
      <c r="DC628" s="1806">
        <f>SUM(DC603:DG627)</f>
        <v>3</v>
      </c>
      <c r="DD628" s="2126"/>
      <c r="DE628" s="2126"/>
      <c r="DF628" s="2126"/>
      <c r="DG628" s="1807"/>
      <c r="DH628" s="1806">
        <f>SUM(DH603:DL627)</f>
        <v>3</v>
      </c>
      <c r="DI628" s="2126"/>
      <c r="DJ628" s="2126"/>
      <c r="DK628" s="2126"/>
      <c r="DL628" s="1807"/>
      <c r="DM628" s="1806">
        <f>SUM(DM603:DQ627)</f>
        <v>0</v>
      </c>
      <c r="DN628" s="2126"/>
      <c r="DO628" s="2126"/>
      <c r="DP628" s="2126"/>
      <c r="DQ628" s="1807"/>
      <c r="DR628" s="1806">
        <f>SUM(DR603:DV627)</f>
        <v>0</v>
      </c>
      <c r="DS628" s="2126"/>
      <c r="DT628" s="2126"/>
      <c r="DU628" s="2126"/>
      <c r="DV628" s="1807"/>
    </row>
    <row r="629" spans="1:126" ht="13.5" customHeight="1" thickBot="1">
      <c r="A629" s="1343"/>
      <c r="B629" s="2057" t="s">
        <v>801</v>
      </c>
      <c r="C629" s="2058"/>
      <c r="D629" s="2058"/>
      <c r="E629" s="2058"/>
      <c r="F629" s="2058"/>
      <c r="G629" s="2058"/>
      <c r="H629" s="2058"/>
      <c r="I629" s="2058"/>
      <c r="J629" s="2058"/>
      <c r="K629" s="2058"/>
      <c r="L629" s="2058"/>
      <c r="M629" s="2058"/>
      <c r="N629" s="2059"/>
      <c r="O629" s="1671" t="s">
        <v>485</v>
      </c>
      <c r="P629" s="1672"/>
      <c r="Q629" s="1673"/>
      <c r="R629" s="1671" t="s">
        <v>2203</v>
      </c>
      <c r="S629" s="1672"/>
      <c r="T629" s="1673"/>
      <c r="U629" s="2030" t="s">
        <v>802</v>
      </c>
      <c r="V629" s="2030"/>
      <c r="W629" s="2031"/>
      <c r="X629" s="1671" t="s">
        <v>2204</v>
      </c>
      <c r="Y629" s="1672"/>
      <c r="Z629" s="1672"/>
      <c r="AA629" s="1672"/>
      <c r="AB629" s="1673"/>
      <c r="AC629" s="2036" t="s">
        <v>2205</v>
      </c>
      <c r="AD629" s="2037"/>
      <c r="AE629" s="2038"/>
      <c r="AF629" s="1671" t="s">
        <v>2206</v>
      </c>
      <c r="AG629" s="1672"/>
      <c r="AH629" s="1672"/>
      <c r="AI629" s="1672"/>
      <c r="AJ629" s="1673"/>
      <c r="AK629" s="2045" t="s">
        <v>2207</v>
      </c>
      <c r="AL629" s="2046"/>
      <c r="AM629" s="2046"/>
      <c r="AN629" s="2047"/>
      <c r="AO629" s="2029" t="s">
        <v>803</v>
      </c>
      <c r="AP629" s="2029"/>
      <c r="AQ629" s="2029"/>
      <c r="AR629" s="2029"/>
      <c r="AS629" s="2029"/>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199</v>
      </c>
      <c r="CR629" s="72"/>
      <c r="CS629" s="72"/>
    </row>
    <row r="630" spans="1:126" ht="12.75">
      <c r="A630" s="1343"/>
      <c r="B630" s="2060"/>
      <c r="C630" s="1942"/>
      <c r="D630" s="1942"/>
      <c r="E630" s="1942"/>
      <c r="F630" s="1942"/>
      <c r="G630" s="1942"/>
      <c r="H630" s="1942"/>
      <c r="I630" s="1942"/>
      <c r="J630" s="1942"/>
      <c r="K630" s="1942"/>
      <c r="L630" s="1942"/>
      <c r="M630" s="1942"/>
      <c r="N630" s="2061"/>
      <c r="O630" s="1674"/>
      <c r="P630" s="1675"/>
      <c r="Q630" s="1676"/>
      <c r="R630" s="1674"/>
      <c r="S630" s="1675"/>
      <c r="T630" s="1676"/>
      <c r="U630" s="2032"/>
      <c r="V630" s="2032"/>
      <c r="W630" s="2033"/>
      <c r="X630" s="1674"/>
      <c r="Y630" s="1675"/>
      <c r="Z630" s="1675"/>
      <c r="AA630" s="1675"/>
      <c r="AB630" s="1676"/>
      <c r="AC630" s="2039"/>
      <c r="AD630" s="2040"/>
      <c r="AE630" s="2041"/>
      <c r="AF630" s="1674"/>
      <c r="AG630" s="1675"/>
      <c r="AH630" s="1675"/>
      <c r="AI630" s="1675"/>
      <c r="AJ630" s="1676"/>
      <c r="AK630" s="2048"/>
      <c r="AL630" s="2049"/>
      <c r="AM630" s="2049"/>
      <c r="AN630" s="2050"/>
      <c r="AO630" s="2029"/>
      <c r="AP630" s="2029"/>
      <c r="AQ630" s="2029"/>
      <c r="AR630" s="2029"/>
      <c r="AS630" s="2029"/>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4">
        <f>IF(J752="5 Bedrooms",O752,0)</f>
        <v>0</v>
      </c>
      <c r="CN630" s="2125"/>
      <c r="CO630" s="2125"/>
      <c r="CP630" s="2125"/>
      <c r="CQ630" s="1804"/>
      <c r="CR630" s="72"/>
      <c r="CS630" s="72"/>
    </row>
    <row r="631" spans="1:126" ht="12.75" customHeight="1">
      <c r="A631" s="1343"/>
      <c r="B631" s="2062"/>
      <c r="C631" s="1942"/>
      <c r="D631" s="1942"/>
      <c r="E631" s="1942"/>
      <c r="F631" s="1942"/>
      <c r="G631" s="1942"/>
      <c r="H631" s="1942"/>
      <c r="I631" s="1942"/>
      <c r="J631" s="1942"/>
      <c r="K631" s="1942"/>
      <c r="L631" s="1942"/>
      <c r="M631" s="1942"/>
      <c r="N631" s="2061"/>
      <c r="O631" s="1677"/>
      <c r="P631" s="1678"/>
      <c r="Q631" s="1679"/>
      <c r="R631" s="1677"/>
      <c r="S631" s="1678"/>
      <c r="T631" s="1679"/>
      <c r="U631" s="2034"/>
      <c r="V631" s="2034"/>
      <c r="W631" s="2035"/>
      <c r="X631" s="1677"/>
      <c r="Y631" s="1678"/>
      <c r="Z631" s="1678"/>
      <c r="AA631" s="1678"/>
      <c r="AB631" s="1679"/>
      <c r="AC631" s="2042"/>
      <c r="AD631" s="2043"/>
      <c r="AE631" s="2044"/>
      <c r="AF631" s="1677"/>
      <c r="AG631" s="1678"/>
      <c r="AH631" s="1678"/>
      <c r="AI631" s="1678"/>
      <c r="AJ631" s="1679"/>
      <c r="AK631" s="2051"/>
      <c r="AL631" s="2052"/>
      <c r="AM631" s="2052"/>
      <c r="AN631" s="2053"/>
      <c r="AO631" s="2029"/>
      <c r="AP631" s="2029"/>
      <c r="AQ631" s="2029"/>
      <c r="AR631" s="2029"/>
      <c r="AS631" s="2029"/>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4">
        <f>IF(J753="5 Bedrooms",O753,0)</f>
        <v>0</v>
      </c>
      <c r="CN631" s="2125"/>
      <c r="CO631" s="2125"/>
      <c r="CP631" s="2125"/>
      <c r="CQ631" s="1804"/>
      <c r="CR631" s="72"/>
      <c r="CS631" s="72"/>
    </row>
    <row r="632" spans="1:126" ht="12.75" customHeight="1">
      <c r="B632" s="97" t="s">
        <v>982</v>
      </c>
      <c r="C632" s="1663" t="s">
        <v>2470</v>
      </c>
      <c r="D632" s="1663"/>
      <c r="E632" s="1663"/>
      <c r="F632" s="1663"/>
      <c r="G632" s="1663"/>
      <c r="H632" s="1663"/>
      <c r="I632" s="1663"/>
      <c r="J632" s="1663"/>
      <c r="K632" s="1663"/>
      <c r="L632" s="1663"/>
      <c r="M632" s="1663"/>
      <c r="N632" s="2011"/>
      <c r="O632" s="2026">
        <f>17*12</f>
        <v>204</v>
      </c>
      <c r="P632" s="2027"/>
      <c r="Q632" s="2028"/>
      <c r="R632" s="1948">
        <f>35*12</f>
        <v>420</v>
      </c>
      <c r="S632" s="1833"/>
      <c r="T632" s="1949"/>
      <c r="U632" s="1950">
        <v>6.6600000000000006E-2</v>
      </c>
      <c r="V632" s="1951"/>
      <c r="W632" s="1952"/>
      <c r="X632" s="1683" t="s">
        <v>2209</v>
      </c>
      <c r="Y632" s="1953"/>
      <c r="Z632" s="1953"/>
      <c r="AA632" s="1953"/>
      <c r="AB632" s="1954"/>
      <c r="AC632" s="1946">
        <v>1</v>
      </c>
      <c r="AD632" s="1661"/>
      <c r="AE632" s="1947"/>
      <c r="AF632" s="1718">
        <v>466627</v>
      </c>
      <c r="AG632" s="1719"/>
      <c r="AH632" s="1719"/>
      <c r="AI632" s="1719"/>
      <c r="AJ632" s="1720"/>
      <c r="AK632" s="2023"/>
      <c r="AL632" s="2024"/>
      <c r="AM632" s="2024"/>
      <c r="AN632" s="2025"/>
      <c r="AO632" s="1743">
        <v>6321000</v>
      </c>
      <c r="AP632" s="1743"/>
      <c r="AQ632" s="1743"/>
      <c r="AR632" s="1743"/>
      <c r="AS632" s="1743"/>
      <c r="AU632" s="75"/>
      <c r="AV632" s="75"/>
      <c r="AW632" s="75"/>
      <c r="AX632" s="75"/>
      <c r="AY632" s="75"/>
      <c r="BA632" s="72" t="s">
        <v>2189</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4">
        <f>IF(J754="5 Bedrooms",O754,0)</f>
        <v>0</v>
      </c>
      <c r="CN632" s="2125"/>
      <c r="CO632" s="2125"/>
      <c r="CP632" s="2125"/>
      <c r="CQ632" s="1804"/>
      <c r="CR632" s="72"/>
      <c r="CS632" s="72"/>
    </row>
    <row r="633" spans="1:126" ht="12.75">
      <c r="B633" s="98" t="s">
        <v>983</v>
      </c>
      <c r="C633" s="1663" t="s">
        <v>2425</v>
      </c>
      <c r="D633" s="1663"/>
      <c r="E633" s="1663"/>
      <c r="F633" s="1663"/>
      <c r="G633" s="1663"/>
      <c r="H633" s="1663"/>
      <c r="I633" s="1663"/>
      <c r="J633" s="1663"/>
      <c r="K633" s="1663"/>
      <c r="L633" s="1663"/>
      <c r="M633" s="1663"/>
      <c r="N633" s="2011"/>
      <c r="O633" s="2026">
        <v>660</v>
      </c>
      <c r="P633" s="2027"/>
      <c r="Q633" s="2028"/>
      <c r="R633" s="1948"/>
      <c r="S633" s="1833"/>
      <c r="T633" s="1949"/>
      <c r="U633" s="1950">
        <v>0.03</v>
      </c>
      <c r="V633" s="1951"/>
      <c r="W633" s="1952"/>
      <c r="X633" s="1683" t="s">
        <v>855</v>
      </c>
      <c r="Y633" s="1953"/>
      <c r="Z633" s="1953"/>
      <c r="AA633" s="1953"/>
      <c r="AB633" s="1954"/>
      <c r="AC633" s="1946">
        <v>4</v>
      </c>
      <c r="AD633" s="1661"/>
      <c r="AE633" s="1947"/>
      <c r="AF633" s="1718">
        <v>60024</v>
      </c>
      <c r="AG633" s="1719"/>
      <c r="AH633" s="1719"/>
      <c r="AI633" s="1719"/>
      <c r="AJ633" s="1720"/>
      <c r="AK633" s="2023"/>
      <c r="AL633" s="2024"/>
      <c r="AM633" s="2024"/>
      <c r="AN633" s="2025"/>
      <c r="AO633" s="1743">
        <v>14291374</v>
      </c>
      <c r="AP633" s="1743"/>
      <c r="AQ633" s="1743"/>
      <c r="AR633" s="1743"/>
      <c r="AS633" s="1743"/>
      <c r="AU633" s="75"/>
      <c r="AV633" s="75"/>
      <c r="AW633" s="75"/>
      <c r="AX633" s="75"/>
      <c r="AY633" s="75"/>
      <c r="BA633" s="72" t="s">
        <v>856</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4">
        <f>IF(J755="5 Bedrooms",O755,0)</f>
        <v>0</v>
      </c>
      <c r="CN633" s="2125"/>
      <c r="CO633" s="2125"/>
      <c r="CP633" s="2125"/>
      <c r="CQ633" s="1804"/>
      <c r="CR633" s="72"/>
      <c r="CS633" s="72"/>
    </row>
    <row r="634" spans="1:126" ht="12.75">
      <c r="B634" s="98" t="s">
        <v>989</v>
      </c>
      <c r="C634" s="1663" t="s">
        <v>2400</v>
      </c>
      <c r="D634" s="1663"/>
      <c r="E634" s="1663"/>
      <c r="F634" s="1663"/>
      <c r="G634" s="1663"/>
      <c r="H634" s="1663"/>
      <c r="I634" s="1663"/>
      <c r="J634" s="1663"/>
      <c r="K634" s="1663"/>
      <c r="L634" s="1663"/>
      <c r="M634" s="1663"/>
      <c r="N634" s="2011"/>
      <c r="O634" s="2026">
        <v>660</v>
      </c>
      <c r="P634" s="2027"/>
      <c r="Q634" s="2028"/>
      <c r="R634" s="1948"/>
      <c r="S634" s="1833"/>
      <c r="T634" s="1949"/>
      <c r="U634" s="1950">
        <v>0.02</v>
      </c>
      <c r="V634" s="1951"/>
      <c r="W634" s="1952"/>
      <c r="X634" s="1683" t="s">
        <v>855</v>
      </c>
      <c r="Y634" s="1953"/>
      <c r="Z634" s="1953"/>
      <c r="AA634" s="1953"/>
      <c r="AB634" s="1954"/>
      <c r="AC634" s="1946">
        <v>2</v>
      </c>
      <c r="AD634" s="1661"/>
      <c r="AE634" s="1947"/>
      <c r="AF634" s="1718"/>
      <c r="AG634" s="1719"/>
      <c r="AH634" s="1719"/>
      <c r="AI634" s="1719"/>
      <c r="AJ634" s="1720"/>
      <c r="AK634" s="2023"/>
      <c r="AL634" s="2024"/>
      <c r="AM634" s="2024"/>
      <c r="AN634" s="2025"/>
      <c r="AO634" s="1743">
        <v>5393800</v>
      </c>
      <c r="AP634" s="1743"/>
      <c r="AQ634" s="1743"/>
      <c r="AR634" s="1743"/>
      <c r="AS634" s="1743"/>
      <c r="AU634" s="75"/>
      <c r="AV634" s="75"/>
      <c r="AW634" s="75"/>
      <c r="AX634" s="75"/>
      <c r="AY634" s="75"/>
      <c r="AZ634" s="75"/>
      <c r="BA634" s="72" t="s">
        <v>855</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2193</v>
      </c>
      <c r="CU634" s="72"/>
    </row>
    <row r="635" spans="1:126" ht="12.75">
      <c r="B635" s="98" t="s">
        <v>476</v>
      </c>
      <c r="C635" s="1663" t="s">
        <v>2426</v>
      </c>
      <c r="D635" s="1663"/>
      <c r="E635" s="1663"/>
      <c r="F635" s="1663"/>
      <c r="G635" s="1663"/>
      <c r="H635" s="1663"/>
      <c r="I635" s="1663"/>
      <c r="J635" s="1663"/>
      <c r="K635" s="1663"/>
      <c r="L635" s="1663"/>
      <c r="M635" s="1663"/>
      <c r="N635" s="2011"/>
      <c r="O635" s="2026">
        <v>660</v>
      </c>
      <c r="P635" s="2027"/>
      <c r="Q635" s="2028"/>
      <c r="R635" s="1948"/>
      <c r="S635" s="1833"/>
      <c r="T635" s="1949"/>
      <c r="U635" s="1950">
        <v>0.02</v>
      </c>
      <c r="V635" s="1951"/>
      <c r="W635" s="1952"/>
      <c r="X635" s="1683" t="s">
        <v>855</v>
      </c>
      <c r="Y635" s="1953"/>
      <c r="Z635" s="1953"/>
      <c r="AA635" s="1953"/>
      <c r="AB635" s="1954"/>
      <c r="AC635" s="1946">
        <v>3</v>
      </c>
      <c r="AD635" s="1661"/>
      <c r="AE635" s="1947"/>
      <c r="AF635" s="1718"/>
      <c r="AG635" s="1719"/>
      <c r="AH635" s="1719"/>
      <c r="AI635" s="1719"/>
      <c r="AJ635" s="1720"/>
      <c r="AK635" s="2023"/>
      <c r="AL635" s="2024"/>
      <c r="AM635" s="2024"/>
      <c r="AN635" s="2025"/>
      <c r="AO635" s="1743">
        <v>1800000</v>
      </c>
      <c r="AP635" s="1743"/>
      <c r="AQ635" s="1743"/>
      <c r="AR635" s="1743"/>
      <c r="AS635" s="1743"/>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663"/>
      <c r="D636" s="1663"/>
      <c r="E636" s="1663"/>
      <c r="F636" s="1663"/>
      <c r="G636" s="1663"/>
      <c r="H636" s="1663"/>
      <c r="I636" s="1663"/>
      <c r="J636" s="1663"/>
      <c r="K636" s="1663"/>
      <c r="L636" s="1663"/>
      <c r="M636" s="1663"/>
      <c r="N636" s="2011"/>
      <c r="O636" s="2026"/>
      <c r="P636" s="2027"/>
      <c r="Q636" s="2028"/>
      <c r="R636" s="1948"/>
      <c r="S636" s="1833"/>
      <c r="T636" s="1949"/>
      <c r="U636" s="1950"/>
      <c r="V636" s="1951"/>
      <c r="W636" s="1952"/>
      <c r="X636" s="1683" t="s">
        <v>2189</v>
      </c>
      <c r="Y636" s="1953"/>
      <c r="Z636" s="1953"/>
      <c r="AA636" s="1953"/>
      <c r="AB636" s="1954"/>
      <c r="AC636" s="1946"/>
      <c r="AD636" s="1661"/>
      <c r="AE636" s="1947"/>
      <c r="AF636" s="1718"/>
      <c r="AG636" s="1719"/>
      <c r="AH636" s="1719"/>
      <c r="AI636" s="1719"/>
      <c r="AJ636" s="1720"/>
      <c r="AK636" s="2023"/>
      <c r="AL636" s="2024"/>
      <c r="AM636" s="2024"/>
      <c r="AN636" s="2025"/>
      <c r="AO636" s="1743"/>
      <c r="AP636" s="1743"/>
      <c r="AQ636" s="1743"/>
      <c r="AR636" s="1743"/>
      <c r="AS636" s="1743"/>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479</v>
      </c>
      <c r="C637" s="1663"/>
      <c r="D637" s="1663"/>
      <c r="E637" s="1663"/>
      <c r="F637" s="1663"/>
      <c r="G637" s="1663"/>
      <c r="H637" s="1663"/>
      <c r="I637" s="1663"/>
      <c r="J637" s="1663"/>
      <c r="K637" s="1663"/>
      <c r="L637" s="1663"/>
      <c r="M637" s="1663"/>
      <c r="N637" s="2011"/>
      <c r="O637" s="2026"/>
      <c r="P637" s="2027"/>
      <c r="Q637" s="2028"/>
      <c r="R637" s="1948"/>
      <c r="S637" s="1833"/>
      <c r="T637" s="1949"/>
      <c r="U637" s="1950"/>
      <c r="V637" s="1951"/>
      <c r="W637" s="1952"/>
      <c r="X637" s="1683" t="s">
        <v>2189</v>
      </c>
      <c r="Y637" s="1953"/>
      <c r="Z637" s="1953"/>
      <c r="AA637" s="1953"/>
      <c r="AB637" s="1954"/>
      <c r="AC637" s="1946"/>
      <c r="AD637" s="1661"/>
      <c r="AE637" s="1947"/>
      <c r="AF637" s="1718"/>
      <c r="AG637" s="1719"/>
      <c r="AH637" s="1719"/>
      <c r="AI637" s="1719"/>
      <c r="AJ637" s="1720"/>
      <c r="AK637" s="2023"/>
      <c r="AL637" s="2024"/>
      <c r="AM637" s="2024"/>
      <c r="AN637" s="2025"/>
      <c r="AO637" s="1743"/>
      <c r="AP637" s="1743"/>
      <c r="AQ637" s="1743"/>
      <c r="AR637" s="1743"/>
      <c r="AS637" s="1743"/>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804</v>
      </c>
      <c r="C638" s="1663"/>
      <c r="D638" s="1663"/>
      <c r="E638" s="1663"/>
      <c r="F638" s="1663"/>
      <c r="G638" s="1663"/>
      <c r="H638" s="1663"/>
      <c r="I638" s="1663"/>
      <c r="J638" s="1663"/>
      <c r="K638" s="1663"/>
      <c r="L638" s="1663"/>
      <c r="M638" s="1663"/>
      <c r="N638" s="2011"/>
      <c r="O638" s="2026"/>
      <c r="P638" s="2027"/>
      <c r="Q638" s="2028"/>
      <c r="R638" s="1948"/>
      <c r="S638" s="1833"/>
      <c r="T638" s="1949"/>
      <c r="U638" s="1950"/>
      <c r="V638" s="1951"/>
      <c r="W638" s="1952"/>
      <c r="X638" s="1683" t="s">
        <v>2189</v>
      </c>
      <c r="Y638" s="1953"/>
      <c r="Z638" s="1953"/>
      <c r="AA638" s="1953"/>
      <c r="AB638" s="1954"/>
      <c r="AC638" s="1946"/>
      <c r="AD638" s="1661"/>
      <c r="AE638" s="1947"/>
      <c r="AF638" s="1718"/>
      <c r="AG638" s="1719"/>
      <c r="AH638" s="1719"/>
      <c r="AI638" s="1719"/>
      <c r="AJ638" s="1720"/>
      <c r="AK638" s="2023"/>
      <c r="AL638" s="2024"/>
      <c r="AM638" s="2024"/>
      <c r="AN638" s="2025"/>
      <c r="AO638" s="1743"/>
      <c r="AP638" s="1743"/>
      <c r="AQ638" s="1743"/>
      <c r="AR638" s="1743"/>
      <c r="AS638" s="1743"/>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805</v>
      </c>
      <c r="C639" s="1663"/>
      <c r="D639" s="1663"/>
      <c r="E639" s="1663"/>
      <c r="F639" s="1663"/>
      <c r="G639" s="1663"/>
      <c r="H639" s="1663"/>
      <c r="I639" s="1663"/>
      <c r="J639" s="1663"/>
      <c r="K639" s="1663"/>
      <c r="L639" s="1663"/>
      <c r="M639" s="1663"/>
      <c r="N639" s="2011"/>
      <c r="O639" s="2026"/>
      <c r="P639" s="2027"/>
      <c r="Q639" s="2028"/>
      <c r="R639" s="1948"/>
      <c r="S639" s="1833"/>
      <c r="T639" s="1949"/>
      <c r="U639" s="1950"/>
      <c r="V639" s="1951"/>
      <c r="W639" s="1952"/>
      <c r="X639" s="1683" t="s">
        <v>2189</v>
      </c>
      <c r="Y639" s="1953"/>
      <c r="Z639" s="1953"/>
      <c r="AA639" s="1953"/>
      <c r="AB639" s="1954"/>
      <c r="AC639" s="1946"/>
      <c r="AD639" s="1661"/>
      <c r="AE639" s="1947"/>
      <c r="AF639" s="1718"/>
      <c r="AG639" s="1719"/>
      <c r="AH639" s="1719"/>
      <c r="AI639" s="1719"/>
      <c r="AJ639" s="1720"/>
      <c r="AK639" s="2023"/>
      <c r="AL639" s="2024"/>
      <c r="AM639" s="2024"/>
      <c r="AN639" s="2025"/>
      <c r="AO639" s="1743"/>
      <c r="AP639" s="1743"/>
      <c r="AQ639" s="1743"/>
      <c r="AR639" s="1743"/>
      <c r="AS639" s="1743"/>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602</v>
      </c>
      <c r="C640" s="1663"/>
      <c r="D640" s="1663"/>
      <c r="E640" s="1663"/>
      <c r="F640" s="1663"/>
      <c r="G640" s="1663"/>
      <c r="H640" s="1663"/>
      <c r="I640" s="1663"/>
      <c r="J640" s="1663"/>
      <c r="K640" s="1663"/>
      <c r="L640" s="1663"/>
      <c r="M640" s="1663"/>
      <c r="N640" s="2011"/>
      <c r="O640" s="2026"/>
      <c r="P640" s="2027"/>
      <c r="Q640" s="2028"/>
      <c r="R640" s="1948"/>
      <c r="S640" s="1833"/>
      <c r="T640" s="1949"/>
      <c r="U640" s="1950"/>
      <c r="V640" s="1951"/>
      <c r="W640" s="1952"/>
      <c r="X640" s="1683" t="s">
        <v>2189</v>
      </c>
      <c r="Y640" s="1953"/>
      <c r="Z640" s="1953"/>
      <c r="AA640" s="1953"/>
      <c r="AB640" s="1954"/>
      <c r="AC640" s="1946"/>
      <c r="AD640" s="1661"/>
      <c r="AE640" s="1947"/>
      <c r="AF640" s="1718"/>
      <c r="AG640" s="1719"/>
      <c r="AH640" s="1719"/>
      <c r="AI640" s="1719"/>
      <c r="AJ640" s="1720"/>
      <c r="AK640" s="2023"/>
      <c r="AL640" s="2024"/>
      <c r="AM640" s="2024"/>
      <c r="AN640" s="2025"/>
      <c r="AO640" s="1743"/>
      <c r="AP640" s="1743"/>
      <c r="AQ640" s="1743"/>
      <c r="AR640" s="1743"/>
      <c r="AS640" s="1743"/>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189</v>
      </c>
      <c r="C641" s="1663"/>
      <c r="D641" s="1663"/>
      <c r="E641" s="1663"/>
      <c r="F641" s="1663"/>
      <c r="G641" s="1663"/>
      <c r="H641" s="1663"/>
      <c r="I641" s="1663"/>
      <c r="J641" s="1663"/>
      <c r="K641" s="1663"/>
      <c r="L641" s="1663"/>
      <c r="M641" s="1663"/>
      <c r="N641" s="2011"/>
      <c r="O641" s="2026"/>
      <c r="P641" s="2027"/>
      <c r="Q641" s="2028"/>
      <c r="R641" s="1948"/>
      <c r="S641" s="1833"/>
      <c r="T641" s="1949"/>
      <c r="U641" s="1950"/>
      <c r="V641" s="1951"/>
      <c r="W641" s="1952"/>
      <c r="X641" s="1683" t="s">
        <v>2189</v>
      </c>
      <c r="Y641" s="1953"/>
      <c r="Z641" s="1953"/>
      <c r="AA641" s="1953"/>
      <c r="AB641" s="1954"/>
      <c r="AC641" s="1946"/>
      <c r="AD641" s="1661"/>
      <c r="AE641" s="1947"/>
      <c r="AF641" s="1718"/>
      <c r="AG641" s="1719"/>
      <c r="AH641" s="1719"/>
      <c r="AI641" s="1719"/>
      <c r="AJ641" s="1720"/>
      <c r="AK641" s="2023"/>
      <c r="AL641" s="2024"/>
      <c r="AM641" s="2024"/>
      <c r="AN641" s="2025"/>
      <c r="AO641" s="1743"/>
      <c r="AP641" s="1743"/>
      <c r="AQ641" s="1743"/>
      <c r="AR641" s="1743"/>
      <c r="AS641" s="1743"/>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63"/>
      <c r="D642" s="1663"/>
      <c r="E642" s="1663"/>
      <c r="F642" s="1663"/>
      <c r="G642" s="1663"/>
      <c r="H642" s="1663"/>
      <c r="I642" s="1663"/>
      <c r="J642" s="1663"/>
      <c r="K642" s="1663"/>
      <c r="L642" s="1663"/>
      <c r="M642" s="1663"/>
      <c r="N642" s="2011"/>
      <c r="O642" s="2026"/>
      <c r="P642" s="2027"/>
      <c r="Q642" s="2028"/>
      <c r="R642" s="1948"/>
      <c r="S642" s="1833"/>
      <c r="T642" s="1949"/>
      <c r="U642" s="1950"/>
      <c r="V642" s="1951"/>
      <c r="W642" s="1952"/>
      <c r="X642" s="1683" t="s">
        <v>2189</v>
      </c>
      <c r="Y642" s="1953"/>
      <c r="Z642" s="1953"/>
      <c r="AA642" s="1953"/>
      <c r="AB642" s="1954"/>
      <c r="AC642" s="1946"/>
      <c r="AD642" s="1661"/>
      <c r="AE642" s="1947"/>
      <c r="AF642" s="1718"/>
      <c r="AG642" s="1719"/>
      <c r="AH642" s="1719"/>
      <c r="AI642" s="1719"/>
      <c r="AJ642" s="1720"/>
      <c r="AK642" s="2023"/>
      <c r="AL642" s="2024"/>
      <c r="AM642" s="2024"/>
      <c r="AN642" s="2025"/>
      <c r="AO642" s="1743"/>
      <c r="AP642" s="1743"/>
      <c r="AQ642" s="1743"/>
      <c r="AR642" s="1743"/>
      <c r="AS642" s="1743"/>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3"/>
      <c r="D643" s="1663"/>
      <c r="E643" s="1663"/>
      <c r="F643" s="1663"/>
      <c r="G643" s="1663"/>
      <c r="H643" s="1663"/>
      <c r="I643" s="1663"/>
      <c r="J643" s="1663"/>
      <c r="K643" s="1663"/>
      <c r="L643" s="1663"/>
      <c r="M643" s="1663"/>
      <c r="N643" s="2011"/>
      <c r="O643" s="2026"/>
      <c r="P643" s="2027"/>
      <c r="Q643" s="2028"/>
      <c r="R643" s="1948"/>
      <c r="S643" s="1833"/>
      <c r="T643" s="1949"/>
      <c r="U643" s="1950"/>
      <c r="V643" s="1951"/>
      <c r="W643" s="1952"/>
      <c r="X643" s="1683" t="s">
        <v>2189</v>
      </c>
      <c r="Y643" s="1953"/>
      <c r="Z643" s="1953"/>
      <c r="AA643" s="1953"/>
      <c r="AB643" s="1954"/>
      <c r="AC643" s="1946"/>
      <c r="AD643" s="1661"/>
      <c r="AE643" s="1947"/>
      <c r="AF643" s="1718"/>
      <c r="AG643" s="1719"/>
      <c r="AH643" s="1719"/>
      <c r="AI643" s="1719"/>
      <c r="AJ643" s="1720"/>
      <c r="AK643" s="2023"/>
      <c r="AL643" s="2024"/>
      <c r="AM643" s="2024"/>
      <c r="AN643" s="2025"/>
      <c r="AO643" s="1743"/>
      <c r="AP643" s="1743"/>
      <c r="AQ643" s="1743"/>
      <c r="AR643" s="1743"/>
      <c r="AS643" s="1743"/>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398</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3">
        <f>SUM(AO632:AS643)</f>
        <v>27806174</v>
      </c>
      <c r="AP644" s="1694"/>
      <c r="AQ644" s="1694"/>
      <c r="AR644" s="1694"/>
      <c r="AS644" s="1695"/>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76" t="s">
        <v>399</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6">
        <v>29900834</v>
      </c>
      <c r="AP645" s="1687"/>
      <c r="AQ645" s="1687"/>
      <c r="AR645" s="1687"/>
      <c r="AS645" s="1688"/>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54" t="s">
        <v>1022</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3">
        <f>AO644+AO645</f>
        <v>57707008</v>
      </c>
      <c r="AP646" s="1694"/>
      <c r="AQ646" s="1694"/>
      <c r="AR646" s="1694"/>
      <c r="AS646" s="1695"/>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92</v>
      </c>
      <c r="G648" s="1827" t="str">
        <f>C632</f>
        <v>JP Morgan Chase Bank, NA</v>
      </c>
      <c r="H648" s="1827"/>
      <c r="I648" s="1827"/>
      <c r="J648" s="1827"/>
      <c r="K648" s="1827"/>
      <c r="L648" s="1827"/>
      <c r="M648" s="1827"/>
      <c r="N648" s="1827"/>
      <c r="O648" s="1827"/>
      <c r="P648" s="1827"/>
      <c r="Q648" s="1827"/>
      <c r="R648" s="1827"/>
      <c r="S648" s="18"/>
      <c r="T648" s="101" t="s">
        <v>983</v>
      </c>
      <c r="U648" s="16" t="s">
        <v>92</v>
      </c>
      <c r="Z648" s="1827" t="str">
        <f>C633</f>
        <v>HCD AHSC AHD</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5" thickBot="1">
      <c r="A649" s="46"/>
      <c r="B649" s="16" t="s">
        <v>412</v>
      </c>
      <c r="G649" s="1662" t="s">
        <v>2476</v>
      </c>
      <c r="H649" s="1662"/>
      <c r="I649" s="1662"/>
      <c r="J649" s="1662"/>
      <c r="K649" s="1662"/>
      <c r="L649" s="1662"/>
      <c r="M649" s="1662"/>
      <c r="N649" s="1662"/>
      <c r="O649" s="1662"/>
      <c r="P649" s="1662"/>
      <c r="Q649" s="1662"/>
      <c r="R649" s="1662"/>
      <c r="S649" s="18"/>
      <c r="T649" s="46"/>
      <c r="U649" s="16" t="s">
        <v>412</v>
      </c>
      <c r="Z649" s="1659" t="s">
        <v>2427</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662" t="s">
        <v>2472</v>
      </c>
      <c r="H650" s="1662"/>
      <c r="I650" s="1662"/>
      <c r="J650" s="1662"/>
      <c r="K650" s="1662"/>
      <c r="L650" s="1662"/>
      <c r="M650" s="1662"/>
      <c r="N650" s="1662"/>
      <c r="O650" s="1662"/>
      <c r="P650" s="1662"/>
      <c r="Q650" s="1662"/>
      <c r="R650" s="1662"/>
      <c r="S650" s="102"/>
      <c r="T650" s="46"/>
      <c r="U650" s="16" t="s">
        <v>475</v>
      </c>
      <c r="Z650" s="1663" t="s">
        <v>120</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1891</v>
      </c>
      <c r="CQ650" s="715">
        <f>CQ648+CQ629</f>
        <v>199</v>
      </c>
      <c r="CR650" s="72"/>
      <c r="CS650" s="72"/>
    </row>
    <row r="651" spans="1:97" ht="12.75">
      <c r="A651" s="46"/>
      <c r="B651" s="16" t="s">
        <v>906</v>
      </c>
      <c r="G651" s="1662" t="s">
        <v>2473</v>
      </c>
      <c r="H651" s="1662"/>
      <c r="I651" s="1662"/>
      <c r="J651" s="1662"/>
      <c r="K651" s="1662"/>
      <c r="L651" s="1662"/>
      <c r="M651" s="1662"/>
      <c r="N651" s="1662"/>
      <c r="O651" s="1662"/>
      <c r="P651" s="1662"/>
      <c r="Q651" s="1662"/>
      <c r="R651" s="1662"/>
      <c r="S651" s="18"/>
      <c r="T651" s="46"/>
      <c r="U651" s="16" t="s">
        <v>906</v>
      </c>
      <c r="Z651" s="1663" t="s">
        <v>2428</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56" t="s">
        <v>2474</v>
      </c>
      <c r="H652" s="1657"/>
      <c r="I652" s="1657"/>
      <c r="J652" s="1657"/>
      <c r="K652" s="1657"/>
      <c r="L652" s="1657"/>
      <c r="O652" s="149" t="s">
        <v>891</v>
      </c>
      <c r="P652" s="1663" t="s">
        <v>2343</v>
      </c>
      <c r="Q652" s="1665"/>
      <c r="R652" s="1665"/>
      <c r="S652" s="20"/>
      <c r="T652" s="46"/>
      <c r="U652" s="16" t="s">
        <v>711</v>
      </c>
      <c r="Z652" s="1656" t="s">
        <v>2429</v>
      </c>
      <c r="AA652" s="1657"/>
      <c r="AB652" s="1657"/>
      <c r="AC652" s="1657"/>
      <c r="AD652" s="1657"/>
      <c r="AE652" s="1657"/>
      <c r="AH652" s="149" t="s">
        <v>891</v>
      </c>
      <c r="AI652" s="1663" t="s">
        <v>2343</v>
      </c>
      <c r="AJ652" s="1665"/>
      <c r="AK652" s="1665"/>
      <c r="AM652" s="75"/>
      <c r="AN652" s="75"/>
      <c r="AO652" s="75"/>
      <c r="AP652" s="75"/>
      <c r="AQ652" s="75"/>
      <c r="AR652" s="75"/>
      <c r="AS652" s="75"/>
      <c r="AT652" s="75"/>
      <c r="AU652" s="75"/>
      <c r="AV652" s="75"/>
      <c r="AW652" s="75"/>
      <c r="AX652" s="75"/>
      <c r="AY652" s="75"/>
      <c r="AZ652" s="75"/>
      <c r="BN652" s="2127">
        <f>BN627+BN634+BN646</f>
        <v>0</v>
      </c>
      <c r="BO652" s="2128"/>
      <c r="BP652" s="2128"/>
      <c r="BQ652" s="2128"/>
      <c r="BR652" s="2129"/>
      <c r="BS652" s="2127">
        <f>BS627+BS634+BS646</f>
        <v>54</v>
      </c>
      <c r="BT652" s="2128"/>
      <c r="BU652" s="2128"/>
      <c r="BV652" s="2128"/>
      <c r="BW652" s="2129"/>
      <c r="BX652" s="2127">
        <f>BX627+BX634+BX646</f>
        <v>30</v>
      </c>
      <c r="BY652" s="2128"/>
      <c r="BZ652" s="2128"/>
      <c r="CA652" s="2128"/>
      <c r="CB652" s="2129"/>
      <c r="CC652" s="2127">
        <f>CC627+CC634+CC646</f>
        <v>29</v>
      </c>
      <c r="CD652" s="2128"/>
      <c r="CE652" s="2128"/>
      <c r="CF652" s="2128"/>
      <c r="CG652" s="2129"/>
      <c r="CH652" s="2127">
        <f>CH627+CH634+CH646</f>
        <v>0</v>
      </c>
      <c r="CI652" s="2128"/>
      <c r="CJ652" s="2128"/>
      <c r="CK652" s="2128"/>
      <c r="CL652" s="2129"/>
      <c r="CM652" s="1806">
        <f>CM646+CM634+CM627</f>
        <v>0</v>
      </c>
      <c r="CN652" s="2126"/>
      <c r="CO652" s="2126"/>
      <c r="CP652" s="2126"/>
      <c r="CQ652" s="1807"/>
      <c r="CR652" s="72"/>
      <c r="CS652" s="72"/>
    </row>
    <row r="653" spans="1:97" ht="12.75">
      <c r="A653" s="46"/>
      <c r="B653" s="16" t="s">
        <v>907</v>
      </c>
      <c r="H653" s="1662" t="s">
        <v>2477</v>
      </c>
      <c r="I653" s="1662"/>
      <c r="J653" s="1662"/>
      <c r="K653" s="1662"/>
      <c r="L653" s="1662"/>
      <c r="M653" s="1662"/>
      <c r="N653" s="1662"/>
      <c r="O653" s="1662"/>
      <c r="P653" s="1662"/>
      <c r="Q653" s="1662"/>
      <c r="R653" s="1662"/>
      <c r="S653" s="18"/>
      <c r="T653" s="46"/>
      <c r="U653" s="16" t="s">
        <v>907</v>
      </c>
      <c r="AA653" s="1659" t="s">
        <v>2430</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58" t="s">
        <v>118</v>
      </c>
      <c r="O654" s="1658"/>
      <c r="T654" s="46"/>
      <c r="U654" s="16" t="s">
        <v>909</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92</v>
      </c>
      <c r="G656" s="1827" t="str">
        <f>C634</f>
        <v>City of Lancaster</v>
      </c>
      <c r="H656" s="1827"/>
      <c r="I656" s="1827"/>
      <c r="J656" s="1827"/>
      <c r="K656" s="1827"/>
      <c r="L656" s="1827"/>
      <c r="M656" s="1827"/>
      <c r="N656" s="1827"/>
      <c r="O656" s="1827"/>
      <c r="P656" s="1827"/>
      <c r="Q656" s="1827"/>
      <c r="R656" s="1827"/>
      <c r="T656" s="101" t="s">
        <v>476</v>
      </c>
      <c r="U656" s="16" t="s">
        <v>92</v>
      </c>
      <c r="Z656" s="1827" t="str">
        <f>C635</f>
        <v>City of Lancaster Land Loan</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662" t="s">
        <v>2340</v>
      </c>
      <c r="H657" s="1662"/>
      <c r="I657" s="1662"/>
      <c r="J657" s="1662"/>
      <c r="K657" s="1662"/>
      <c r="L657" s="1662"/>
      <c r="M657" s="1662"/>
      <c r="N657" s="1662"/>
      <c r="O657" s="1662"/>
      <c r="P657" s="1662"/>
      <c r="Q657" s="1662"/>
      <c r="R657" s="1662"/>
      <c r="T657" s="46"/>
      <c r="U657" s="16" t="s">
        <v>412</v>
      </c>
      <c r="Z657" s="1662" t="s">
        <v>2340</v>
      </c>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663" t="s">
        <v>2341</v>
      </c>
      <c r="H658" s="1654"/>
      <c r="I658" s="1654"/>
      <c r="J658" s="1654"/>
      <c r="K658" s="1654"/>
      <c r="L658" s="1654"/>
      <c r="M658" s="1654"/>
      <c r="N658" s="1654"/>
      <c r="O658" s="1654"/>
      <c r="P658" s="1654"/>
      <c r="Q658" s="1654"/>
      <c r="R658" s="1654"/>
      <c r="T658" s="46"/>
      <c r="U658" s="16" t="s">
        <v>475</v>
      </c>
      <c r="Z658" s="1663" t="s">
        <v>2341</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63" t="s">
        <v>2350</v>
      </c>
      <c r="H659" s="1654"/>
      <c r="I659" s="1654"/>
      <c r="J659" s="1654"/>
      <c r="K659" s="1654"/>
      <c r="L659" s="1654"/>
      <c r="M659" s="1654"/>
      <c r="N659" s="1654"/>
      <c r="O659" s="1654"/>
      <c r="P659" s="1654"/>
      <c r="Q659" s="1654"/>
      <c r="R659" s="1654"/>
      <c r="T659" s="46"/>
      <c r="U659" s="16" t="s">
        <v>906</v>
      </c>
      <c r="Z659" s="1663" t="s">
        <v>2350</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56" t="s">
        <v>2342</v>
      </c>
      <c r="H660" s="1657"/>
      <c r="I660" s="1657"/>
      <c r="J660" s="1657"/>
      <c r="K660" s="1657"/>
      <c r="L660" s="1657"/>
      <c r="O660" s="149" t="s">
        <v>891</v>
      </c>
      <c r="P660" s="1663" t="s">
        <v>2343</v>
      </c>
      <c r="Q660" s="1665"/>
      <c r="R660" s="1665"/>
      <c r="T660" s="46"/>
      <c r="U660" s="16" t="s">
        <v>711</v>
      </c>
      <c r="Z660" s="1656" t="s">
        <v>2342</v>
      </c>
      <c r="AA660" s="1657"/>
      <c r="AB660" s="1657"/>
      <c r="AC660" s="1657"/>
      <c r="AD660" s="1657"/>
      <c r="AE660" s="1657"/>
      <c r="AH660" s="149" t="s">
        <v>891</v>
      </c>
      <c r="AI660" s="1663" t="s">
        <v>2343</v>
      </c>
      <c r="AJ660" s="1665"/>
      <c r="AK660" s="166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59" t="s">
        <v>2431</v>
      </c>
      <c r="I661" s="1662"/>
      <c r="J661" s="1662"/>
      <c r="K661" s="1662"/>
      <c r="L661" s="1662"/>
      <c r="M661" s="1662"/>
      <c r="N661" s="1662"/>
      <c r="O661" s="1662"/>
      <c r="P661" s="1662"/>
      <c r="Q661" s="1662"/>
      <c r="R661" s="1662"/>
      <c r="T661" s="46"/>
      <c r="U661" s="16" t="s">
        <v>907</v>
      </c>
      <c r="AA661" s="1659" t="s">
        <v>2430</v>
      </c>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58" t="s">
        <v>118</v>
      </c>
      <c r="O662" s="1658"/>
      <c r="T662" s="46"/>
      <c r="U662" s="16" t="s">
        <v>909</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7">
        <f>C636</f>
        <v>0</v>
      </c>
      <c r="H664" s="1827"/>
      <c r="I664" s="1827"/>
      <c r="J664" s="1827"/>
      <c r="K664" s="1827"/>
      <c r="L664" s="1827"/>
      <c r="M664" s="1827"/>
      <c r="N664" s="1827"/>
      <c r="O664" s="1827"/>
      <c r="P664" s="1827"/>
      <c r="Q664" s="1827"/>
      <c r="R664" s="1827"/>
      <c r="T664" s="101" t="s">
        <v>479</v>
      </c>
      <c r="U664" s="16" t="s">
        <v>92</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662"/>
      <c r="H665" s="1662"/>
      <c r="I665" s="1662"/>
      <c r="J665" s="1662"/>
      <c r="K665" s="1662"/>
      <c r="L665" s="1662"/>
      <c r="M665" s="1662"/>
      <c r="N665" s="1662"/>
      <c r="O665" s="1662"/>
      <c r="P665" s="1662"/>
      <c r="Q665" s="1662"/>
      <c r="R665" s="1662"/>
      <c r="T665" s="46"/>
      <c r="U665" s="16" t="s">
        <v>412</v>
      </c>
      <c r="Z665" s="1662"/>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662"/>
      <c r="H666" s="1662"/>
      <c r="I666" s="1662"/>
      <c r="J666" s="1662"/>
      <c r="K666" s="1662"/>
      <c r="L666" s="1662"/>
      <c r="M666" s="1662"/>
      <c r="N666" s="1662"/>
      <c r="O666" s="1662"/>
      <c r="P666" s="1662"/>
      <c r="Q666" s="1662"/>
      <c r="R666" s="1662"/>
      <c r="T666" s="46"/>
      <c r="U666" s="16" t="s">
        <v>475</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62"/>
      <c r="H667" s="1662"/>
      <c r="I667" s="1662"/>
      <c r="J667" s="1662"/>
      <c r="K667" s="1662"/>
      <c r="L667" s="1662"/>
      <c r="M667" s="1662"/>
      <c r="N667" s="1662"/>
      <c r="O667" s="1662"/>
      <c r="P667" s="1662"/>
      <c r="Q667" s="1662"/>
      <c r="R667" s="1662"/>
      <c r="T667" s="46"/>
      <c r="U667" s="16" t="s">
        <v>906</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57"/>
      <c r="H668" s="1657"/>
      <c r="I668" s="1657"/>
      <c r="J668" s="1657"/>
      <c r="K668" s="1657"/>
      <c r="L668" s="1657"/>
      <c r="O668" s="149" t="s">
        <v>891</v>
      </c>
      <c r="P668" s="1665"/>
      <c r="Q668" s="1665"/>
      <c r="R668" s="1665"/>
      <c r="T668" s="46"/>
      <c r="U668" s="16" t="s">
        <v>711</v>
      </c>
      <c r="Z668" s="1657"/>
      <c r="AA668" s="1657"/>
      <c r="AB668" s="1657"/>
      <c r="AC668" s="1657"/>
      <c r="AD668" s="1657"/>
      <c r="AE668" s="1657"/>
      <c r="AH668" s="149" t="s">
        <v>891</v>
      </c>
      <c r="AI668" s="1665"/>
      <c r="AJ668" s="1665"/>
      <c r="AK668" s="166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2"/>
      <c r="I669" s="1662"/>
      <c r="J669" s="1662"/>
      <c r="K669" s="1662"/>
      <c r="L669" s="1662"/>
      <c r="M669" s="1662"/>
      <c r="N669" s="1662"/>
      <c r="O669" s="1662"/>
      <c r="P669" s="1662"/>
      <c r="Q669" s="1662"/>
      <c r="R669" s="1662"/>
      <c r="T669" s="46"/>
      <c r="U669" s="16" t="s">
        <v>907</v>
      </c>
      <c r="AA669" s="1662"/>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58" t="s">
        <v>527</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7">
        <f>C638</f>
        <v>0</v>
      </c>
      <c r="H672" s="1827"/>
      <c r="I672" s="1827"/>
      <c r="J672" s="1827"/>
      <c r="K672" s="1827"/>
      <c r="L672" s="1827"/>
      <c r="M672" s="1827"/>
      <c r="N672" s="1827"/>
      <c r="O672" s="1827"/>
      <c r="P672" s="1827"/>
      <c r="Q672" s="1827"/>
      <c r="R672" s="1827"/>
      <c r="T672" s="101" t="s">
        <v>805</v>
      </c>
      <c r="U672" s="16" t="s">
        <v>92</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662"/>
      <c r="H673" s="1662"/>
      <c r="I673" s="1662"/>
      <c r="J673" s="1662"/>
      <c r="K673" s="1662"/>
      <c r="L673" s="1662"/>
      <c r="M673" s="1662"/>
      <c r="N673" s="1662"/>
      <c r="O673" s="1662"/>
      <c r="P673" s="1662"/>
      <c r="Q673" s="1662"/>
      <c r="R673" s="1662"/>
      <c r="T673" s="46"/>
      <c r="U673" s="16" t="s">
        <v>412</v>
      </c>
      <c r="Z673" s="1662"/>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662"/>
      <c r="H674" s="1662"/>
      <c r="I674" s="1662"/>
      <c r="J674" s="1662"/>
      <c r="K674" s="1662"/>
      <c r="L674" s="1662"/>
      <c r="M674" s="1662"/>
      <c r="N674" s="1662"/>
      <c r="O674" s="1662"/>
      <c r="P674" s="1662"/>
      <c r="Q674" s="1662"/>
      <c r="R674" s="1662"/>
      <c r="T674" s="46"/>
      <c r="U674" s="16" t="s">
        <v>475</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2"/>
      <c r="H675" s="1662"/>
      <c r="I675" s="1662"/>
      <c r="J675" s="1662"/>
      <c r="K675" s="1662"/>
      <c r="L675" s="1662"/>
      <c r="M675" s="1662"/>
      <c r="N675" s="1662"/>
      <c r="O675" s="1662"/>
      <c r="P675" s="1662"/>
      <c r="Q675" s="1662"/>
      <c r="R675" s="1662"/>
      <c r="T675" s="46"/>
      <c r="U675" s="16" t="s">
        <v>906</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57"/>
      <c r="H676" s="1657"/>
      <c r="I676" s="1657"/>
      <c r="J676" s="1657"/>
      <c r="K676" s="1657"/>
      <c r="L676" s="1657"/>
      <c r="O676" s="149" t="s">
        <v>891</v>
      </c>
      <c r="P676" s="1665"/>
      <c r="Q676" s="1665"/>
      <c r="R676" s="1665"/>
      <c r="T676" s="46"/>
      <c r="U676" s="16" t="s">
        <v>711</v>
      </c>
      <c r="Z676" s="1657"/>
      <c r="AA676" s="1657"/>
      <c r="AB676" s="1657"/>
      <c r="AC676" s="1657"/>
      <c r="AD676" s="1657"/>
      <c r="AE676" s="1657"/>
      <c r="AH676" s="149" t="s">
        <v>891</v>
      </c>
      <c r="AI676" s="1665"/>
      <c r="AJ676" s="1665"/>
      <c r="AK676" s="166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2"/>
      <c r="I677" s="1662"/>
      <c r="J677" s="1662"/>
      <c r="K677" s="1662"/>
      <c r="L677" s="1662"/>
      <c r="M677" s="1662"/>
      <c r="N677" s="1662"/>
      <c r="O677" s="1662"/>
      <c r="P677" s="1662"/>
      <c r="Q677" s="1662"/>
      <c r="R677" s="1662"/>
      <c r="T677" s="46"/>
      <c r="U677" s="16" t="s">
        <v>907</v>
      </c>
      <c r="AA677" s="1662"/>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7">
        <f>C640</f>
        <v>0</v>
      </c>
      <c r="H680" s="1827"/>
      <c r="I680" s="1827"/>
      <c r="J680" s="1827"/>
      <c r="K680" s="1827"/>
      <c r="L680" s="1827"/>
      <c r="M680" s="1827"/>
      <c r="N680" s="1827"/>
      <c r="O680" s="1827"/>
      <c r="P680" s="1827"/>
      <c r="Q680" s="1827"/>
      <c r="R680" s="1827"/>
      <c r="T680" s="101" t="s">
        <v>189</v>
      </c>
      <c r="U680" s="16" t="s">
        <v>92</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2"/>
      <c r="H681" s="1662"/>
      <c r="I681" s="1662"/>
      <c r="J681" s="1662"/>
      <c r="K681" s="1662"/>
      <c r="L681" s="1662"/>
      <c r="M681" s="1662"/>
      <c r="N681" s="1662"/>
      <c r="O681" s="1662"/>
      <c r="P681" s="1662"/>
      <c r="Q681" s="1662"/>
      <c r="R681" s="1662"/>
      <c r="T681" s="46"/>
      <c r="U681" s="16" t="s">
        <v>412</v>
      </c>
      <c r="Z681" s="1662"/>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2"/>
      <c r="H682" s="1662"/>
      <c r="I682" s="1662"/>
      <c r="J682" s="1662"/>
      <c r="K682" s="1662"/>
      <c r="L682" s="1662"/>
      <c r="M682" s="1662"/>
      <c r="N682" s="1662"/>
      <c r="O682" s="1662"/>
      <c r="P682" s="1662"/>
      <c r="Q682" s="1662"/>
      <c r="R682" s="1662"/>
      <c r="T682" s="46"/>
      <c r="U682" s="16" t="s">
        <v>475</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2"/>
      <c r="H683" s="1662"/>
      <c r="I683" s="1662"/>
      <c r="J683" s="1662"/>
      <c r="K683" s="1662"/>
      <c r="L683" s="1662"/>
      <c r="M683" s="1662"/>
      <c r="N683" s="1662"/>
      <c r="O683" s="1662"/>
      <c r="P683" s="1662"/>
      <c r="Q683" s="1662"/>
      <c r="R683" s="1662"/>
      <c r="T683" s="46"/>
      <c r="U683" s="16" t="s">
        <v>906</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891</v>
      </c>
      <c r="P684" s="1665"/>
      <c r="Q684" s="1665"/>
      <c r="R684" s="1665"/>
      <c r="T684" s="46"/>
      <c r="U684" s="16" t="s">
        <v>711</v>
      </c>
      <c r="Z684" s="1657"/>
      <c r="AA684" s="1657"/>
      <c r="AB684" s="1657"/>
      <c r="AC684" s="1657"/>
      <c r="AD684" s="1657"/>
      <c r="AE684" s="1657"/>
      <c r="AH684" s="149" t="s">
        <v>891</v>
      </c>
      <c r="AI684" s="1665"/>
      <c r="AJ684" s="1665"/>
      <c r="AK684" s="166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2"/>
      <c r="I685" s="1662"/>
      <c r="J685" s="1662"/>
      <c r="K685" s="1662"/>
      <c r="L685" s="1662"/>
      <c r="M685" s="1662"/>
      <c r="N685" s="1662"/>
      <c r="O685" s="1662"/>
      <c r="P685" s="1662"/>
      <c r="Q685" s="1662"/>
      <c r="R685" s="1662"/>
      <c r="T685" s="46"/>
      <c r="U685" s="16" t="s">
        <v>907</v>
      </c>
      <c r="AA685" s="1662"/>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27">
        <f>C642</f>
        <v>0</v>
      </c>
      <c r="H688" s="1827"/>
      <c r="I688" s="1827"/>
      <c r="J688" s="1827"/>
      <c r="K688" s="1827"/>
      <c r="L688" s="1827"/>
      <c r="M688" s="1827"/>
      <c r="N688" s="1827"/>
      <c r="O688" s="1827"/>
      <c r="P688" s="1827"/>
      <c r="Q688" s="1827"/>
      <c r="R688" s="1827"/>
      <c r="T688" s="101" t="s">
        <v>38</v>
      </c>
      <c r="U688" s="16" t="s">
        <v>92</v>
      </c>
      <c r="Z688" s="1827">
        <f>C643</f>
        <v>0</v>
      </c>
      <c r="AA688" s="1827"/>
      <c r="AB688" s="1827"/>
      <c r="AC688" s="1827"/>
      <c r="AD688" s="1827"/>
      <c r="AE688" s="1827"/>
      <c r="AF688" s="1827"/>
      <c r="AG688" s="1827"/>
      <c r="AH688" s="1827"/>
      <c r="AI688" s="1827"/>
      <c r="AJ688" s="1827"/>
      <c r="AK688" s="1827"/>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662"/>
      <c r="H689" s="1662"/>
      <c r="I689" s="1662"/>
      <c r="J689" s="1662"/>
      <c r="K689" s="1662"/>
      <c r="L689" s="1662"/>
      <c r="M689" s="1662"/>
      <c r="N689" s="1662"/>
      <c r="O689" s="1662"/>
      <c r="P689" s="1662"/>
      <c r="Q689" s="1662"/>
      <c r="R689" s="1662"/>
      <c r="T689" s="46"/>
      <c r="U689" s="16" t="s">
        <v>412</v>
      </c>
      <c r="Z689" s="1662"/>
      <c r="AA689" s="1662"/>
      <c r="AB689" s="1662"/>
      <c r="AC689" s="1662"/>
      <c r="AD689" s="1662"/>
      <c r="AE689" s="1662"/>
      <c r="AF689" s="1662"/>
      <c r="AG689" s="1662"/>
      <c r="AH689" s="1662"/>
      <c r="AI689" s="1662"/>
      <c r="AJ689" s="1662"/>
      <c r="AK689" s="1662"/>
      <c r="AM689" s="75"/>
      <c r="BA689" s="75">
        <f>IF($G706=0,"N/A",VLOOKUP($T$189,TC_Rent,(MATCH($B706,bedrooms,FALSE))))</f>
        <v>2232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662"/>
      <c r="H690" s="1662"/>
      <c r="I690" s="1662"/>
      <c r="J690" s="1662"/>
      <c r="K690" s="1662"/>
      <c r="L690" s="1662"/>
      <c r="M690" s="1662"/>
      <c r="N690" s="1662"/>
      <c r="O690" s="1662"/>
      <c r="P690" s="1662"/>
      <c r="Q690" s="1662"/>
      <c r="R690" s="1662"/>
      <c r="U690" s="16" t="s">
        <v>475</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2680</v>
      </c>
      <c r="BB690" s="75"/>
      <c r="BC690" s="75"/>
      <c r="BD690" s="75"/>
      <c r="BE690" s="75"/>
      <c r="BF690" s="75"/>
      <c r="BG690" s="681">
        <f>G706</f>
        <v>20</v>
      </c>
      <c r="BH690" s="694">
        <f>BG690/$BG$715</f>
        <v>0.17857142857142858</v>
      </c>
      <c r="BI690" s="696">
        <f>IF(BH690=0," ",BH690*AH706)</f>
        <v>5.3571428571428568E-2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2"/>
      <c r="H691" s="1662"/>
      <c r="I691" s="1662"/>
      <c r="J691" s="1662"/>
      <c r="K691" s="1662"/>
      <c r="L691" s="1662"/>
      <c r="M691" s="1662"/>
      <c r="N691" s="1662"/>
      <c r="O691" s="1662"/>
      <c r="P691" s="1662"/>
      <c r="Q691" s="1662"/>
      <c r="R691" s="1662"/>
      <c r="U691" s="16" t="s">
        <v>906</v>
      </c>
      <c r="Z691" s="1654"/>
      <c r="AA691" s="1654"/>
      <c r="AB691" s="1654"/>
      <c r="AC691" s="1654"/>
      <c r="AD691" s="1654"/>
      <c r="AE691" s="1654"/>
      <c r="AF691" s="1654"/>
      <c r="AG691" s="1654"/>
      <c r="AH691" s="1654"/>
      <c r="AI691" s="1654"/>
      <c r="AJ691" s="1654"/>
      <c r="AK691" s="1654"/>
      <c r="AM691" s="75"/>
      <c r="BA691" s="75">
        <f t="shared" si="22"/>
        <v>3096</v>
      </c>
      <c r="BB691" s="75"/>
      <c r="BC691" s="75"/>
      <c r="BD691" s="75"/>
      <c r="BE691" s="75"/>
      <c r="BF691" s="75"/>
      <c r="BG691" s="682">
        <f t="shared" ref="BG691:BG714" si="23">G707</f>
        <v>3</v>
      </c>
      <c r="BH691" s="694">
        <f t="shared" ref="BH691:BH714" si="24">BG691/$BG$715</f>
        <v>2.6785714285714284E-2</v>
      </c>
      <c r="BI691" s="696">
        <f t="shared" ref="BI691:BI714" si="25">IF(BH691=0," ",BH691*AH707)</f>
        <v>8.0357142857142849E-3</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891</v>
      </c>
      <c r="P692" s="1665"/>
      <c r="Q692" s="1665"/>
      <c r="R692" s="1665"/>
      <c r="U692" s="16" t="s">
        <v>711</v>
      </c>
      <c r="Z692" s="1657"/>
      <c r="AA692" s="1657"/>
      <c r="AB692" s="1657"/>
      <c r="AC692" s="1657"/>
      <c r="AD692" s="1657"/>
      <c r="AE692" s="1657"/>
      <c r="AH692" s="149" t="s">
        <v>891</v>
      </c>
      <c r="AI692" s="1665"/>
      <c r="AJ692" s="1665"/>
      <c r="AK692" s="1665"/>
      <c r="AM692" s="75"/>
      <c r="BA692" s="75">
        <f t="shared" si="22"/>
        <v>2680</v>
      </c>
      <c r="BB692" s="72"/>
      <c r="BC692" s="72"/>
      <c r="BD692" s="72"/>
      <c r="BE692" s="72"/>
      <c r="BF692" s="72"/>
      <c r="BG692" s="682">
        <f t="shared" si="23"/>
        <v>3</v>
      </c>
      <c r="BH692" s="694">
        <f t="shared" si="24"/>
        <v>2.6785714285714284E-2</v>
      </c>
      <c r="BI692" s="696">
        <f t="shared" si="25"/>
        <v>8.0357142857142849E-3</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2"/>
      <c r="I693" s="1662"/>
      <c r="J693" s="1662"/>
      <c r="K693" s="1662"/>
      <c r="L693" s="1662"/>
      <c r="M693" s="1662"/>
      <c r="N693" s="1662"/>
      <c r="O693" s="1662"/>
      <c r="P693" s="1662"/>
      <c r="Q693" s="1662"/>
      <c r="R693" s="1662"/>
      <c r="U693" s="16" t="s">
        <v>907</v>
      </c>
      <c r="AA693" s="1662"/>
      <c r="AB693" s="1662"/>
      <c r="AC693" s="1662"/>
      <c r="AD693" s="1662"/>
      <c r="AE693" s="1662"/>
      <c r="AF693" s="1662"/>
      <c r="AG693" s="1662"/>
      <c r="AH693" s="1662"/>
      <c r="AI693" s="1662"/>
      <c r="AJ693" s="1662"/>
      <c r="AK693" s="1662"/>
      <c r="AM693" s="72"/>
      <c r="BA693" s="75">
        <f t="shared" si="22"/>
        <v>3096</v>
      </c>
      <c r="BB693" s="72"/>
      <c r="BC693" s="72"/>
      <c r="BD693" s="72"/>
      <c r="BE693" s="72"/>
      <c r="BF693" s="72"/>
      <c r="BG693" s="682">
        <f t="shared" si="23"/>
        <v>4</v>
      </c>
      <c r="BH693" s="694">
        <f t="shared" si="24"/>
        <v>3.5714285714285712E-2</v>
      </c>
      <c r="BI693" s="696">
        <f t="shared" si="25"/>
        <v>1.4285714285714285E-2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58" t="s">
        <v>527</v>
      </c>
      <c r="O694" s="1658"/>
      <c r="U694" s="16" t="s">
        <v>909</v>
      </c>
      <c r="AG694" s="1658" t="s">
        <v>527</v>
      </c>
      <c r="AH694" s="1658"/>
      <c r="AM694" s="72"/>
      <c r="BA694" s="75">
        <f t="shared" si="22"/>
        <v>2232</v>
      </c>
      <c r="BB694" s="72"/>
      <c r="BC694" s="72"/>
      <c r="BD694" s="72"/>
      <c r="BE694" s="72"/>
      <c r="BF694" s="72"/>
      <c r="BG694" s="682">
        <f t="shared" si="23"/>
        <v>4</v>
      </c>
      <c r="BH694" s="694">
        <f t="shared" si="24"/>
        <v>3.5714285714285712E-2</v>
      </c>
      <c r="BI694" s="696">
        <f t="shared" si="25"/>
        <v>1.4285714285714285E-2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2680</v>
      </c>
      <c r="BB695" s="72"/>
      <c r="BC695" s="72"/>
      <c r="BD695" s="72"/>
      <c r="BE695" s="72"/>
      <c r="BF695" s="72"/>
      <c r="BG695" s="682">
        <f t="shared" si="23"/>
        <v>26</v>
      </c>
      <c r="BH695" s="694">
        <f t="shared" si="24"/>
        <v>0.23214285714285715</v>
      </c>
      <c r="BI695" s="696">
        <f t="shared" si="25"/>
        <v>0.11607142857142858</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3096</v>
      </c>
      <c r="BB696" s="72"/>
      <c r="BC696" s="72"/>
      <c r="BD696" s="72"/>
      <c r="BE696" s="72"/>
      <c r="BF696" s="72"/>
      <c r="BG696" s="682">
        <f t="shared" si="23"/>
        <v>9</v>
      </c>
      <c r="BH696" s="694">
        <f t="shared" si="24"/>
        <v>8.0357142857142863E-2</v>
      </c>
      <c r="BI696" s="696">
        <f t="shared" si="25"/>
        <v>4.0178571428571432E-2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9" t="s">
        <v>137</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f t="shared" si="22"/>
        <v>2232</v>
      </c>
      <c r="BB697" s="72"/>
      <c r="BC697" s="72"/>
      <c r="BD697" s="72"/>
      <c r="BE697" s="72"/>
      <c r="BF697" s="72"/>
      <c r="BG697" s="682">
        <f t="shared" si="23"/>
        <v>11</v>
      </c>
      <c r="BH697" s="694">
        <f t="shared" si="24"/>
        <v>9.8214285714285712E-2</v>
      </c>
      <c r="BI697" s="696">
        <f t="shared" si="25"/>
        <v>4.9107142857142856E-2</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f t="shared" si="22"/>
        <v>2680</v>
      </c>
      <c r="BE698" s="72"/>
      <c r="BF698" s="72"/>
      <c r="BG698" s="682">
        <f t="shared" si="23"/>
        <v>8</v>
      </c>
      <c r="BH698" s="694">
        <f t="shared" si="24"/>
        <v>7.1428571428571425E-2</v>
      </c>
      <c r="BI698" s="696">
        <f t="shared" si="25"/>
        <v>4.2857142857142851E-2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f t="shared" si="22"/>
        <v>3096</v>
      </c>
      <c r="BE699" s="72"/>
      <c r="BF699" s="72"/>
      <c r="BG699" s="682">
        <f t="shared" si="23"/>
        <v>13</v>
      </c>
      <c r="BH699" s="694">
        <f t="shared" si="24"/>
        <v>0.11607142857142858</v>
      </c>
      <c r="BI699" s="696">
        <f t="shared" si="25"/>
        <v>6.9642857142857145E-2</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11</v>
      </c>
      <c r="BH700" s="694">
        <f t="shared" si="24"/>
        <v>9.8214285714285712E-2</v>
      </c>
      <c r="BI700" s="696">
        <f t="shared" si="25"/>
        <v>5.8928571428571427E-2</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58</v>
      </c>
      <c r="C702" s="1765"/>
      <c r="D702" s="1765"/>
      <c r="E702" s="1765"/>
      <c r="F702" s="1766"/>
      <c r="G702" s="1764" t="s">
        <v>282</v>
      </c>
      <c r="H702" s="1765"/>
      <c r="I702" s="1765"/>
      <c r="J702" s="1766"/>
      <c r="K702" s="2130" t="s">
        <v>2210</v>
      </c>
      <c r="L702" s="2131"/>
      <c r="M702" s="2131"/>
      <c r="N702" s="2132"/>
      <c r="O702" s="1764" t="s">
        <v>650</v>
      </c>
      <c r="P702" s="1765"/>
      <c r="Q702" s="1765"/>
      <c r="R702" s="1765"/>
      <c r="S702" s="1766"/>
      <c r="T702" s="1764" t="s">
        <v>283</v>
      </c>
      <c r="U702" s="1765"/>
      <c r="V702" s="1765"/>
      <c r="W702" s="1765"/>
      <c r="X702" s="1766"/>
      <c r="Y702" s="1764" t="s">
        <v>284</v>
      </c>
      <c r="Z702" s="1765"/>
      <c r="AA702" s="1765"/>
      <c r="AB702" s="1766"/>
      <c r="AC702" s="1764" t="s">
        <v>285</v>
      </c>
      <c r="AD702" s="1765"/>
      <c r="AE702" s="1765"/>
      <c r="AF702" s="1765"/>
      <c r="AG702" s="1766"/>
      <c r="AH702" s="1764" t="s">
        <v>2211</v>
      </c>
      <c r="AI702" s="1765"/>
      <c r="AJ702" s="1765"/>
      <c r="AK702" s="1765"/>
      <c r="AL702" s="1766"/>
      <c r="AM702" s="1764" t="s">
        <v>2212</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7"/>
      <c r="C703" s="1768"/>
      <c r="D703" s="1768"/>
      <c r="E703" s="1768"/>
      <c r="F703" s="1769"/>
      <c r="G703" s="1767"/>
      <c r="H703" s="1768"/>
      <c r="I703" s="1768"/>
      <c r="J703" s="1769"/>
      <c r="K703" s="2133"/>
      <c r="L703" s="2134"/>
      <c r="M703" s="2134"/>
      <c r="N703" s="2135"/>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7"/>
      <c r="C704" s="1768"/>
      <c r="D704" s="1768"/>
      <c r="E704" s="1768"/>
      <c r="F704" s="1769"/>
      <c r="G704" s="1767"/>
      <c r="H704" s="1768"/>
      <c r="I704" s="1768"/>
      <c r="J704" s="1769"/>
      <c r="K704" s="2133"/>
      <c r="L704" s="2134"/>
      <c r="M704" s="2134"/>
      <c r="N704" s="2135"/>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0"/>
      <c r="C705" s="1771"/>
      <c r="D705" s="1771"/>
      <c r="E705" s="1771"/>
      <c r="F705" s="1772"/>
      <c r="G705" s="1770"/>
      <c r="H705" s="1771"/>
      <c r="I705" s="1771"/>
      <c r="J705" s="1772"/>
      <c r="K705" s="2133"/>
      <c r="L705" s="2134"/>
      <c r="M705" s="2134"/>
      <c r="N705" s="2135"/>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5" t="s">
        <v>487</v>
      </c>
      <c r="C706" s="1786"/>
      <c r="D706" s="1786"/>
      <c r="E706" s="1786"/>
      <c r="F706" s="1787"/>
      <c r="G706" s="1782">
        <v>20</v>
      </c>
      <c r="H706" s="1783"/>
      <c r="I706" s="1783"/>
      <c r="J706" s="1784"/>
      <c r="K706" s="1789">
        <v>627</v>
      </c>
      <c r="L706" s="1790"/>
      <c r="M706" s="1790"/>
      <c r="N706" s="1791"/>
      <c r="O706" s="1792">
        <f>670-74</f>
        <v>596</v>
      </c>
      <c r="P706" s="1793"/>
      <c r="Q706" s="1793"/>
      <c r="R706" s="1793"/>
      <c r="S706" s="1794"/>
      <c r="T706" s="1795">
        <f t="shared" ref="T706:T730" si="26">G706*O706</f>
        <v>11920</v>
      </c>
      <c r="U706" s="1796"/>
      <c r="V706" s="1796"/>
      <c r="W706" s="1796"/>
      <c r="X706" s="1797"/>
      <c r="Y706" s="1792">
        <v>74</v>
      </c>
      <c r="Z706" s="1793"/>
      <c r="AA706" s="1793"/>
      <c r="AB706" s="1794"/>
      <c r="AC706" s="1795">
        <f t="shared" ref="AC706:AC730" si="27">O706+Y706</f>
        <v>670</v>
      </c>
      <c r="AD706" s="1796"/>
      <c r="AE706" s="1796"/>
      <c r="AF706" s="1796"/>
      <c r="AG706" s="1797"/>
      <c r="AH706" s="1943">
        <v>0.3</v>
      </c>
      <c r="AI706" s="1944"/>
      <c r="AJ706" s="1944"/>
      <c r="AK706" s="1944"/>
      <c r="AL706" s="1945"/>
      <c r="AM706" s="2136">
        <f>IF($AH706&gt;0,($AC706/$BA689)," ")</f>
        <v>0.30017921146953402</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5" t="s">
        <v>844</v>
      </c>
      <c r="C707" s="1786"/>
      <c r="D707" s="1786"/>
      <c r="E707" s="1786"/>
      <c r="F707" s="1787"/>
      <c r="G707" s="1782">
        <v>3</v>
      </c>
      <c r="H707" s="1783"/>
      <c r="I707" s="1783"/>
      <c r="J707" s="1784"/>
      <c r="K707" s="1789">
        <v>940</v>
      </c>
      <c r="L707" s="1790"/>
      <c r="M707" s="1790"/>
      <c r="N707" s="1791"/>
      <c r="O707" s="1792">
        <f>804-94</f>
        <v>710</v>
      </c>
      <c r="P707" s="1793"/>
      <c r="Q707" s="1793"/>
      <c r="R707" s="1793"/>
      <c r="S707" s="1794"/>
      <c r="T707" s="1795">
        <f t="shared" si="26"/>
        <v>2130</v>
      </c>
      <c r="U707" s="1796"/>
      <c r="V707" s="1796"/>
      <c r="W707" s="1796"/>
      <c r="X707" s="1797"/>
      <c r="Y707" s="1792">
        <v>94</v>
      </c>
      <c r="Z707" s="1793"/>
      <c r="AA707" s="1793"/>
      <c r="AB707" s="1794"/>
      <c r="AC707" s="1795">
        <f t="shared" si="27"/>
        <v>804</v>
      </c>
      <c r="AD707" s="1796"/>
      <c r="AE707" s="1796"/>
      <c r="AF707" s="1796"/>
      <c r="AG707" s="1797"/>
      <c r="AH707" s="1810">
        <v>0.3</v>
      </c>
      <c r="AI707" s="1811"/>
      <c r="AJ707" s="1811"/>
      <c r="AK707" s="1811"/>
      <c r="AL707" s="1812"/>
      <c r="AM707" s="2136">
        <f t="shared" ref="AM707:AM730" si="28">IF($AH707&gt;0,($AC707/$BA690), " ")</f>
        <v>0.3</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5" t="s">
        <v>845</v>
      </c>
      <c r="C708" s="1786"/>
      <c r="D708" s="1786"/>
      <c r="E708" s="1786"/>
      <c r="F708" s="1787"/>
      <c r="G708" s="1782">
        <v>3</v>
      </c>
      <c r="H708" s="1783"/>
      <c r="I708" s="1783"/>
      <c r="J708" s="1784"/>
      <c r="K708" s="1789">
        <v>1170</v>
      </c>
      <c r="L708" s="1790"/>
      <c r="M708" s="1790"/>
      <c r="N708" s="1791"/>
      <c r="O708" s="1792">
        <f>929-116</f>
        <v>813</v>
      </c>
      <c r="P708" s="1793"/>
      <c r="Q708" s="1793"/>
      <c r="R708" s="1793"/>
      <c r="S708" s="1794"/>
      <c r="T708" s="1795">
        <f t="shared" si="26"/>
        <v>2439</v>
      </c>
      <c r="U708" s="1796"/>
      <c r="V708" s="1796"/>
      <c r="W708" s="1796"/>
      <c r="X708" s="1797"/>
      <c r="Y708" s="1792">
        <v>116</v>
      </c>
      <c r="Z708" s="1793"/>
      <c r="AA708" s="1793"/>
      <c r="AB708" s="1794"/>
      <c r="AC708" s="1795">
        <f t="shared" si="27"/>
        <v>929</v>
      </c>
      <c r="AD708" s="1796"/>
      <c r="AE708" s="1796"/>
      <c r="AF708" s="1796"/>
      <c r="AG708" s="1797"/>
      <c r="AH708" s="1810">
        <v>0.3</v>
      </c>
      <c r="AI708" s="1811"/>
      <c r="AJ708" s="1811"/>
      <c r="AK708" s="1811"/>
      <c r="AL708" s="1812"/>
      <c r="AM708" s="2136">
        <f t="shared" si="28"/>
        <v>0.30006459948320413</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5" t="s">
        <v>844</v>
      </c>
      <c r="C709" s="1786"/>
      <c r="D709" s="1786"/>
      <c r="E709" s="1786"/>
      <c r="F709" s="1787"/>
      <c r="G709" s="1782">
        <v>4</v>
      </c>
      <c r="H709" s="1783"/>
      <c r="I709" s="1783"/>
      <c r="J709" s="1784"/>
      <c r="K709" s="1789">
        <v>940</v>
      </c>
      <c r="L709" s="1790"/>
      <c r="M709" s="1790"/>
      <c r="N709" s="1791"/>
      <c r="O709" s="1792">
        <v>978</v>
      </c>
      <c r="P709" s="1793"/>
      <c r="Q709" s="1793"/>
      <c r="R709" s="1793"/>
      <c r="S709" s="1794"/>
      <c r="T709" s="1795">
        <f t="shared" si="26"/>
        <v>3912</v>
      </c>
      <c r="U709" s="1796"/>
      <c r="V709" s="1796"/>
      <c r="W709" s="1796"/>
      <c r="X709" s="1797"/>
      <c r="Y709" s="1792">
        <v>94</v>
      </c>
      <c r="Z709" s="1793"/>
      <c r="AA709" s="1793"/>
      <c r="AB709" s="1794"/>
      <c r="AC709" s="1795">
        <f t="shared" si="27"/>
        <v>1072</v>
      </c>
      <c r="AD709" s="1796"/>
      <c r="AE709" s="1796"/>
      <c r="AF709" s="1796"/>
      <c r="AG709" s="1797"/>
      <c r="AH709" s="1810">
        <v>0.4</v>
      </c>
      <c r="AI709" s="1811"/>
      <c r="AJ709" s="1811"/>
      <c r="AK709" s="1811"/>
      <c r="AL709" s="1812"/>
      <c r="AM709" s="2136">
        <f t="shared" si="28"/>
        <v>0.4</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5" t="s">
        <v>845</v>
      </c>
      <c r="C710" s="1786"/>
      <c r="D710" s="1786"/>
      <c r="E710" s="1786"/>
      <c r="F710" s="1787"/>
      <c r="G710" s="1782">
        <v>4</v>
      </c>
      <c r="H710" s="1783"/>
      <c r="I710" s="1783"/>
      <c r="J710" s="1784"/>
      <c r="K710" s="1789">
        <v>1170</v>
      </c>
      <c r="L710" s="1790"/>
      <c r="M710" s="1790"/>
      <c r="N710" s="1791"/>
      <c r="O710" s="1792">
        <v>1123</v>
      </c>
      <c r="P710" s="1793"/>
      <c r="Q710" s="1793"/>
      <c r="R710" s="1793"/>
      <c r="S710" s="1794"/>
      <c r="T710" s="1795">
        <f t="shared" si="26"/>
        <v>4492</v>
      </c>
      <c r="U710" s="1796"/>
      <c r="V710" s="1796"/>
      <c r="W710" s="1796"/>
      <c r="X710" s="1797"/>
      <c r="Y710" s="1792">
        <v>116</v>
      </c>
      <c r="Z710" s="1793"/>
      <c r="AA710" s="1793"/>
      <c r="AB710" s="1794"/>
      <c r="AC710" s="1795">
        <f t="shared" si="27"/>
        <v>1239</v>
      </c>
      <c r="AD710" s="1796"/>
      <c r="AE710" s="1796"/>
      <c r="AF710" s="1796"/>
      <c r="AG710" s="1797"/>
      <c r="AH710" s="1810">
        <v>0.4</v>
      </c>
      <c r="AI710" s="1811"/>
      <c r="AJ710" s="1811"/>
      <c r="AK710" s="1811"/>
      <c r="AL710" s="1812"/>
      <c r="AM710" s="2136">
        <f t="shared" si="28"/>
        <v>0.40019379844961239</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5" t="s">
        <v>487</v>
      </c>
      <c r="C711" s="1786"/>
      <c r="D711" s="1786"/>
      <c r="E711" s="1786"/>
      <c r="F711" s="1787"/>
      <c r="G711" s="1782">
        <v>26</v>
      </c>
      <c r="H711" s="1783"/>
      <c r="I711" s="1783"/>
      <c r="J711" s="1784"/>
      <c r="K711" s="1789">
        <v>627</v>
      </c>
      <c r="L711" s="1790"/>
      <c r="M711" s="1790"/>
      <c r="N711" s="1791"/>
      <c r="O711" s="1792">
        <v>1042</v>
      </c>
      <c r="P711" s="1793"/>
      <c r="Q711" s="1793"/>
      <c r="R711" s="1793"/>
      <c r="S711" s="1794"/>
      <c r="T711" s="1795">
        <f t="shared" si="26"/>
        <v>27092</v>
      </c>
      <c r="U711" s="1796"/>
      <c r="V711" s="1796"/>
      <c r="W711" s="1796"/>
      <c r="X711" s="1797"/>
      <c r="Y711" s="1792">
        <v>74</v>
      </c>
      <c r="Z711" s="1793"/>
      <c r="AA711" s="1793"/>
      <c r="AB711" s="1794"/>
      <c r="AC711" s="1795">
        <f t="shared" si="27"/>
        <v>1116</v>
      </c>
      <c r="AD711" s="1796"/>
      <c r="AE711" s="1796"/>
      <c r="AF711" s="1796"/>
      <c r="AG711" s="1797"/>
      <c r="AH711" s="1810">
        <v>0.5</v>
      </c>
      <c r="AI711" s="1811"/>
      <c r="AJ711" s="1811"/>
      <c r="AK711" s="1811"/>
      <c r="AL711" s="1812"/>
      <c r="AM711" s="2136">
        <f t="shared" si="28"/>
        <v>0.5</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5" t="s">
        <v>844</v>
      </c>
      <c r="C712" s="1786"/>
      <c r="D712" s="1786"/>
      <c r="E712" s="1786"/>
      <c r="F712" s="1787"/>
      <c r="G712" s="1782">
        <v>9</v>
      </c>
      <c r="H712" s="1783"/>
      <c r="I712" s="1783"/>
      <c r="J712" s="1784"/>
      <c r="K712" s="1789">
        <v>940</v>
      </c>
      <c r="L712" s="1790"/>
      <c r="M712" s="1790"/>
      <c r="N712" s="1791"/>
      <c r="O712" s="1792">
        <v>1246</v>
      </c>
      <c r="P712" s="1793"/>
      <c r="Q712" s="1793"/>
      <c r="R712" s="1793"/>
      <c r="S712" s="1794"/>
      <c r="T712" s="1795">
        <f t="shared" si="26"/>
        <v>11214</v>
      </c>
      <c r="U712" s="1796"/>
      <c r="V712" s="1796"/>
      <c r="W712" s="1796"/>
      <c r="X712" s="1797"/>
      <c r="Y712" s="1792">
        <v>94</v>
      </c>
      <c r="Z712" s="1793"/>
      <c r="AA712" s="1793"/>
      <c r="AB712" s="1794"/>
      <c r="AC712" s="1795">
        <f t="shared" si="27"/>
        <v>1340</v>
      </c>
      <c r="AD712" s="1796"/>
      <c r="AE712" s="1796"/>
      <c r="AF712" s="1796"/>
      <c r="AG712" s="1797"/>
      <c r="AH712" s="1810">
        <v>0.5</v>
      </c>
      <c r="AI712" s="1811"/>
      <c r="AJ712" s="1811"/>
      <c r="AK712" s="1811"/>
      <c r="AL712" s="1812"/>
      <c r="AM712" s="2136">
        <f t="shared" si="28"/>
        <v>0.5</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5" t="s">
        <v>845</v>
      </c>
      <c r="C713" s="1786"/>
      <c r="D713" s="1786"/>
      <c r="E713" s="1786"/>
      <c r="F713" s="1787"/>
      <c r="G713" s="1782">
        <v>11</v>
      </c>
      <c r="H713" s="1783"/>
      <c r="I713" s="1783"/>
      <c r="J713" s="1784"/>
      <c r="K713" s="1789">
        <v>1170</v>
      </c>
      <c r="L713" s="1790"/>
      <c r="M713" s="1790"/>
      <c r="N713" s="1791"/>
      <c r="O713" s="1792">
        <v>1432</v>
      </c>
      <c r="P713" s="1793"/>
      <c r="Q713" s="1793"/>
      <c r="R713" s="1793"/>
      <c r="S713" s="1794"/>
      <c r="T713" s="1795">
        <f t="shared" si="26"/>
        <v>15752</v>
      </c>
      <c r="U713" s="1796"/>
      <c r="V713" s="1796"/>
      <c r="W713" s="1796"/>
      <c r="X713" s="1797"/>
      <c r="Y713" s="1792">
        <v>116</v>
      </c>
      <c r="Z713" s="1793"/>
      <c r="AA713" s="1793"/>
      <c r="AB713" s="1794"/>
      <c r="AC713" s="1795">
        <f t="shared" si="27"/>
        <v>1548</v>
      </c>
      <c r="AD713" s="1796"/>
      <c r="AE713" s="1796"/>
      <c r="AF713" s="1796"/>
      <c r="AG713" s="1797"/>
      <c r="AH713" s="1810">
        <v>0.5</v>
      </c>
      <c r="AI713" s="1811"/>
      <c r="AJ713" s="1811"/>
      <c r="AK713" s="1811"/>
      <c r="AL713" s="1812"/>
      <c r="AM713" s="2136">
        <f t="shared" si="28"/>
        <v>0.5</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5" t="s">
        <v>487</v>
      </c>
      <c r="C714" s="1786"/>
      <c r="D714" s="1786"/>
      <c r="E714" s="1786"/>
      <c r="F714" s="1787"/>
      <c r="G714" s="1782">
        <v>8</v>
      </c>
      <c r="H714" s="1783"/>
      <c r="I714" s="1783"/>
      <c r="J714" s="1784"/>
      <c r="K714" s="1789">
        <v>627</v>
      </c>
      <c r="L714" s="1790"/>
      <c r="M714" s="1790"/>
      <c r="N714" s="1791"/>
      <c r="O714" s="1792">
        <v>1266</v>
      </c>
      <c r="P714" s="1793"/>
      <c r="Q714" s="1793"/>
      <c r="R714" s="1793"/>
      <c r="S714" s="1794"/>
      <c r="T714" s="1795">
        <f t="shared" si="26"/>
        <v>10128</v>
      </c>
      <c r="U714" s="1796"/>
      <c r="V714" s="1796"/>
      <c r="W714" s="1796"/>
      <c r="X714" s="1797"/>
      <c r="Y714" s="1792">
        <v>74</v>
      </c>
      <c r="Z714" s="1793"/>
      <c r="AA714" s="1793"/>
      <c r="AB714" s="1794"/>
      <c r="AC714" s="1795">
        <f t="shared" si="27"/>
        <v>1340</v>
      </c>
      <c r="AD714" s="1796"/>
      <c r="AE714" s="1796"/>
      <c r="AF714" s="1796"/>
      <c r="AG714" s="1797"/>
      <c r="AH714" s="1810">
        <v>0.6</v>
      </c>
      <c r="AI714" s="1811"/>
      <c r="AJ714" s="1811"/>
      <c r="AK714" s="1811"/>
      <c r="AL714" s="1812"/>
      <c r="AM714" s="2136">
        <f t="shared" si="28"/>
        <v>0.60035842293906805</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5" t="s">
        <v>844</v>
      </c>
      <c r="C715" s="1786"/>
      <c r="D715" s="1786"/>
      <c r="E715" s="1786"/>
      <c r="F715" s="1787"/>
      <c r="G715" s="1782">
        <v>13</v>
      </c>
      <c r="H715" s="1783"/>
      <c r="I715" s="1783"/>
      <c r="J715" s="1784"/>
      <c r="K715" s="1789">
        <v>940</v>
      </c>
      <c r="L715" s="1790"/>
      <c r="M715" s="1790"/>
      <c r="N715" s="1791"/>
      <c r="O715" s="1792">
        <v>1514</v>
      </c>
      <c r="P715" s="1793"/>
      <c r="Q715" s="1793"/>
      <c r="R715" s="1793"/>
      <c r="S715" s="1794"/>
      <c r="T715" s="1795">
        <f t="shared" si="26"/>
        <v>19682</v>
      </c>
      <c r="U715" s="1796"/>
      <c r="V715" s="1796"/>
      <c r="W715" s="1796"/>
      <c r="X715" s="1797"/>
      <c r="Y715" s="1792">
        <v>94</v>
      </c>
      <c r="Z715" s="1793"/>
      <c r="AA715" s="1793"/>
      <c r="AB715" s="1794"/>
      <c r="AC715" s="1795">
        <f t="shared" si="27"/>
        <v>1608</v>
      </c>
      <c r="AD715" s="1796"/>
      <c r="AE715" s="1796"/>
      <c r="AF715" s="1796"/>
      <c r="AG715" s="1797"/>
      <c r="AH715" s="1810">
        <v>0.6</v>
      </c>
      <c r="AI715" s="1811"/>
      <c r="AJ715" s="1811"/>
      <c r="AK715" s="1811"/>
      <c r="AL715" s="1812"/>
      <c r="AM715" s="2136">
        <f t="shared" si="28"/>
        <v>0.6</v>
      </c>
      <c r="AN715" s="2137"/>
      <c r="AO715" s="2138"/>
      <c r="BA715" s="72"/>
      <c r="BB715" s="72"/>
      <c r="BC715" s="72"/>
      <c r="BD715" s="72"/>
      <c r="BE715" s="149"/>
      <c r="BF715" s="147" t="s">
        <v>952</v>
      </c>
      <c r="BG715" s="697">
        <f>SUM(BG690:BG714)</f>
        <v>112</v>
      </c>
      <c r="BH715" s="698">
        <f>SUM(BH690:BH714)</f>
        <v>1</v>
      </c>
      <c r="BI715" s="698">
        <f>SUM(BI690:BI714)</f>
        <v>0.47500000000000009</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5" t="s">
        <v>845</v>
      </c>
      <c r="C716" s="1786"/>
      <c r="D716" s="1786"/>
      <c r="E716" s="1786"/>
      <c r="F716" s="1787"/>
      <c r="G716" s="1782">
        <v>11</v>
      </c>
      <c r="H716" s="1783"/>
      <c r="I716" s="1783"/>
      <c r="J716" s="1784"/>
      <c r="K716" s="1789">
        <v>1170</v>
      </c>
      <c r="L716" s="1790"/>
      <c r="M716" s="1790"/>
      <c r="N716" s="1791"/>
      <c r="O716" s="1792">
        <v>1742</v>
      </c>
      <c r="P716" s="1793"/>
      <c r="Q716" s="1793"/>
      <c r="R716" s="1793"/>
      <c r="S716" s="1794"/>
      <c r="T716" s="1795">
        <f t="shared" si="26"/>
        <v>19162</v>
      </c>
      <c r="U716" s="1796"/>
      <c r="V716" s="1796"/>
      <c r="W716" s="1796"/>
      <c r="X716" s="1797"/>
      <c r="Y716" s="1792">
        <v>114</v>
      </c>
      <c r="Z716" s="1793"/>
      <c r="AA716" s="1793"/>
      <c r="AB716" s="1794"/>
      <c r="AC716" s="1795">
        <f t="shared" si="27"/>
        <v>1856</v>
      </c>
      <c r="AD716" s="1796"/>
      <c r="AE716" s="1796"/>
      <c r="AF716" s="1796"/>
      <c r="AG716" s="1797"/>
      <c r="AH716" s="1810">
        <v>0.6</v>
      </c>
      <c r="AI716" s="1811"/>
      <c r="AJ716" s="1811"/>
      <c r="AK716" s="1811"/>
      <c r="AL716" s="1812"/>
      <c r="AM716" s="2136">
        <f t="shared" si="28"/>
        <v>0.59948320413436695</v>
      </c>
      <c r="AN716" s="2137"/>
      <c r="AO716" s="2138"/>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36" t="str">
        <f t="shared" si="28"/>
        <v xml:space="preserve"> </v>
      </c>
      <c r="AN717" s="2137"/>
      <c r="AO717" s="2138"/>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v>0</v>
      </c>
      <c r="AI718" s="1811"/>
      <c r="AJ718" s="1811"/>
      <c r="AK718" s="1811"/>
      <c r="AL718" s="1812"/>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6" t="str">
        <f t="shared" si="28"/>
        <v xml:space="preserve"> </v>
      </c>
      <c r="AN719" s="2137"/>
      <c r="AO719" s="2138"/>
      <c r="BA719" s="72"/>
      <c r="BB719" s="72"/>
      <c r="BC719" s="72"/>
      <c r="BD719" s="72"/>
      <c r="BE719" s="72"/>
      <c r="BF719" s="72"/>
      <c r="BG719" s="1401" t="s">
        <v>2213</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6" t="str">
        <f t="shared" si="28"/>
        <v xml:space="preserve"> </v>
      </c>
      <c r="AN720" s="2137"/>
      <c r="AO720" s="2138"/>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6" t="str">
        <f t="shared" si="28"/>
        <v xml:space="preserve"> </v>
      </c>
      <c r="AN721" s="2137"/>
      <c r="AO721" s="2138"/>
      <c r="BA721" s="72"/>
      <c r="BB721" s="72"/>
      <c r="BC721" s="72"/>
      <c r="BD721" s="72"/>
      <c r="BE721" s="72"/>
      <c r="BF721" s="72"/>
      <c r="BG721" s="1406">
        <f>G706</f>
        <v>20</v>
      </c>
      <c r="BH721" s="1410">
        <f>BG721/$BG$746</f>
        <v>0.17857142857142858</v>
      </c>
      <c r="BI721" s="1411">
        <f>IF(BH721=0," ",BH721*AM706)</f>
        <v>5.3603430619559647E-2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6" t="str">
        <f t="shared" si="28"/>
        <v xml:space="preserve"> </v>
      </c>
      <c r="AN722" s="2137"/>
      <c r="AO722" s="2138"/>
      <c r="BA722" s="72"/>
      <c r="BB722" s="72"/>
      <c r="BC722" s="72"/>
      <c r="BD722" s="72"/>
      <c r="BE722" s="72"/>
      <c r="BF722" s="72"/>
      <c r="BG722" s="1406">
        <f t="shared" ref="BG722:BG745" si="29">G707</f>
        <v>3</v>
      </c>
      <c r="BH722" s="1410">
        <f t="shared" ref="BH722:BH745" si="30">BG722/$BG$746</f>
        <v>2.6785714285714284E-2</v>
      </c>
      <c r="BI722" s="1411">
        <f t="shared" ref="BI722:BI745" si="31">IF(BH722=0," ",BH722*AM707)</f>
        <v>8.0357142857142849E-3</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6" t="str">
        <f t="shared" si="28"/>
        <v xml:space="preserve"> </v>
      </c>
      <c r="AN723" s="2137"/>
      <c r="AO723" s="2138"/>
      <c r="BA723" s="75"/>
      <c r="BB723" s="75"/>
      <c r="BC723" s="75"/>
      <c r="BD723" s="75"/>
      <c r="BE723" s="75"/>
      <c r="BF723" s="75"/>
      <c r="BG723" s="1406">
        <f t="shared" si="29"/>
        <v>3</v>
      </c>
      <c r="BH723" s="1410">
        <f t="shared" si="30"/>
        <v>2.6785714285714284E-2</v>
      </c>
      <c r="BI723" s="1411">
        <f t="shared" si="31"/>
        <v>8.0374446290143956E-3</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6" t="str">
        <f t="shared" si="28"/>
        <v xml:space="preserve"> </v>
      </c>
      <c r="AN724" s="2137"/>
      <c r="AO724" s="2138"/>
      <c r="BA724" s="75"/>
      <c r="BB724" s="75"/>
      <c r="BC724" s="75"/>
      <c r="BD724" s="75"/>
      <c r="BE724" s="75"/>
      <c r="BF724" s="75"/>
      <c r="BG724" s="1406">
        <f t="shared" si="29"/>
        <v>4</v>
      </c>
      <c r="BH724" s="1410">
        <f t="shared" si="30"/>
        <v>3.5714285714285712E-2</v>
      </c>
      <c r="BI724" s="1411">
        <f t="shared" si="31"/>
        <v>1.4285714285714285E-2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6" t="str">
        <f t="shared" si="28"/>
        <v xml:space="preserve"> </v>
      </c>
      <c r="AN725" s="2137"/>
      <c r="AO725" s="2138"/>
      <c r="BA725" s="75"/>
      <c r="BB725" s="75"/>
      <c r="BC725" s="75"/>
      <c r="BD725" s="75"/>
      <c r="BE725" s="75"/>
      <c r="BF725" s="75"/>
      <c r="BG725" s="1406">
        <f t="shared" si="29"/>
        <v>4</v>
      </c>
      <c r="BH725" s="1410">
        <f t="shared" si="30"/>
        <v>3.5714285714285712E-2</v>
      </c>
      <c r="BI725" s="1411">
        <f t="shared" si="31"/>
        <v>1.4292635658914728E-2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6" t="str">
        <f t="shared" si="28"/>
        <v xml:space="preserve"> </v>
      </c>
      <c r="AN726" s="2137"/>
      <c r="AO726" s="2138"/>
      <c r="BA726" s="75"/>
      <c r="BB726" s="75"/>
      <c r="BC726" s="75"/>
      <c r="BD726" s="75"/>
      <c r="BE726" s="75"/>
      <c r="BF726" s="75"/>
      <c r="BG726" s="1406">
        <f t="shared" si="29"/>
        <v>26</v>
      </c>
      <c r="BH726" s="1410">
        <f t="shared" si="30"/>
        <v>0.23214285714285715</v>
      </c>
      <c r="BI726" s="1411">
        <f t="shared" si="31"/>
        <v>0.11607142857142858</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6" t="str">
        <f t="shared" si="28"/>
        <v xml:space="preserve"> </v>
      </c>
      <c r="AN727" s="2137"/>
      <c r="AO727" s="2138"/>
      <c r="BA727" s="75"/>
      <c r="BB727" s="75"/>
      <c r="BC727" s="75"/>
      <c r="BD727" s="75"/>
      <c r="BE727" s="75"/>
      <c r="BF727" s="75"/>
      <c r="BG727" s="1406">
        <f t="shared" si="29"/>
        <v>9</v>
      </c>
      <c r="BH727" s="1410">
        <f t="shared" si="30"/>
        <v>8.0357142857142863E-2</v>
      </c>
      <c r="BI727" s="1411">
        <f t="shared" si="31"/>
        <v>4.0178571428571432E-2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6" t="str">
        <f t="shared" si="28"/>
        <v xml:space="preserve"> </v>
      </c>
      <c r="AN728" s="2137"/>
      <c r="AO728" s="2138"/>
      <c r="BA728" s="62"/>
      <c r="BB728" s="326"/>
      <c r="BC728" s="326"/>
      <c r="BD728" s="326"/>
      <c r="BE728" s="781"/>
      <c r="BF728" s="781"/>
      <c r="BG728" s="1406">
        <f t="shared" si="29"/>
        <v>11</v>
      </c>
      <c r="BH728" s="1410">
        <f t="shared" si="30"/>
        <v>9.8214285714285712E-2</v>
      </c>
      <c r="BI728" s="1411">
        <f t="shared" si="31"/>
        <v>4.9107142857142856E-2</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6" t="str">
        <f t="shared" si="28"/>
        <v xml:space="preserve"> </v>
      </c>
      <c r="AN729" s="2137"/>
      <c r="AO729" s="2138"/>
      <c r="BA729" s="326"/>
      <c r="BB729" s="326"/>
      <c r="BC729" s="326"/>
      <c r="BD729" s="326"/>
      <c r="BE729" s="781"/>
      <c r="BF729" s="781"/>
      <c r="BG729" s="1406">
        <f t="shared" si="29"/>
        <v>8</v>
      </c>
      <c r="BH729" s="1410">
        <f t="shared" si="30"/>
        <v>7.1428571428571425E-2</v>
      </c>
      <c r="BI729" s="1411">
        <f t="shared" si="31"/>
        <v>4.2882744495647718E-2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6" t="str">
        <f t="shared" si="28"/>
        <v xml:space="preserve"> </v>
      </c>
      <c r="AN730" s="2137"/>
      <c r="AO730" s="2138"/>
      <c r="BA730" s="326"/>
      <c r="BB730" s="326"/>
      <c r="BC730" s="326"/>
      <c r="BD730" s="326"/>
      <c r="BE730" s="781"/>
      <c r="BF730" s="781"/>
      <c r="BG730" s="1406">
        <f t="shared" si="29"/>
        <v>13</v>
      </c>
      <c r="BH730" s="1410">
        <f t="shared" si="30"/>
        <v>0.11607142857142858</v>
      </c>
      <c r="BI730" s="1411">
        <f t="shared" si="31"/>
        <v>6.9642857142857145E-2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6" t="s">
        <v>954</v>
      </c>
      <c r="C731" s="1777"/>
      <c r="D731" s="1777"/>
      <c r="E731" s="1777"/>
      <c r="F731" s="1778"/>
      <c r="G731" s="1773">
        <f>SUM(G706:J730)</f>
        <v>112</v>
      </c>
      <c r="H731" s="1774"/>
      <c r="I731" s="1774"/>
      <c r="J731" s="1775"/>
      <c r="K731" s="1343"/>
      <c r="L731" s="1343"/>
      <c r="M731" s="1343"/>
      <c r="N731" s="1343"/>
      <c r="O731" s="661" t="s">
        <v>953</v>
      </c>
      <c r="P731" s="662"/>
      <c r="Q731" s="662"/>
      <c r="R731" s="662"/>
      <c r="S731" s="1396"/>
      <c r="T731" s="1795">
        <f>SUM(T706:X730)</f>
        <v>127923</v>
      </c>
      <c r="U731" s="1796"/>
      <c r="V731" s="1796"/>
      <c r="W731" s="1796"/>
      <c r="X731" s="1797"/>
      <c r="Y731" s="1343"/>
      <c r="Z731" s="1343"/>
      <c r="AA731" s="1343"/>
      <c r="AB731" s="1343"/>
      <c r="AC731" s="1397" t="s">
        <v>1230</v>
      </c>
      <c r="AD731" s="1398"/>
      <c r="AE731" s="1398"/>
      <c r="AF731" s="1398"/>
      <c r="AG731" s="1399"/>
      <c r="AH731" s="2139">
        <f>BI715</f>
        <v>0.47500000000000009</v>
      </c>
      <c r="AI731" s="2140"/>
      <c r="AJ731" s="2140"/>
      <c r="AK731" s="2140"/>
      <c r="AL731" s="2141"/>
      <c r="AM731" s="2139">
        <f>BI746</f>
        <v>0.47501549866633325</v>
      </c>
      <c r="AN731" s="2140"/>
      <c r="AO731" s="2141"/>
      <c r="BA731" s="326"/>
      <c r="BB731" s="326"/>
      <c r="BC731" s="326"/>
      <c r="BD731" s="326"/>
      <c r="BE731" s="781"/>
      <c r="BF731" s="781"/>
      <c r="BG731" s="1406">
        <f t="shared" si="29"/>
        <v>11</v>
      </c>
      <c r="BH731" s="1410">
        <f t="shared" si="30"/>
        <v>9.8214285714285712E-2</v>
      </c>
      <c r="BI731" s="1411">
        <f t="shared" si="31"/>
        <v>5.8877814691768185E-2</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2286</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2287</v>
      </c>
      <c r="D734" s="1497"/>
      <c r="E734" s="1497"/>
      <c r="F734" s="1497"/>
      <c r="G734" s="1498"/>
      <c r="H734" s="1498"/>
      <c r="I734" s="1498"/>
      <c r="J734" s="1498"/>
      <c r="K734" s="1497"/>
      <c r="L734" s="1497"/>
      <c r="M734" s="1497"/>
      <c r="N734" s="1497"/>
      <c r="O734" s="1800">
        <f>CQ629</f>
        <v>199</v>
      </c>
      <c r="P734" s="1800"/>
      <c r="Q734" s="1800"/>
      <c r="R734" s="1800"/>
      <c r="S734" s="1499"/>
      <c r="T734" s="1499"/>
      <c r="U734" s="1494" t="s">
        <v>2288</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134</v>
      </c>
      <c r="AA736" s="2146"/>
      <c r="AB736" s="2146"/>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9" t="s">
        <v>2284</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112</v>
      </c>
      <c r="BH746" s="1408">
        <f>SUM(BH721:BH745)</f>
        <v>1</v>
      </c>
      <c r="BI746" s="1408">
        <f>SUM(BI721:BI745)</f>
        <v>0.47501549866633325</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58</v>
      </c>
      <c r="K748" s="1765"/>
      <c r="L748" s="1765"/>
      <c r="M748" s="1765"/>
      <c r="N748" s="1766"/>
      <c r="O748" s="1809" t="s">
        <v>282</v>
      </c>
      <c r="P748" s="1809"/>
      <c r="Q748" s="1809"/>
      <c r="R748" s="1809"/>
      <c r="S748" s="1809"/>
      <c r="T748" s="2130" t="s">
        <v>2210</v>
      </c>
      <c r="U748" s="2131"/>
      <c r="V748" s="2131"/>
      <c r="W748" s="2132"/>
      <c r="X748" s="1764" t="s">
        <v>650</v>
      </c>
      <c r="Y748" s="1765"/>
      <c r="Z748" s="1765"/>
      <c r="AA748" s="1765"/>
      <c r="AB748" s="1766"/>
      <c r="AC748" s="1764" t="s">
        <v>283</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7"/>
      <c r="K749" s="1768"/>
      <c r="L749" s="1768"/>
      <c r="M749" s="1768"/>
      <c r="N749" s="1769"/>
      <c r="O749" s="1809"/>
      <c r="P749" s="1809"/>
      <c r="Q749" s="1809"/>
      <c r="R749" s="1809"/>
      <c r="S749" s="1809"/>
      <c r="T749" s="2133"/>
      <c r="U749" s="2134"/>
      <c r="V749" s="2134"/>
      <c r="W749" s="2135"/>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7"/>
      <c r="K750" s="1768"/>
      <c r="L750" s="1768"/>
      <c r="M750" s="1768"/>
      <c r="N750" s="1769"/>
      <c r="O750" s="1809"/>
      <c r="P750" s="1809"/>
      <c r="Q750" s="1809"/>
      <c r="R750" s="1809"/>
      <c r="S750" s="1809"/>
      <c r="T750" s="2133"/>
      <c r="U750" s="2134"/>
      <c r="V750" s="2134"/>
      <c r="W750" s="2135"/>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0"/>
      <c r="K751" s="1771"/>
      <c r="L751" s="1771"/>
      <c r="M751" s="1771"/>
      <c r="N751" s="1772"/>
      <c r="O751" s="1809"/>
      <c r="P751" s="1809"/>
      <c r="Q751" s="1809"/>
      <c r="R751" s="1809"/>
      <c r="S751" s="1809"/>
      <c r="T751" s="2142"/>
      <c r="U751" s="2143"/>
      <c r="V751" s="2143"/>
      <c r="W751" s="2144"/>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5" t="s">
        <v>844</v>
      </c>
      <c r="K752" s="1786"/>
      <c r="L752" s="1786"/>
      <c r="M752" s="1786"/>
      <c r="N752" s="1787"/>
      <c r="O752" s="1779">
        <v>1</v>
      </c>
      <c r="P752" s="1779"/>
      <c r="Q752" s="1779"/>
      <c r="R752" s="1779"/>
      <c r="S752" s="1779"/>
      <c r="T752" s="2145">
        <v>940</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954</v>
      </c>
      <c r="K756" s="1777"/>
      <c r="L756" s="1777"/>
      <c r="M756" s="1777"/>
      <c r="N756" s="1778"/>
      <c r="O756" s="1869">
        <f>SUM(O752:S755)</f>
        <v>1</v>
      </c>
      <c r="P756" s="1870"/>
      <c r="Q756" s="1870"/>
      <c r="R756" s="1870"/>
      <c r="S756" s="1871"/>
      <c r="X756" s="2147" t="s">
        <v>953</v>
      </c>
      <c r="Y756" s="2148"/>
      <c r="Z756" s="2148"/>
      <c r="AA756" s="2148"/>
      <c r="AB756" s="2149"/>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527</v>
      </c>
      <c r="K758" s="1850"/>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58</v>
      </c>
      <c r="K762" s="1765"/>
      <c r="L762" s="1765"/>
      <c r="M762" s="1765"/>
      <c r="N762" s="1766"/>
      <c r="O762" s="1809" t="s">
        <v>282</v>
      </c>
      <c r="P762" s="1809"/>
      <c r="Q762" s="1809"/>
      <c r="R762" s="1809"/>
      <c r="S762" s="1809"/>
      <c r="T762" s="2130" t="s">
        <v>2210</v>
      </c>
      <c r="U762" s="2131"/>
      <c r="V762" s="2131"/>
      <c r="W762" s="2132"/>
      <c r="X762" s="1764" t="s">
        <v>650</v>
      </c>
      <c r="Y762" s="1765"/>
      <c r="Z762" s="1765"/>
      <c r="AA762" s="1765"/>
      <c r="AB762" s="1766"/>
      <c r="AC762" s="1764" t="s">
        <v>283</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7"/>
      <c r="K763" s="1768"/>
      <c r="L763" s="1768"/>
      <c r="M763" s="1768"/>
      <c r="N763" s="1769"/>
      <c r="O763" s="1809"/>
      <c r="P763" s="1809"/>
      <c r="Q763" s="1809"/>
      <c r="R763" s="1809"/>
      <c r="S763" s="1809"/>
      <c r="T763" s="2133"/>
      <c r="U763" s="2134"/>
      <c r="V763" s="2134"/>
      <c r="W763" s="2135"/>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7"/>
      <c r="K764" s="1768"/>
      <c r="L764" s="1768"/>
      <c r="M764" s="1768"/>
      <c r="N764" s="1769"/>
      <c r="O764" s="1809"/>
      <c r="P764" s="1809"/>
      <c r="Q764" s="1809"/>
      <c r="R764" s="1809"/>
      <c r="S764" s="1809"/>
      <c r="T764" s="2133"/>
      <c r="U764" s="2134"/>
      <c r="V764" s="2134"/>
      <c r="W764" s="2135"/>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0"/>
      <c r="K765" s="1771"/>
      <c r="L765" s="1771"/>
      <c r="M765" s="1771"/>
      <c r="N765" s="1772"/>
      <c r="O765" s="1809"/>
      <c r="P765" s="1809"/>
      <c r="Q765" s="1809"/>
      <c r="R765" s="1809"/>
      <c r="S765" s="1809"/>
      <c r="T765" s="2142"/>
      <c r="U765" s="2143"/>
      <c r="V765" s="2143"/>
      <c r="W765" s="2144"/>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76" t="s">
        <v>954</v>
      </c>
      <c r="K776" s="1777"/>
      <c r="L776" s="1777"/>
      <c r="M776" s="1777"/>
      <c r="N776" s="1778"/>
      <c r="O776" s="1856">
        <f>SUM(O766:S775)</f>
        <v>0</v>
      </c>
      <c r="P776" s="1856"/>
      <c r="Q776" s="1856"/>
      <c r="R776" s="1856"/>
      <c r="S776" s="1856"/>
      <c r="X776" s="1412" t="s">
        <v>953</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9">
        <f>T731+AC756+AC776</f>
        <v>127923</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9">
        <f>(T731+AC756+AC776)*12</f>
        <v>1535076</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3"/>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6">
        <v>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4">
        <v>0</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6">
        <f>'Subsidy Contract Calculation'!I30</f>
        <v>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6">
        <v>16272</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6"/>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0" t="s">
        <v>618</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3">
        <f>SUM(Z791:AE794)</f>
        <v>16272</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3">
        <f>Z795+Y779+Z787</f>
        <v>1551348</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955</v>
      </c>
      <c r="N801" s="2067"/>
      <c r="O801" s="2067"/>
      <c r="P801" s="2068"/>
      <c r="Q801" s="1788" t="s">
        <v>289</v>
      </c>
      <c r="R801" s="1788"/>
      <c r="S801" s="1788"/>
      <c r="T801" s="1788"/>
      <c r="U801" s="1788" t="s">
        <v>290</v>
      </c>
      <c r="V801" s="1788"/>
      <c r="W801" s="1788"/>
      <c r="X801" s="1788"/>
      <c r="Y801" s="1788" t="s">
        <v>291</v>
      </c>
      <c r="Z801" s="1788"/>
      <c r="AA801" s="1788"/>
      <c r="AB801" s="1788"/>
      <c r="AC801" s="1788" t="s">
        <v>36</v>
      </c>
      <c r="AD801" s="1788"/>
      <c r="AE801" s="1788"/>
      <c r="AF801" s="1788"/>
      <c r="AG801" s="2150" t="s">
        <v>619</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8"/>
      <c r="R802" s="1788"/>
      <c r="S802" s="1788"/>
      <c r="T802" s="1788"/>
      <c r="U802" s="1788"/>
      <c r="V802" s="1788"/>
      <c r="W802" s="1788"/>
      <c r="X802" s="1788"/>
      <c r="Y802" s="1788"/>
      <c r="Z802" s="1788"/>
      <c r="AA802" s="1788"/>
      <c r="AB802" s="1788"/>
      <c r="AC802" s="1788"/>
      <c r="AD802" s="1788"/>
      <c r="AE802" s="1788"/>
      <c r="AF802" s="1788"/>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755</v>
      </c>
      <c r="D803" s="1900"/>
      <c r="E803" s="1900"/>
      <c r="F803" s="1900"/>
      <c r="G803" s="1900"/>
      <c r="H803" s="1900"/>
      <c r="I803" s="94"/>
      <c r="J803" s="94"/>
      <c r="K803" s="94"/>
      <c r="L803" s="95"/>
      <c r="M803" s="1723"/>
      <c r="N803" s="1723"/>
      <c r="O803" s="1723"/>
      <c r="P803" s="1723"/>
      <c r="Q803" s="1723">
        <v>15</v>
      </c>
      <c r="R803" s="1723"/>
      <c r="S803" s="1723"/>
      <c r="T803" s="1723"/>
      <c r="U803" s="1723">
        <v>20</v>
      </c>
      <c r="V803" s="1723"/>
      <c r="W803" s="1723"/>
      <c r="X803" s="1723"/>
      <c r="Y803" s="1723">
        <v>24</v>
      </c>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756</v>
      </c>
      <c r="D804" s="1722"/>
      <c r="E804" s="1722"/>
      <c r="F804" s="1722"/>
      <c r="G804" s="1722"/>
      <c r="H804" s="1722"/>
      <c r="I804" s="91"/>
      <c r="J804" s="91"/>
      <c r="K804" s="91"/>
      <c r="L804" s="92"/>
      <c r="M804" s="1723"/>
      <c r="N804" s="1723"/>
      <c r="O804" s="1723"/>
      <c r="P804" s="1723"/>
      <c r="Q804" s="1723">
        <v>15</v>
      </c>
      <c r="R804" s="1723"/>
      <c r="S804" s="1723"/>
      <c r="T804" s="1723"/>
      <c r="U804" s="1723">
        <v>19</v>
      </c>
      <c r="V804" s="1723"/>
      <c r="W804" s="1723"/>
      <c r="X804" s="1723"/>
      <c r="Y804" s="1723">
        <v>24</v>
      </c>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77</v>
      </c>
      <c r="D805" s="1722"/>
      <c r="E805" s="1722"/>
      <c r="F805" s="1722"/>
      <c r="G805" s="1722"/>
      <c r="H805" s="1722"/>
      <c r="I805" s="110"/>
      <c r="J805" s="110"/>
      <c r="K805" s="110"/>
      <c r="L805" s="111"/>
      <c r="M805" s="1723"/>
      <c r="N805" s="1723"/>
      <c r="O805" s="1723"/>
      <c r="P805" s="1723"/>
      <c r="Q805" s="1723">
        <v>8</v>
      </c>
      <c r="R805" s="1723"/>
      <c r="S805" s="1723"/>
      <c r="T805" s="1723"/>
      <c r="U805" s="1723">
        <v>10</v>
      </c>
      <c r="V805" s="1723"/>
      <c r="W805" s="1723"/>
      <c r="X805" s="1723"/>
      <c r="Y805" s="1723">
        <v>12</v>
      </c>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193</v>
      </c>
      <c r="D806" s="1722"/>
      <c r="E806" s="1722"/>
      <c r="F806" s="1722"/>
      <c r="G806" s="1722"/>
      <c r="H806" s="1722"/>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1" t="s">
        <v>857</v>
      </c>
      <c r="D807" s="1722"/>
      <c r="E807" s="1722"/>
      <c r="F807" s="1722"/>
      <c r="G807" s="1722"/>
      <c r="H807" s="1722"/>
      <c r="I807" s="110"/>
      <c r="J807" s="110"/>
      <c r="K807" s="110"/>
      <c r="L807" s="111"/>
      <c r="M807" s="1723"/>
      <c r="N807" s="1723"/>
      <c r="O807" s="1723"/>
      <c r="P807" s="1723"/>
      <c r="Q807" s="1723">
        <v>25</v>
      </c>
      <c r="R807" s="1723"/>
      <c r="S807" s="1723"/>
      <c r="T807" s="1723"/>
      <c r="U807" s="1723">
        <v>30</v>
      </c>
      <c r="V807" s="1723"/>
      <c r="W807" s="1723"/>
      <c r="X807" s="1723"/>
      <c r="Y807" s="1723">
        <v>37</v>
      </c>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1025</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683" t="s">
        <v>2418</v>
      </c>
      <c r="G809" s="1684"/>
      <c r="H809" s="1684"/>
      <c r="I809" s="1684"/>
      <c r="J809" s="1684"/>
      <c r="K809" s="1684"/>
      <c r="L809" s="1685"/>
      <c r="M809" s="1723"/>
      <c r="N809" s="1723"/>
      <c r="O809" s="1723"/>
      <c r="P809" s="1723"/>
      <c r="Q809" s="1723">
        <v>11</v>
      </c>
      <c r="R809" s="1723"/>
      <c r="S809" s="1723"/>
      <c r="T809" s="1723"/>
      <c r="U809" s="1723">
        <v>15</v>
      </c>
      <c r="V809" s="1723"/>
      <c r="W809" s="1723"/>
      <c r="X809" s="1723"/>
      <c r="Y809" s="1723">
        <v>19</v>
      </c>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953</v>
      </c>
      <c r="D810" s="1777"/>
      <c r="E810" s="1777"/>
      <c r="F810" s="1777"/>
      <c r="G810" s="1777"/>
      <c r="H810" s="1777"/>
      <c r="I810" s="1777"/>
      <c r="J810" s="1777"/>
      <c r="K810" s="1777"/>
      <c r="L810" s="1778"/>
      <c r="M810" s="1868">
        <f>SUM(M803:P809)</f>
        <v>0</v>
      </c>
      <c r="N810" s="1868"/>
      <c r="O810" s="1868"/>
      <c r="P810" s="1868"/>
      <c r="Q810" s="1868">
        <f>SUM(Q803:T809)</f>
        <v>74</v>
      </c>
      <c r="R810" s="1868"/>
      <c r="S810" s="1868"/>
      <c r="T810" s="1868"/>
      <c r="U810" s="1868">
        <f>SUM(U803:X809)</f>
        <v>94</v>
      </c>
      <c r="V810" s="1868"/>
      <c r="W810" s="1868"/>
      <c r="X810" s="1868"/>
      <c r="Y810" s="1868">
        <f>SUM(Y803:AB809)</f>
        <v>116</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3" t="s">
        <v>2419</v>
      </c>
      <c r="D815" s="2154"/>
      <c r="E815" s="2154"/>
      <c r="F815" s="2154"/>
      <c r="G815" s="2154"/>
      <c r="H815" s="2154"/>
      <c r="I815" s="2154"/>
      <c r="J815" s="2154"/>
      <c r="K815" s="2154"/>
      <c r="L815" s="2154"/>
      <c r="M815" s="2154"/>
      <c r="N815" s="2154"/>
      <c r="O815" s="2154"/>
      <c r="P815" s="2154"/>
      <c r="Q815" s="2154"/>
      <c r="R815" s="2154"/>
      <c r="S815" s="2154"/>
      <c r="T815" s="2154"/>
      <c r="U815" s="2154"/>
      <c r="V815" s="2154"/>
      <c r="W815" s="2154"/>
      <c r="X815" s="2154"/>
      <c r="Y815" s="2154"/>
      <c r="Z815" s="2154"/>
      <c r="AA815" s="2154"/>
      <c r="AB815" s="2154"/>
      <c r="AC815" s="2154"/>
      <c r="AD815" s="2154"/>
      <c r="AE815" s="2154"/>
      <c r="AF815" s="2154"/>
      <c r="AG815" s="2154"/>
      <c r="AH815" s="2154"/>
      <c r="AI815" s="2154"/>
      <c r="AJ815" s="215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7" t="s">
        <v>408</v>
      </c>
      <c r="BB819" s="1728"/>
      <c r="BC819" s="72"/>
      <c r="BD819" s="72"/>
      <c r="BE819" s="72"/>
      <c r="BF819" s="65" t="s">
        <v>465</v>
      </c>
      <c r="BG819" s="65"/>
      <c r="BH819" s="65"/>
      <c r="BI819" s="65"/>
      <c r="BJ819" s="65"/>
      <c r="BK819" s="65"/>
      <c r="BL819" s="65"/>
      <c r="BM819" s="65"/>
      <c r="BN819" s="65"/>
      <c r="BO819" s="1724" t="str">
        <f>T189</f>
        <v>Los Angeles</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512</v>
      </c>
      <c r="J820" s="90" t="s">
        <v>360</v>
      </c>
      <c r="K820" s="91"/>
      <c r="L820" s="91"/>
      <c r="M820" s="91"/>
      <c r="N820" s="91"/>
      <c r="O820" s="91"/>
      <c r="P820" s="91"/>
      <c r="Q820" s="91"/>
      <c r="R820" s="91"/>
      <c r="S820" s="91"/>
      <c r="T820" s="91"/>
      <c r="U820" s="91"/>
      <c r="V820" s="92"/>
      <c r="W820" s="1743">
        <v>7409</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43">
        <v>3600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43">
        <v>24224</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43">
        <v>1576</v>
      </c>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683" t="s">
        <v>2432</v>
      </c>
      <c r="N824" s="1684"/>
      <c r="O824" s="1684"/>
      <c r="P824" s="1684"/>
      <c r="Q824" s="1684"/>
      <c r="R824" s="1684"/>
      <c r="S824" s="1684"/>
      <c r="T824" s="1684"/>
      <c r="U824" s="1684"/>
      <c r="V824" s="1685"/>
      <c r="W824" s="1743">
        <v>41667</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3">
        <f>SUM(W820:AC824)</f>
        <v>78476</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6">
        <v>83520</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1"/>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1">
        <v>51504</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96609</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148113</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1">
        <v>90740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2">
        <v>1</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2071">
        <v>85440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822" t="s">
        <v>618</v>
      </c>
      <c r="N839" s="1684"/>
      <c r="O839" s="1684"/>
      <c r="P839" s="1684"/>
      <c r="Q839" s="1684"/>
      <c r="R839" s="1684"/>
      <c r="S839" s="1684"/>
      <c r="T839" s="1684"/>
      <c r="U839" s="1684"/>
      <c r="V839" s="1685"/>
      <c r="W839" s="2071">
        <v>66777</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242957</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74480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43">
        <v>6212</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3">
        <v>25782</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3">
        <v>35000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3">
        <v>6166</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3">
        <v>32995</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43">
        <v>0</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683" t="s">
        <v>2433</v>
      </c>
      <c r="N849" s="1684"/>
      <c r="O849" s="1684"/>
      <c r="P849" s="1684"/>
      <c r="Q849" s="1684"/>
      <c r="R849" s="1684"/>
      <c r="S849" s="1684"/>
      <c r="T849" s="1684"/>
      <c r="U849" s="1684"/>
      <c r="V849" s="1685"/>
      <c r="W849" s="1743">
        <v>31125</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9">
        <f>SUM(W843:AC849)</f>
        <v>137280</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309</v>
      </c>
      <c r="K852" s="91"/>
      <c r="L852" s="91"/>
      <c r="M852" s="1683" t="s">
        <v>2434</v>
      </c>
      <c r="N852" s="1684"/>
      <c r="O852" s="1684"/>
      <c r="P852" s="1684"/>
      <c r="Q852" s="1684"/>
      <c r="R852" s="1684"/>
      <c r="S852" s="1684"/>
      <c r="T852" s="1684"/>
      <c r="U852" s="1684"/>
      <c r="V852" s="1685"/>
      <c r="W852" s="1686">
        <v>2735</v>
      </c>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309</v>
      </c>
      <c r="K853" s="91"/>
      <c r="L853" s="91"/>
      <c r="M853" s="1683" t="s">
        <v>618</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822" t="s">
        <v>618</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822" t="s">
        <v>618</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822" t="s">
        <v>618</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2735</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767561</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1">
        <f>O776+O756+G731</f>
        <v>113</v>
      </c>
      <c r="AD862" s="2162"/>
      <c r="AE862" s="2162"/>
      <c r="AF862" s="2162"/>
      <c r="AG862" s="2162"/>
      <c r="AH862" s="216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383</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1">
        <f>IF(ISERROR((ROUNDDOWN(AC861/AC862,0))),0,(ROUNDDOWN(AC861/AC862,0)))</f>
        <v>6792</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2"/>
      <c r="AD864" s="2157"/>
      <c r="AE864" s="2157"/>
      <c r="AF864" s="2157"/>
      <c r="AG864" s="2157"/>
      <c r="AH864" s="215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6">
        <v>42000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6">
        <v>56500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686"/>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6">
        <v>2000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3" t="s">
        <v>1308</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1308</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6"/>
      <c r="AD873" s="2156"/>
      <c r="AE873" s="2156"/>
      <c r="AF873" s="2156"/>
      <c r="AG873" s="2156"/>
      <c r="AH873" s="2156"/>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5"/>
      <c r="AO874" s="2165"/>
      <c r="AP874" s="1762"/>
      <c r="AQ874" s="1762"/>
      <c r="AR874" s="1762"/>
      <c r="AS874" s="176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9" t="s">
        <v>138</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8" t="s">
        <v>1043</v>
      </c>
      <c r="G891" s="2159"/>
      <c r="H891" s="2159"/>
      <c r="I891" s="2159"/>
      <c r="J891" s="2159"/>
      <c r="K891" s="2159"/>
      <c r="L891" s="2159"/>
      <c r="M891" s="2159"/>
      <c r="N891" s="2159"/>
      <c r="O891" s="2159"/>
      <c r="P891" s="2159"/>
      <c r="Q891" s="2159"/>
      <c r="R891" s="2159"/>
      <c r="S891" s="2159"/>
      <c r="T891" s="2160"/>
      <c r="U891" s="1813" t="s">
        <v>382</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1125</v>
      </c>
      <c r="G892" s="1816"/>
      <c r="H892" s="1816"/>
      <c r="I892" s="1816"/>
      <c r="J892" s="1816"/>
      <c r="K892" s="1816"/>
      <c r="L892" s="1816"/>
      <c r="M892" s="1816"/>
      <c r="N892" s="1816"/>
      <c r="O892" s="1816"/>
      <c r="P892" s="1816"/>
      <c r="Q892" s="1816"/>
      <c r="R892" s="1816"/>
      <c r="S892" s="1816"/>
      <c r="T892" s="1875"/>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6"/>
      <c r="U893" s="1817"/>
      <c r="V893" s="1818"/>
      <c r="W893" s="1818"/>
      <c r="X893" s="1818"/>
      <c r="Y893" s="1818"/>
      <c r="Z893" s="1818"/>
      <c r="AA893" s="310"/>
      <c r="AB893" s="2164" t="s">
        <v>60</v>
      </c>
      <c r="AC893" s="2164"/>
      <c r="AD893" s="2164"/>
      <c r="AE893" s="216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2" t="s">
        <v>134</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2" t="s">
        <v>134</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2" t="s">
        <v>134</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2" t="s">
        <v>134</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2" t="s">
        <v>134</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2" t="s">
        <v>134</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2" t="s">
        <v>134</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2" t="s">
        <v>134</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2" t="s">
        <v>134</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2" t="s">
        <v>134</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3" t="s">
        <v>134</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2" t="s">
        <v>134</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2" t="s">
        <v>134</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2" t="s">
        <v>134</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5" t="s">
        <v>527</v>
      </c>
      <c r="Q908" s="1713"/>
      <c r="R908" s="1713"/>
      <c r="S908" s="1713"/>
      <c r="T908" s="1714"/>
      <c r="U908" s="1712" t="s">
        <v>134</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700" t="s">
        <v>618</v>
      </c>
      <c r="J909" s="1701"/>
      <c r="K909" s="1701"/>
      <c r="L909" s="1701"/>
      <c r="M909" s="1701"/>
      <c r="N909" s="1701"/>
      <c r="O909" s="1701"/>
      <c r="P909" s="1701"/>
      <c r="Q909" s="1701"/>
      <c r="R909" s="1701"/>
      <c r="S909" s="1701"/>
      <c r="T909" s="1702"/>
      <c r="U909" s="1712" t="s">
        <v>134</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00" t="s">
        <v>618</v>
      </c>
      <c r="J910" s="1701"/>
      <c r="K910" s="1701"/>
      <c r="L910" s="1701"/>
      <c r="M910" s="1701"/>
      <c r="N910" s="1701"/>
      <c r="O910" s="1701"/>
      <c r="P910" s="1701"/>
      <c r="Q910" s="1701"/>
      <c r="R910" s="1701"/>
      <c r="S910" s="1701"/>
      <c r="T910" s="1702"/>
      <c r="U910" s="1712" t="s">
        <v>134</v>
      </c>
      <c r="V910" s="1713"/>
      <c r="W910" s="1713"/>
      <c r="X910" s="1713"/>
      <c r="Y910" s="1713"/>
      <c r="Z910" s="1714"/>
      <c r="AA910" s="1740"/>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00" t="s">
        <v>618</v>
      </c>
      <c r="J911" s="1701"/>
      <c r="K911" s="1701"/>
      <c r="L911" s="1701"/>
      <c r="M911" s="1701"/>
      <c r="N911" s="1701"/>
      <c r="O911" s="1701"/>
      <c r="P911" s="1701"/>
      <c r="Q911" s="1701"/>
      <c r="R911" s="1701"/>
      <c r="S911" s="1701"/>
      <c r="T911" s="1702"/>
      <c r="U911" s="1712" t="s">
        <v>134</v>
      </c>
      <c r="V911" s="1713"/>
      <c r="W911" s="1713"/>
      <c r="X911" s="1713"/>
      <c r="Y911" s="1713"/>
      <c r="Z911" s="1714"/>
      <c r="AA911" s="1740"/>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700" t="s">
        <v>618</v>
      </c>
      <c r="J912" s="1701"/>
      <c r="K912" s="1701"/>
      <c r="L912" s="1701"/>
      <c r="M912" s="1701"/>
      <c r="N912" s="1701"/>
      <c r="O912" s="1701"/>
      <c r="P912" s="1701"/>
      <c r="Q912" s="1701"/>
      <c r="R912" s="1701"/>
      <c r="S912" s="1701"/>
      <c r="T912" s="1702"/>
      <c r="U912" s="1712" t="s">
        <v>134</v>
      </c>
      <c r="V912" s="1713"/>
      <c r="W912" s="1713"/>
      <c r="X912" s="1713"/>
      <c r="Y912" s="1713"/>
      <c r="Z912" s="1714"/>
      <c r="AA912" s="1740"/>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909"/>
      <c r="M917" s="1866"/>
      <c r="N917" s="1866"/>
      <c r="O917" s="1866"/>
      <c r="P917" s="1866"/>
      <c r="Q917" s="1866"/>
      <c r="R917" s="1866"/>
      <c r="S917" s="1910"/>
      <c r="U917" s="117" t="s">
        <v>900</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9"/>
      <c r="M918" s="1866"/>
      <c r="N918" s="1866"/>
      <c r="O918" s="1866"/>
      <c r="P918" s="1866"/>
      <c r="Q918" s="1866"/>
      <c r="R918" s="1866"/>
      <c r="S918" s="1910"/>
      <c r="U918" s="117" t="s">
        <v>901</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6" t="s">
        <v>85</v>
      </c>
      <c r="M919" s="1907"/>
      <c r="N919" s="1907"/>
      <c r="O919" s="1907"/>
      <c r="P919" s="1907"/>
      <c r="Q919" s="1907"/>
      <c r="R919" s="1907"/>
      <c r="S919" s="1908"/>
      <c r="U919" s="117" t="s">
        <v>1195</v>
      </c>
      <c r="V919" s="91"/>
      <c r="W919" s="91"/>
      <c r="AE919" s="1715" t="s">
        <v>85</v>
      </c>
      <c r="AF919" s="1716"/>
      <c r="AG919" s="1716"/>
      <c r="AH919" s="1716"/>
      <c r="AI919" s="1716"/>
      <c r="AJ919" s="1716"/>
      <c r="AK919" s="1717"/>
      <c r="AL919" s="119"/>
      <c r="AM919" s="75"/>
      <c r="AN919" s="75"/>
      <c r="AO919" s="75"/>
      <c r="AP919" s="75"/>
      <c r="AQ919" s="75"/>
      <c r="AR919" s="75"/>
      <c r="AS919" s="75"/>
      <c r="AT919" s="75"/>
      <c r="AU919" s="75"/>
      <c r="AV919" s="75"/>
      <c r="AW919" s="66" t="s">
        <v>645</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7"/>
      <c r="M920" s="1748"/>
      <c r="N920" s="1748"/>
      <c r="O920" s="1748"/>
      <c r="P920" s="1748"/>
      <c r="Q920" s="1748"/>
      <c r="R920" s="1748"/>
      <c r="S920" s="1749"/>
      <c r="U920" s="117" t="s">
        <v>902</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0"/>
      <c r="M921" s="1861"/>
      <c r="N921" s="1861"/>
      <c r="O921" s="1861"/>
      <c r="P921" s="1861"/>
      <c r="Q921" s="1861"/>
      <c r="R921" s="1861"/>
      <c r="S921" s="1862"/>
      <c r="U921" s="117" t="s">
        <v>903</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646</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6"/>
      <c r="M922" s="1687"/>
      <c r="N922" s="1687"/>
      <c r="O922" s="1687"/>
      <c r="P922" s="1687"/>
      <c r="Q922" s="1687"/>
      <c r="R922" s="1687"/>
      <c r="S922" s="1688"/>
      <c r="U922" s="117" t="s">
        <v>904</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162</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6"/>
      <c r="M923" s="1687"/>
      <c r="N923" s="1687"/>
      <c r="O923" s="1687"/>
      <c r="P923" s="1687"/>
      <c r="Q923" s="1687"/>
      <c r="R923" s="1687"/>
      <c r="S923" s="1688"/>
      <c r="U923" s="117" t="s">
        <v>905</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647</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7"/>
      <c r="M924" s="1858"/>
      <c r="N924" s="1858"/>
      <c r="O924" s="1858"/>
      <c r="P924" s="1858"/>
      <c r="Q924" s="1858"/>
      <c r="R924" s="1858"/>
      <c r="S924" s="1859"/>
      <c r="U924" s="117" t="s">
        <v>850</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648</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90"/>
      <c r="N929" s="1691"/>
      <c r="O929" s="1691"/>
      <c r="P929" s="1691"/>
      <c r="Q929" s="1691"/>
      <c r="R929" s="1691"/>
      <c r="S929" s="1692"/>
      <c r="T929" s="117" t="s">
        <v>1032</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90"/>
      <c r="N930" s="1691"/>
      <c r="O930" s="1691"/>
      <c r="P930" s="1691"/>
      <c r="Q930" s="1691"/>
      <c r="R930" s="1691"/>
      <c r="S930" s="1692"/>
      <c r="T930" s="117" t="s">
        <v>1031</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0" t="s">
        <v>134</v>
      </c>
      <c r="N931" s="1654"/>
      <c r="O931" s="1654"/>
      <c r="P931" s="1654"/>
      <c r="Q931" s="1654"/>
      <c r="R931" s="1654"/>
      <c r="S931" s="1711"/>
      <c r="T931" s="90" t="s">
        <v>622</v>
      </c>
      <c r="U931" s="91"/>
      <c r="V931" s="91"/>
      <c r="W931" s="91"/>
      <c r="X931" s="91"/>
      <c r="Y931" s="91"/>
      <c r="Z931" s="92"/>
      <c r="AA931" s="1690"/>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90"/>
      <c r="N932" s="1691"/>
      <c r="O932" s="1691"/>
      <c r="P932" s="1691"/>
      <c r="Q932" s="1691"/>
      <c r="R932" s="1691"/>
      <c r="S932" s="1692"/>
      <c r="T932" s="90" t="s">
        <v>623</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90"/>
      <c r="N933" s="1691"/>
      <c r="O933" s="1691"/>
      <c r="P933" s="1691"/>
      <c r="Q933" s="1691"/>
      <c r="R933" s="1691"/>
      <c r="S933" s="1692"/>
      <c r="T933" s="90" t="s">
        <v>538</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5" t="s">
        <v>85</v>
      </c>
      <c r="N934" s="1716"/>
      <c r="O934" s="1716"/>
      <c r="P934" s="1716"/>
      <c r="Q934" s="1716"/>
      <c r="R934" s="1716"/>
      <c r="S934" s="1717"/>
      <c r="T934" s="1896"/>
      <c r="U934" s="1897"/>
      <c r="V934" s="1897"/>
      <c r="W934" s="1897"/>
      <c r="X934" s="1897"/>
      <c r="Y934" s="1897"/>
      <c r="Z934" s="1898"/>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90"/>
      <c r="N935" s="1691"/>
      <c r="O935" s="1691"/>
      <c r="P935" s="1691"/>
      <c r="Q935" s="1691"/>
      <c r="R935" s="1691"/>
      <c r="S935" s="1692"/>
      <c r="T935" s="1896"/>
      <c r="U935" s="1897"/>
      <c r="V935" s="1897"/>
      <c r="W935" s="1897"/>
      <c r="X935" s="1897"/>
      <c r="Y935" s="1897"/>
      <c r="Z935" s="1898"/>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0" t="s">
        <v>527</v>
      </c>
      <c r="P936" s="1711"/>
      <c r="Q936" s="228"/>
      <c r="R936" s="228"/>
      <c r="S936" s="229"/>
      <c r="T936" s="85" t="s">
        <v>309</v>
      </c>
      <c r="U936" s="86"/>
      <c r="V936" s="86"/>
      <c r="W936" s="1822" t="s">
        <v>618</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250</v>
      </c>
      <c r="G937" s="1900"/>
      <c r="H937" s="1900"/>
      <c r="I937" s="1900"/>
      <c r="J937" s="1900"/>
      <c r="K937" s="1900"/>
      <c r="L937" s="1900"/>
      <c r="M937" s="1690"/>
      <c r="N937" s="1691"/>
      <c r="O937" s="1691"/>
      <c r="P937" s="1691"/>
      <c r="Q937" s="1691"/>
      <c r="R937" s="1691"/>
      <c r="S937" s="1692"/>
      <c r="T937" s="93"/>
      <c r="U937" s="94"/>
      <c r="V937" s="94"/>
      <c r="W937" s="94"/>
      <c r="X937" s="94"/>
      <c r="Y937" s="94"/>
      <c r="Z937" s="351" t="s">
        <v>251</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139</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464</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341094</v>
      </c>
      <c r="S947" s="1739"/>
      <c r="T947" s="1739"/>
      <c r="U947" s="1739"/>
      <c r="V947" s="1739"/>
      <c r="W947" s="1739"/>
      <c r="X947" s="1739"/>
      <c r="Y947" s="1739"/>
      <c r="Z947" s="1739"/>
      <c r="AA947" s="1739"/>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487</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393278</v>
      </c>
      <c r="S948" s="1739"/>
      <c r="T948" s="1739"/>
      <c r="U948" s="1739"/>
      <c r="V948" s="1739"/>
      <c r="W948" s="1739"/>
      <c r="X948" s="1739"/>
      <c r="Y948" s="1739"/>
      <c r="Z948" s="1739"/>
      <c r="AA948" s="1739"/>
      <c r="AB948" s="1883">
        <f>BS652</f>
        <v>54</v>
      </c>
      <c r="AC948" s="1884"/>
      <c r="AD948" s="1884"/>
      <c r="AE948" s="1884"/>
      <c r="AF948" s="1884"/>
      <c r="AG948" s="1884"/>
      <c r="AH948" s="1884"/>
      <c r="AI948" s="1885"/>
      <c r="AJ948" s="1886">
        <f>IF(ISERROR((R948*AB948)),0,(R948*AB948))</f>
        <v>21237012</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844</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474400</v>
      </c>
      <c r="S949" s="1739"/>
      <c r="T949" s="1739"/>
      <c r="U949" s="1739"/>
      <c r="V949" s="1739"/>
      <c r="W949" s="1739"/>
      <c r="X949" s="1739"/>
      <c r="Y949" s="1739"/>
      <c r="Z949" s="1739"/>
      <c r="AA949" s="1739"/>
      <c r="AB949" s="1883">
        <f>BX652</f>
        <v>30</v>
      </c>
      <c r="AC949" s="1884"/>
      <c r="AD949" s="1884"/>
      <c r="AE949" s="1884"/>
      <c r="AF949" s="1884"/>
      <c r="AG949" s="1884"/>
      <c r="AH949" s="1884"/>
      <c r="AI949" s="1885"/>
      <c r="AJ949" s="1886">
        <f>IF(ISERROR((R949*AB949)),0,(R949*AB949))</f>
        <v>14232000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845</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607232</v>
      </c>
      <c r="S950" s="1739"/>
      <c r="T950" s="1739"/>
      <c r="U950" s="1739"/>
      <c r="V950" s="1739"/>
      <c r="W950" s="1739"/>
      <c r="X950" s="1739"/>
      <c r="Y950" s="1739"/>
      <c r="Z950" s="1739"/>
      <c r="AA950" s="1739"/>
      <c r="AB950" s="1883">
        <f>CC652</f>
        <v>29</v>
      </c>
      <c r="AC950" s="1884"/>
      <c r="AD950" s="1884"/>
      <c r="AE950" s="1884"/>
      <c r="AF950" s="1884"/>
      <c r="AG950" s="1884"/>
      <c r="AH950" s="1884"/>
      <c r="AI950" s="1885"/>
      <c r="AJ950" s="1886">
        <f>IF(ISERROR((R950*AB950)),0,(R950*AB950))</f>
        <v>17609728</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858</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676494</v>
      </c>
      <c r="S951" s="1739"/>
      <c r="T951" s="1739"/>
      <c r="U951" s="1739"/>
      <c r="V951" s="1739"/>
      <c r="W951" s="1739"/>
      <c r="X951" s="1739"/>
      <c r="Y951" s="1739"/>
      <c r="Z951" s="1739"/>
      <c r="AA951" s="1739"/>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4" t="s">
        <v>1042</v>
      </c>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6"/>
      <c r="AB952" s="1883">
        <f>SUM(AB947:AI951)</f>
        <v>113</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7" t="s">
        <v>810</v>
      </c>
      <c r="C953" s="2188"/>
      <c r="D953" s="2188"/>
      <c r="E953" s="2188"/>
      <c r="F953" s="2188"/>
      <c r="G953" s="2188"/>
      <c r="H953" s="2188"/>
      <c r="I953" s="2188"/>
      <c r="J953" s="2188"/>
      <c r="K953" s="2188"/>
      <c r="L953" s="2188"/>
      <c r="M953" s="2188"/>
      <c r="N953" s="2188"/>
      <c r="O953" s="2188"/>
      <c r="P953" s="2188"/>
      <c r="Q953" s="2188"/>
      <c r="R953" s="2188"/>
      <c r="S953" s="2188"/>
      <c r="T953" s="2188"/>
      <c r="U953" s="2188"/>
      <c r="V953" s="2188"/>
      <c r="W953" s="2188"/>
      <c r="X953" s="2188"/>
      <c r="Y953" s="2188"/>
      <c r="Z953" s="2188"/>
      <c r="AA953" s="2188"/>
      <c r="AB953" s="2188"/>
      <c r="AC953" s="2188"/>
      <c r="AD953" s="2188"/>
      <c r="AE953" s="2188"/>
      <c r="AF953" s="2188"/>
      <c r="AG953" s="2188"/>
      <c r="AH953" s="2188"/>
      <c r="AI953" s="2189"/>
      <c r="AJ953" s="1886">
        <f>SUM(AJ947:AQ951)</f>
        <v>53078740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0"/>
      <c r="C954" s="2191"/>
      <c r="D954" s="2191"/>
      <c r="E954" s="2191"/>
      <c r="F954" s="2191"/>
      <c r="G954" s="2191"/>
      <c r="H954" s="2191"/>
      <c r="I954" s="2191"/>
      <c r="J954" s="2191"/>
      <c r="K954" s="2191"/>
      <c r="L954" s="2191"/>
      <c r="M954" s="2191"/>
      <c r="N954" s="2191"/>
      <c r="O954" s="2191"/>
      <c r="P954" s="2191"/>
      <c r="Q954" s="2191"/>
      <c r="R954" s="2191"/>
      <c r="S954" s="2191"/>
      <c r="T954" s="2191"/>
      <c r="U954" s="2191"/>
      <c r="V954" s="2191"/>
      <c r="W954" s="2191"/>
      <c r="X954" s="2191"/>
      <c r="Y954" s="2191"/>
      <c r="Z954" s="2191"/>
      <c r="AA954" s="2191"/>
      <c r="AB954" s="2191"/>
      <c r="AC954" s="2191"/>
      <c r="AD954" s="2191"/>
      <c r="AE954" s="2192"/>
      <c r="AF954" s="2193" t="s">
        <v>524</v>
      </c>
      <c r="AG954" s="2194"/>
      <c r="AH954" s="2194"/>
      <c r="AI954" s="2195"/>
      <c r="AJ954" s="2190"/>
      <c r="AK954" s="2191"/>
      <c r="AL954" s="2191"/>
      <c r="AM954" s="2191"/>
      <c r="AN954" s="2191"/>
      <c r="AO954" s="2191"/>
      <c r="AP954" s="2191"/>
      <c r="AQ954" s="21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9" t="s">
        <v>2087</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2" t="s">
        <v>118</v>
      </c>
      <c r="AH955" s="2183"/>
      <c r="AI955" s="131"/>
      <c r="AJ955" s="1916">
        <f>ROUND(IF(AND(AG955="yes",D957&gt;0),AJ953*0.2,0),0)</f>
        <v>10615748</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2214</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2483</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2215</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527</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2088</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1" t="s">
        <v>2216</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527</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2217</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1" t="s">
        <v>2089</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527</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2090</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1" t="s">
        <v>2091</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527</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2092</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9" t="s">
        <v>2093</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527</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2218</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3" t="s">
        <v>2094</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28"/>
      <c r="AG977" s="1914" t="s">
        <v>527</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6"/>
      <c r="E978" s="2177"/>
      <c r="F978" s="2177"/>
      <c r="G978" s="2177"/>
      <c r="H978" s="2177"/>
      <c r="I978" s="2177"/>
      <c r="J978" s="2177"/>
      <c r="K978" s="2177"/>
      <c r="L978" s="2177"/>
      <c r="M978" s="2177"/>
      <c r="N978" s="2177"/>
      <c r="O978" s="2177"/>
      <c r="P978" s="2177"/>
      <c r="Q978" s="2177"/>
      <c r="R978" s="2177"/>
      <c r="S978" s="2177"/>
      <c r="T978" s="2177"/>
      <c r="U978" s="2177"/>
      <c r="V978" s="2177"/>
      <c r="W978" s="2177"/>
      <c r="X978" s="2177"/>
      <c r="Y978" s="2177"/>
      <c r="Z978" s="2177"/>
      <c r="AA978" s="2177"/>
      <c r="AB978" s="2177"/>
      <c r="AC978" s="2177"/>
      <c r="AD978" s="2177"/>
      <c r="AE978" s="2178"/>
      <c r="AF978" s="1703">
        <f>IF(AG977="yes","Please Select Type and Enter Amount:",0)</f>
        <v>0</v>
      </c>
      <c r="AG978" s="1704"/>
      <c r="AH978" s="1704"/>
      <c r="AI978" s="1705"/>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2095</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3"/>
      <c r="AG979" s="1704"/>
      <c r="AH979" s="1704"/>
      <c r="AI979" s="1705"/>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6"/>
      <c r="AG980" s="1706"/>
      <c r="AH980" s="1706"/>
      <c r="AI980" s="1706"/>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79" t="s">
        <v>134</v>
      </c>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706"/>
      <c r="AG981" s="1706"/>
      <c r="AH981" s="1706"/>
      <c r="AI981" s="1706"/>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1" t="s">
        <v>2096</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118</v>
      </c>
      <c r="AH982" s="1915"/>
      <c r="AI982" s="131"/>
      <c r="AJ982" s="1916">
        <f>ROUND(IF(AG982="Yes",AF984,0),0)</f>
        <v>1808493</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2219</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7" t="str">
        <f>IF(AG982="yes","Please Enter Amount:",0)</f>
        <v>Please Enter Amount:</v>
      </c>
      <c r="AG983" s="1708"/>
      <c r="AH983" s="1708"/>
      <c r="AI983" s="1709"/>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6">
        <v>1808493</v>
      </c>
      <c r="AG984" s="1706"/>
      <c r="AH984" s="1706"/>
      <c r="AI984" s="1706"/>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6"/>
      <c r="AG985" s="1706"/>
      <c r="AH985" s="1706"/>
      <c r="AI985" s="1706"/>
      <c r="AJ985" s="1919"/>
      <c r="AK985" s="1920"/>
      <c r="AL985" s="1920"/>
      <c r="AM985" s="1920"/>
      <c r="AN985" s="1920"/>
      <c r="AO985" s="1920"/>
      <c r="AP985" s="1920"/>
      <c r="AQ985" s="1921"/>
    </row>
    <row r="986" spans="1:97" ht="12.75" customHeight="1">
      <c r="A986" s="65"/>
      <c r="B986" s="128"/>
      <c r="C986" s="858" t="s">
        <v>634</v>
      </c>
      <c r="D986" s="1939" t="s">
        <v>2097</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527</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2098</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850000000000001" customHeight="1">
      <c r="A989" s="857"/>
      <c r="B989" s="124"/>
      <c r="C989" s="858" t="s">
        <v>637</v>
      </c>
      <c r="D989" s="1911" t="s">
        <v>2220</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527</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8" t="s">
        <v>2221</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9"/>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9"/>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0"/>
      <c r="E992" s="2171"/>
      <c r="F992" s="2171"/>
      <c r="G992" s="2171"/>
      <c r="H992" s="2171"/>
      <c r="I992" s="2171"/>
      <c r="J992" s="2171"/>
      <c r="K992" s="2171"/>
      <c r="L992" s="2171"/>
      <c r="M992" s="2171"/>
      <c r="N992" s="2171"/>
      <c r="O992" s="2171"/>
      <c r="P992" s="2171"/>
      <c r="Q992" s="2171"/>
      <c r="R992" s="2171"/>
      <c r="S992" s="2171"/>
      <c r="T992" s="2171"/>
      <c r="U992" s="2171"/>
      <c r="V992" s="2171"/>
      <c r="W992" s="2171"/>
      <c r="X992" s="2171"/>
      <c r="Y992" s="2171"/>
      <c r="Z992" s="2171"/>
      <c r="AA992" s="2171"/>
      <c r="AB992" s="2171"/>
      <c r="AC992" s="2171"/>
      <c r="AD992" s="2171"/>
      <c r="AE992" s="2172"/>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9" t="s">
        <v>2222</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6" t="s">
        <v>527</v>
      </c>
      <c r="AH993" s="2167"/>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8" t="s">
        <v>2223</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9"/>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9"/>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9"/>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911" t="s">
        <v>2099</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527</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2225</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811</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65502981</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53607623</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0.81839974580698849</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1071</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134</v>
      </c>
      <c r="B1018" s="1658"/>
      <c r="C1018" s="17">
        <v>1</v>
      </c>
      <c r="D1018" s="1586" t="s">
        <v>1657</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134</v>
      </c>
      <c r="B1024" s="1658"/>
      <c r="C1024" s="17">
        <v>2</v>
      </c>
      <c r="D1024" s="1585" t="s">
        <v>1658</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5" t="s">
        <v>2275</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5" t="s">
        <v>2270</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58" t="s">
        <v>134</v>
      </c>
      <c r="B1039" s="1658"/>
      <c r="C1039" s="17">
        <v>5</v>
      </c>
      <c r="D1039" s="1585" t="s">
        <v>1885</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6" t="s">
        <v>1659</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6" t="s">
        <v>1661</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134</v>
      </c>
      <c r="B1051" s="1658"/>
      <c r="C1051" s="541">
        <v>8</v>
      </c>
      <c r="D1051" s="1585" t="s">
        <v>2239</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134</v>
      </c>
      <c r="B1055" s="1680"/>
      <c r="C1055" s="541">
        <v>9</v>
      </c>
      <c r="D1055" s="1586" t="s">
        <v>1660</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9" workbookViewId="0">
      <selection activeCell="S31" sqref="S31"/>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196" t="s">
        <v>199</v>
      </c>
      <c r="G1" s="2197"/>
      <c r="H1" s="2197"/>
      <c r="I1" s="2197"/>
      <c r="J1" s="2197"/>
      <c r="K1" s="2197"/>
      <c r="L1" s="2197"/>
      <c r="M1" s="2197"/>
      <c r="N1" s="2197"/>
      <c r="O1" s="2197"/>
      <c r="P1" s="2197"/>
      <c r="Q1" s="2197"/>
      <c r="R1" s="2198"/>
      <c r="S1" s="314"/>
      <c r="T1" s="313"/>
      <c r="U1" s="315"/>
    </row>
    <row r="2" spans="1:21" s="362" customFormat="1" ht="60" customHeight="1">
      <c r="A2" s="361"/>
      <c r="B2" s="362" t="s">
        <v>867</v>
      </c>
      <c r="C2" s="362" t="s">
        <v>561</v>
      </c>
      <c r="D2" s="432" t="s">
        <v>560</v>
      </c>
      <c r="E2" s="362" t="s">
        <v>868</v>
      </c>
      <c r="F2" s="363" t="str">
        <f>Application!B632&amp;Application!C632</f>
        <v>1)JP Morgan Chase Bank, NA</v>
      </c>
      <c r="G2" s="363" t="str">
        <f>Application!B633&amp;Application!C633</f>
        <v>2)HCD AHSC AHD</v>
      </c>
      <c r="H2" s="363" t="str">
        <f>Application!B634&amp;Application!C634</f>
        <v>3)City of Lancaster</v>
      </c>
      <c r="I2" s="363" t="str">
        <f>Application!B635&amp;Application!C635</f>
        <v>4)City of Lancaster Land Loan</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1800000</v>
      </c>
      <c r="C4" s="371">
        <v>1800000</v>
      </c>
      <c r="D4" s="371"/>
      <c r="E4" s="371"/>
      <c r="F4" s="371"/>
      <c r="G4" s="371"/>
      <c r="H4" s="371"/>
      <c r="I4" s="371">
        <v>1800000</v>
      </c>
      <c r="J4" s="371"/>
      <c r="K4" s="371"/>
      <c r="L4" s="371"/>
      <c r="M4" s="371"/>
      <c r="N4" s="371"/>
      <c r="O4" s="371"/>
      <c r="P4" s="371"/>
      <c r="Q4" s="371"/>
      <c r="R4" s="371">
        <f>C4</f>
        <v>1800000</v>
      </c>
      <c r="S4" s="372"/>
      <c r="T4" s="372"/>
      <c r="U4" s="367"/>
    </row>
    <row r="5" spans="1:21" s="368" customFormat="1" ht="13.5">
      <c r="A5" s="464"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380</v>
      </c>
      <c r="B6" s="370">
        <f>SUM(C6+D6)</f>
        <v>70000</v>
      </c>
      <c r="C6" s="371">
        <v>70000</v>
      </c>
      <c r="D6" s="371"/>
      <c r="E6" s="371"/>
      <c r="F6" s="371">
        <v>70000</v>
      </c>
      <c r="G6" s="371"/>
      <c r="H6" s="371"/>
      <c r="I6" s="371"/>
      <c r="J6" s="371"/>
      <c r="K6" s="371"/>
      <c r="L6" s="371"/>
      <c r="M6" s="371"/>
      <c r="N6" s="371"/>
      <c r="O6" s="371"/>
      <c r="P6" s="371"/>
      <c r="Q6" s="371"/>
      <c r="R6" s="371">
        <f>SUM(E6:Q6)</f>
        <v>70000</v>
      </c>
      <c r="S6" s="372"/>
      <c r="T6" s="372"/>
      <c r="U6" s="367"/>
    </row>
    <row r="7" spans="1:21" s="368" customFormat="1">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1870000</v>
      </c>
      <c r="C8" s="370">
        <f t="shared" ref="C8:R8" si="0">SUM(C4:C7)</f>
        <v>1870000</v>
      </c>
      <c r="D8" s="370">
        <f t="shared" si="0"/>
        <v>0</v>
      </c>
      <c r="E8" s="370">
        <f t="shared" si="0"/>
        <v>0</v>
      </c>
      <c r="F8" s="370">
        <f t="shared" si="0"/>
        <v>70000</v>
      </c>
      <c r="G8" s="370">
        <f t="shared" si="0"/>
        <v>0</v>
      </c>
      <c r="H8" s="370">
        <f t="shared" si="0"/>
        <v>0</v>
      </c>
      <c r="I8" s="370">
        <f t="shared" si="0"/>
        <v>1800000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1870000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1870000</v>
      </c>
      <c r="C12" s="370">
        <f t="shared" si="2"/>
        <v>1870000</v>
      </c>
      <c r="D12" s="370">
        <f t="shared" si="2"/>
        <v>0</v>
      </c>
      <c r="E12" s="370">
        <f t="shared" si="2"/>
        <v>0</v>
      </c>
      <c r="F12" s="370">
        <f t="shared" si="2"/>
        <v>70000</v>
      </c>
      <c r="G12" s="370">
        <f t="shared" si="2"/>
        <v>0</v>
      </c>
      <c r="H12" s="370">
        <f t="shared" si="2"/>
        <v>0</v>
      </c>
      <c r="I12" s="370">
        <f t="shared" si="2"/>
        <v>1800000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1870000</v>
      </c>
      <c r="S12" s="372"/>
      <c r="T12" s="372"/>
      <c r="U12" s="367"/>
    </row>
    <row r="13" spans="1:21" s="368" customFormat="1">
      <c r="A13" s="699" t="s">
        <v>1197</v>
      </c>
      <c r="B13" s="370">
        <f>SUM(C13+D13)</f>
        <v>85549</v>
      </c>
      <c r="C13" s="371">
        <v>85549</v>
      </c>
      <c r="D13" s="371"/>
      <c r="E13" s="371">
        <v>85549</v>
      </c>
      <c r="F13" s="371"/>
      <c r="G13" s="371"/>
      <c r="H13" s="371"/>
      <c r="I13" s="371"/>
      <c r="J13" s="371"/>
      <c r="K13" s="371"/>
      <c r="L13" s="371"/>
      <c r="M13" s="371"/>
      <c r="N13" s="371"/>
      <c r="O13" s="371"/>
      <c r="P13" s="371"/>
      <c r="Q13" s="371"/>
      <c r="R13" s="371">
        <f>SUM(E13:Q13)</f>
        <v>85549</v>
      </c>
      <c r="S13" s="371">
        <v>85549</v>
      </c>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3600000</v>
      </c>
      <c r="C29" s="371">
        <v>3600000</v>
      </c>
      <c r="D29" s="371"/>
      <c r="E29" s="371"/>
      <c r="F29" s="371">
        <v>3600000</v>
      </c>
      <c r="G29" s="371"/>
      <c r="H29" s="371"/>
      <c r="I29" s="371"/>
      <c r="J29" s="371"/>
      <c r="K29" s="371"/>
      <c r="L29" s="371"/>
      <c r="M29" s="371"/>
      <c r="N29" s="371"/>
      <c r="O29" s="371"/>
      <c r="P29" s="371"/>
      <c r="Q29" s="371"/>
      <c r="R29" s="371">
        <f t="shared" ref="R29:R37" si="7">SUM(E29:Q29)</f>
        <v>3600000</v>
      </c>
      <c r="S29" s="371">
        <v>3600000</v>
      </c>
      <c r="T29" s="371"/>
      <c r="U29" s="367"/>
    </row>
    <row r="30" spans="1:21" s="368" customFormat="1">
      <c r="A30" s="369" t="s">
        <v>993</v>
      </c>
      <c r="B30" s="370">
        <f t="shared" si="6"/>
        <v>27980177</v>
      </c>
      <c r="C30" s="371">
        <f>26265605+475000+1142189+226826-129443</f>
        <v>27980177</v>
      </c>
      <c r="D30" s="371"/>
      <c r="E30" s="371">
        <f>8448446-129443</f>
        <v>8319003</v>
      </c>
      <c r="F30" s="371">
        <v>1000</v>
      </c>
      <c r="G30" s="371">
        <f>14291374-25000</f>
        <v>14266374</v>
      </c>
      <c r="H30" s="371">
        <v>5393800</v>
      </c>
      <c r="I30" s="371"/>
      <c r="J30" s="371"/>
      <c r="K30" s="371"/>
      <c r="L30" s="371"/>
      <c r="M30" s="371"/>
      <c r="N30" s="371"/>
      <c r="O30" s="371"/>
      <c r="P30" s="371"/>
      <c r="Q30" s="371"/>
      <c r="R30" s="371">
        <v>27980177</v>
      </c>
      <c r="S30" s="371">
        <v>27980177</v>
      </c>
      <c r="T30" s="371"/>
      <c r="U30" s="367"/>
    </row>
    <row r="31" spans="1:21" s="368" customFormat="1">
      <c r="A31" s="369" t="s">
        <v>994</v>
      </c>
      <c r="B31" s="370">
        <f t="shared" si="6"/>
        <v>2014868</v>
      </c>
      <c r="C31" s="371">
        <v>2014868</v>
      </c>
      <c r="D31" s="371"/>
      <c r="E31" s="371">
        <v>2014868</v>
      </c>
      <c r="F31" s="371"/>
      <c r="G31" s="371"/>
      <c r="H31" s="371"/>
      <c r="I31" s="371"/>
      <c r="J31" s="371"/>
      <c r="K31" s="371"/>
      <c r="L31" s="371"/>
      <c r="M31" s="371"/>
      <c r="N31" s="371"/>
      <c r="O31" s="371"/>
      <c r="P31" s="371"/>
      <c r="Q31" s="371"/>
      <c r="R31" s="371">
        <f t="shared" si="7"/>
        <v>2014868</v>
      </c>
      <c r="S31" s="371">
        <v>2014868</v>
      </c>
      <c r="T31" s="371"/>
      <c r="U31" s="367"/>
    </row>
    <row r="32" spans="1:21" s="368" customFormat="1">
      <c r="A32" s="369" t="s">
        <v>995</v>
      </c>
      <c r="B32" s="370">
        <f t="shared" si="6"/>
        <v>2636741</v>
      </c>
      <c r="C32" s="371">
        <v>2636741</v>
      </c>
      <c r="D32" s="371"/>
      <c r="E32" s="371">
        <v>1006661</v>
      </c>
      <c r="F32" s="371">
        <v>1630080</v>
      </c>
      <c r="G32" s="371"/>
      <c r="H32" s="371"/>
      <c r="I32" s="371"/>
      <c r="J32" s="371"/>
      <c r="K32" s="371"/>
      <c r="L32" s="371"/>
      <c r="M32" s="371"/>
      <c r="N32" s="371"/>
      <c r="O32" s="371"/>
      <c r="P32" s="371"/>
      <c r="Q32" s="371"/>
      <c r="R32" s="371">
        <f t="shared" si="7"/>
        <v>2636741</v>
      </c>
      <c r="S32" s="371">
        <v>2636741</v>
      </c>
      <c r="T32" s="371"/>
      <c r="U32" s="367"/>
    </row>
    <row r="33" spans="1:21" s="368" customFormat="1">
      <c r="A33" s="369" t="s">
        <v>996</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753920</v>
      </c>
      <c r="C35" s="371">
        <f>376960+376960</f>
        <v>753920</v>
      </c>
      <c r="D35" s="371"/>
      <c r="E35" s="371"/>
      <c r="F35" s="371">
        <v>753920</v>
      </c>
      <c r="G35" s="371"/>
      <c r="H35" s="371"/>
      <c r="I35" s="371"/>
      <c r="J35" s="371"/>
      <c r="K35" s="371"/>
      <c r="L35" s="371"/>
      <c r="M35" s="371"/>
      <c r="N35" s="371"/>
      <c r="O35" s="371"/>
      <c r="P35" s="371"/>
      <c r="Q35" s="371"/>
      <c r="R35" s="371">
        <f t="shared" si="7"/>
        <v>753920</v>
      </c>
      <c r="S35" s="371">
        <v>753920</v>
      </c>
      <c r="T35" s="371"/>
      <c r="U35" s="367"/>
    </row>
    <row r="36" spans="1:21" s="368" customFormat="1">
      <c r="A36" s="380" t="s">
        <v>2163</v>
      </c>
      <c r="B36" s="370">
        <f t="shared" si="6"/>
        <v>266000</v>
      </c>
      <c r="C36" s="371">
        <v>266000</v>
      </c>
      <c r="D36" s="371"/>
      <c r="E36" s="371"/>
      <c r="F36" s="371">
        <v>266000</v>
      </c>
      <c r="G36" s="371"/>
      <c r="H36" s="371"/>
      <c r="I36" s="371"/>
      <c r="J36" s="371"/>
      <c r="K36" s="371"/>
      <c r="L36" s="371"/>
      <c r="M36" s="371"/>
      <c r="N36" s="371"/>
      <c r="O36" s="371"/>
      <c r="P36" s="371"/>
      <c r="Q36" s="371"/>
      <c r="R36" s="371">
        <f t="shared" si="7"/>
        <v>266000</v>
      </c>
      <c r="S36" s="371">
        <v>266000</v>
      </c>
      <c r="T36" s="371"/>
      <c r="U36" s="367"/>
    </row>
    <row r="37" spans="1:21" s="368" customFormat="1">
      <c r="A37" s="376" t="s">
        <v>2435</v>
      </c>
      <c r="B37" s="370">
        <f t="shared" si="6"/>
        <v>2100000</v>
      </c>
      <c r="C37" s="371">
        <v>2100000</v>
      </c>
      <c r="D37" s="371"/>
      <c r="E37" s="371">
        <v>2100000</v>
      </c>
      <c r="F37" s="371"/>
      <c r="G37" s="371"/>
      <c r="H37" s="371"/>
      <c r="I37" s="371"/>
      <c r="J37" s="371"/>
      <c r="K37" s="371"/>
      <c r="L37" s="371"/>
      <c r="M37" s="371"/>
      <c r="N37" s="371"/>
      <c r="O37" s="371"/>
      <c r="P37" s="371"/>
      <c r="Q37" s="371"/>
      <c r="R37" s="371">
        <f t="shared" si="7"/>
        <v>2100000</v>
      </c>
      <c r="S37" s="371">
        <v>2100000</v>
      </c>
      <c r="T37" s="371"/>
      <c r="U37" s="367"/>
    </row>
    <row r="38" spans="1:21" s="368" customFormat="1">
      <c r="A38" s="373" t="s">
        <v>1001</v>
      </c>
      <c r="B38" s="370">
        <f t="shared" si="6"/>
        <v>39351706</v>
      </c>
      <c r="C38" s="370">
        <f>SUM(C29:C37)</f>
        <v>39351706</v>
      </c>
      <c r="D38" s="370">
        <f>SUM(D29:D37)</f>
        <v>0</v>
      </c>
      <c r="E38" s="370">
        <f>SUM(E29:E37)</f>
        <v>13440532</v>
      </c>
      <c r="F38" s="370">
        <f t="shared" ref="F38:T38" si="8">SUM(F29:F37)</f>
        <v>6251000</v>
      </c>
      <c r="G38" s="370">
        <f t="shared" si="8"/>
        <v>14266374</v>
      </c>
      <c r="H38" s="370">
        <f t="shared" si="8"/>
        <v>5393800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39351706</v>
      </c>
      <c r="S38" s="374">
        <f t="shared" si="8"/>
        <v>39351706</v>
      </c>
      <c r="T38" s="374">
        <f t="shared" si="8"/>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2035636</v>
      </c>
      <c r="C40" s="371">
        <f>1568606+75000+50000+175000+40000+25000+75000+27030</f>
        <v>2035636</v>
      </c>
      <c r="D40" s="371"/>
      <c r="E40" s="371">
        <v>2035636</v>
      </c>
      <c r="F40" s="371"/>
      <c r="G40" s="371"/>
      <c r="H40" s="371"/>
      <c r="I40" s="371"/>
      <c r="J40" s="371"/>
      <c r="K40" s="371"/>
      <c r="L40" s="371"/>
      <c r="M40" s="371"/>
      <c r="N40" s="371"/>
      <c r="O40" s="371"/>
      <c r="P40" s="371"/>
      <c r="Q40" s="371"/>
      <c r="R40" s="371">
        <f>SUM(E40:Q40)</f>
        <v>2035636</v>
      </c>
      <c r="S40" s="371">
        <v>2035636</v>
      </c>
      <c r="T40" s="371"/>
      <c r="U40" s="367"/>
    </row>
    <row r="41" spans="1:21" s="368" customFormat="1">
      <c r="A41" s="369" t="s">
        <v>1004</v>
      </c>
      <c r="B41" s="370">
        <f>SUM(C41+D41)</f>
        <v>80000</v>
      </c>
      <c r="C41" s="371">
        <v>80000</v>
      </c>
      <c r="D41" s="371"/>
      <c r="E41" s="371">
        <v>80000</v>
      </c>
      <c r="F41" s="371"/>
      <c r="G41" s="371"/>
      <c r="H41" s="371"/>
      <c r="I41" s="371"/>
      <c r="J41" s="371"/>
      <c r="K41" s="371"/>
      <c r="L41" s="371"/>
      <c r="M41" s="371"/>
      <c r="N41" s="371"/>
      <c r="O41" s="371"/>
      <c r="P41" s="371"/>
      <c r="Q41" s="371"/>
      <c r="R41" s="371">
        <f>SUM(E41:Q41)</f>
        <v>80000</v>
      </c>
      <c r="S41" s="371">
        <v>80000</v>
      </c>
      <c r="T41" s="371"/>
      <c r="U41" s="367"/>
    </row>
    <row r="42" spans="1:21" s="368" customFormat="1">
      <c r="A42" s="373" t="s">
        <v>1005</v>
      </c>
      <c r="B42" s="370">
        <f>SUM(C42:D42)</f>
        <v>2115636</v>
      </c>
      <c r="C42" s="370">
        <f>SUM(C39:C41)</f>
        <v>2115636</v>
      </c>
      <c r="D42" s="370">
        <f>SUM(D39:D41)</f>
        <v>0</v>
      </c>
      <c r="E42" s="370">
        <f t="shared" ref="E42:T42" si="9">SUM(E40:E41)</f>
        <v>2115636</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2115636</v>
      </c>
      <c r="S42" s="374">
        <f t="shared" si="9"/>
        <v>2115636</v>
      </c>
      <c r="T42" s="374">
        <f t="shared" si="9"/>
        <v>0</v>
      </c>
      <c r="U42" s="367"/>
    </row>
    <row r="43" spans="1:21" s="368" customFormat="1">
      <c r="A43" s="373" t="s">
        <v>1006</v>
      </c>
      <c r="B43" s="370">
        <f>SUM(C43:D43)</f>
        <v>235000</v>
      </c>
      <c r="C43" s="371">
        <v>235000</v>
      </c>
      <c r="D43" s="371"/>
      <c r="E43" s="371">
        <v>235000</v>
      </c>
      <c r="F43" s="371">
        <v>0</v>
      </c>
      <c r="G43" s="371"/>
      <c r="H43" s="371"/>
      <c r="I43" s="371"/>
      <c r="J43" s="371"/>
      <c r="K43" s="371"/>
      <c r="L43" s="371"/>
      <c r="M43" s="371"/>
      <c r="N43" s="371"/>
      <c r="O43" s="371"/>
      <c r="P43" s="371"/>
      <c r="Q43" s="371"/>
      <c r="R43" s="371">
        <f>SUM(E43:Q43)</f>
        <v>235000</v>
      </c>
      <c r="S43" s="371">
        <v>235000</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0">SUM(C45+D45)</f>
        <v>3256995</v>
      </c>
      <c r="C45" s="371">
        <v>3256995</v>
      </c>
      <c r="D45" s="371"/>
      <c r="E45" s="371">
        <v>3256995</v>
      </c>
      <c r="F45" s="371"/>
      <c r="G45" s="371"/>
      <c r="H45" s="371"/>
      <c r="I45" s="371"/>
      <c r="J45" s="371"/>
      <c r="K45" s="371"/>
      <c r="L45" s="371"/>
      <c r="M45" s="371"/>
      <c r="N45" s="371"/>
      <c r="O45" s="371"/>
      <c r="P45" s="371"/>
      <c r="Q45" s="371"/>
      <c r="R45" s="371">
        <f t="shared" ref="R45:R52" si="11">SUM(E45:Q45)</f>
        <v>3256995</v>
      </c>
      <c r="S45" s="371">
        <v>2381860</v>
      </c>
      <c r="T45" s="371"/>
      <c r="U45" s="367"/>
    </row>
    <row r="46" spans="1:21" s="368" customFormat="1">
      <c r="A46" s="369" t="s">
        <v>1009</v>
      </c>
      <c r="B46" s="370">
        <f t="shared" si="10"/>
        <v>347738</v>
      </c>
      <c r="C46" s="371">
        <v>347738</v>
      </c>
      <c r="D46" s="371"/>
      <c r="E46" s="371">
        <v>347738</v>
      </c>
      <c r="F46" s="371"/>
      <c r="G46" s="371"/>
      <c r="H46" s="371"/>
      <c r="I46" s="371"/>
      <c r="J46" s="371"/>
      <c r="K46" s="371"/>
      <c r="L46" s="371"/>
      <c r="M46" s="371"/>
      <c r="N46" s="371"/>
      <c r="O46" s="371"/>
      <c r="P46" s="371"/>
      <c r="Q46" s="371"/>
      <c r="R46" s="371">
        <f t="shared" si="11"/>
        <v>347738</v>
      </c>
      <c r="S46" s="371">
        <v>241720</v>
      </c>
      <c r="T46" s="371"/>
      <c r="U46" s="367"/>
    </row>
    <row r="47" spans="1:21" s="368" customFormat="1" ht="12" customHeight="1">
      <c r="A47" s="369" t="s">
        <v>1010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1014</v>
      </c>
      <c r="B49" s="370">
        <f t="shared" si="10"/>
        <v>40000</v>
      </c>
      <c r="C49" s="371">
        <v>40000</v>
      </c>
      <c r="D49" s="371"/>
      <c r="E49" s="371">
        <v>40000</v>
      </c>
      <c r="F49" s="371"/>
      <c r="G49" s="371"/>
      <c r="H49" s="371"/>
      <c r="I49" s="371"/>
      <c r="J49" s="371"/>
      <c r="K49" s="371"/>
      <c r="L49" s="371"/>
      <c r="M49" s="371"/>
      <c r="N49" s="371"/>
      <c r="O49" s="371"/>
      <c r="P49" s="371"/>
      <c r="Q49" s="371"/>
      <c r="R49" s="371">
        <f t="shared" si="11"/>
        <v>40000</v>
      </c>
      <c r="S49" s="371">
        <f>R49</f>
        <v>40000</v>
      </c>
      <c r="T49" s="371"/>
      <c r="U49" s="367"/>
    </row>
    <row r="50" spans="1:21" s="368" customFormat="1">
      <c r="A50" s="369" t="s">
        <v>1012</v>
      </c>
      <c r="B50" s="370">
        <f t="shared" si="10"/>
        <v>72767</v>
      </c>
      <c r="C50" s="371">
        <v>72767</v>
      </c>
      <c r="D50" s="371"/>
      <c r="E50" s="371">
        <v>72767</v>
      </c>
      <c r="F50" s="371"/>
      <c r="G50" s="371"/>
      <c r="H50" s="371"/>
      <c r="I50" s="371"/>
      <c r="J50" s="371"/>
      <c r="K50" s="371"/>
      <c r="L50" s="371"/>
      <c r="M50" s="371"/>
      <c r="N50" s="371"/>
      <c r="O50" s="371"/>
      <c r="P50" s="371"/>
      <c r="Q50" s="371"/>
      <c r="R50" s="371">
        <f t="shared" si="11"/>
        <v>72767</v>
      </c>
      <c r="S50" s="371">
        <v>72767</v>
      </c>
      <c r="T50" s="371"/>
      <c r="U50" s="367"/>
    </row>
    <row r="51" spans="1:21" s="368" customFormat="1">
      <c r="A51" s="369" t="s">
        <v>1013</v>
      </c>
      <c r="B51" s="370">
        <f t="shared" si="10"/>
        <v>673604</v>
      </c>
      <c r="C51" s="371">
        <v>673604</v>
      </c>
      <c r="D51" s="371"/>
      <c r="E51" s="371">
        <f>C51</f>
        <v>673604</v>
      </c>
      <c r="F51" s="371"/>
      <c r="G51" s="371"/>
      <c r="H51" s="371"/>
      <c r="I51" s="371"/>
      <c r="J51" s="371"/>
      <c r="K51" s="371"/>
      <c r="L51" s="371"/>
      <c r="M51" s="371"/>
      <c r="N51" s="371"/>
      <c r="O51" s="371"/>
      <c r="P51" s="371"/>
      <c r="Q51" s="371"/>
      <c r="R51" s="371">
        <f t="shared" si="11"/>
        <v>673604</v>
      </c>
      <c r="S51" s="371">
        <f>R51</f>
        <v>673604</v>
      </c>
      <c r="T51" s="371"/>
      <c r="U51" s="367"/>
    </row>
    <row r="52" spans="1:21" s="368" customFormat="1">
      <c r="A52" s="376" t="s">
        <v>2437</v>
      </c>
      <c r="B52" s="370">
        <f t="shared" si="10"/>
        <v>40000</v>
      </c>
      <c r="C52" s="371">
        <v>40000</v>
      </c>
      <c r="D52" s="371"/>
      <c r="E52" s="371">
        <v>40000</v>
      </c>
      <c r="F52" s="371"/>
      <c r="G52" s="371"/>
      <c r="H52" s="371"/>
      <c r="I52" s="371"/>
      <c r="J52" s="371"/>
      <c r="K52" s="371"/>
      <c r="L52" s="371"/>
      <c r="M52" s="371"/>
      <c r="N52" s="371"/>
      <c r="O52" s="371"/>
      <c r="P52" s="371"/>
      <c r="Q52" s="371"/>
      <c r="R52" s="371">
        <f t="shared" si="11"/>
        <v>40000</v>
      </c>
      <c r="S52" s="371">
        <v>27805</v>
      </c>
      <c r="T52" s="371"/>
      <c r="U52" s="367"/>
    </row>
    <row r="53" spans="1:21" s="378" customFormat="1">
      <c r="A53" s="373" t="s">
        <v>1015</v>
      </c>
      <c r="B53" s="374">
        <f>SUM(C53:D53)</f>
        <v>4431104</v>
      </c>
      <c r="C53" s="374">
        <f t="shared" ref="C53:T53" si="12">SUM(C45:C52)</f>
        <v>4431104</v>
      </c>
      <c r="D53" s="374">
        <f t="shared" si="12"/>
        <v>0</v>
      </c>
      <c r="E53" s="374">
        <f t="shared" si="12"/>
        <v>4431104</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4431104</v>
      </c>
      <c r="S53" s="374">
        <f t="shared" si="12"/>
        <v>3437756</v>
      </c>
      <c r="T53" s="374">
        <f t="shared" si="12"/>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3">SUM(C55+D55)</f>
        <v>63210</v>
      </c>
      <c r="C55" s="371">
        <v>63210</v>
      </c>
      <c r="D55" s="371"/>
      <c r="E55" s="371">
        <v>63210</v>
      </c>
      <c r="F55" s="371"/>
      <c r="G55" s="371"/>
      <c r="H55" s="371"/>
      <c r="I55" s="371"/>
      <c r="J55" s="371"/>
      <c r="K55" s="371"/>
      <c r="L55" s="371"/>
      <c r="M55" s="371"/>
      <c r="N55" s="371"/>
      <c r="O55" s="371"/>
      <c r="P55" s="371"/>
      <c r="Q55" s="371"/>
      <c r="R55" s="371">
        <f t="shared" ref="R55:R60" si="14">SUM(E55:Q55)</f>
        <v>63210</v>
      </c>
      <c r="S55" s="372"/>
      <c r="T55" s="372"/>
      <c r="U55" s="367"/>
    </row>
    <row r="56" spans="1:21" s="368" customFormat="1" ht="12" customHeight="1">
      <c r="A56" s="369" t="s">
        <v>1010</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1014</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2465</v>
      </c>
      <c r="B60" s="370">
        <f t="shared" si="13"/>
        <v>55000</v>
      </c>
      <c r="C60" s="371">
        <v>55000</v>
      </c>
      <c r="D60" s="371"/>
      <c r="E60" s="371">
        <v>55000</v>
      </c>
      <c r="F60" s="371"/>
      <c r="G60" s="371"/>
      <c r="H60" s="371"/>
      <c r="I60" s="371"/>
      <c r="J60" s="371"/>
      <c r="K60" s="371"/>
      <c r="L60" s="371"/>
      <c r="M60" s="371"/>
      <c r="N60" s="371"/>
      <c r="O60" s="371"/>
      <c r="P60" s="371"/>
      <c r="Q60" s="371"/>
      <c r="R60" s="371">
        <f t="shared" si="14"/>
        <v>55000</v>
      </c>
      <c r="S60" s="372"/>
      <c r="T60" s="372"/>
      <c r="U60" s="367"/>
    </row>
    <row r="61" spans="1:21" s="368" customFormat="1" ht="14.1" customHeight="1">
      <c r="A61" s="373" t="s">
        <v>545</v>
      </c>
      <c r="B61" s="370">
        <f>SUM(C61:D61)</f>
        <v>128210</v>
      </c>
      <c r="C61" s="370">
        <f t="shared" ref="C61:R61" si="15">SUM(C55:C60)</f>
        <v>128210</v>
      </c>
      <c r="D61" s="370">
        <f t="shared" si="15"/>
        <v>0</v>
      </c>
      <c r="E61" s="370">
        <f t="shared" si="15"/>
        <v>128210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128210</v>
      </c>
      <c r="S61" s="372"/>
      <c r="T61" s="372"/>
      <c r="U61" s="367"/>
    </row>
    <row r="62" spans="1:21" s="368" customFormat="1">
      <c r="A62" s="379" t="s">
        <v>546</v>
      </c>
      <c r="B62" s="370">
        <f>SUM(C62:D62)</f>
        <v>48217205</v>
      </c>
      <c r="C62" s="370">
        <f t="shared" ref="C62:R62" si="16">SUM(C8+C11+C13+C14+C15+C26+C27+C38+C42+C43+C53+C61)</f>
        <v>48217205</v>
      </c>
      <c r="D62" s="370">
        <f t="shared" si="16"/>
        <v>0</v>
      </c>
      <c r="E62" s="370">
        <f t="shared" si="16"/>
        <v>20436031</v>
      </c>
      <c r="F62" s="370">
        <f t="shared" si="16"/>
        <v>6321000</v>
      </c>
      <c r="G62" s="370">
        <f t="shared" si="16"/>
        <v>14266374</v>
      </c>
      <c r="H62" s="370">
        <f t="shared" si="16"/>
        <v>5393800</v>
      </c>
      <c r="I62" s="370">
        <f t="shared" si="16"/>
        <v>1800000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48217205</v>
      </c>
      <c r="S62" s="370">
        <f>SUM(S10+S13+S14+S15+S26+S27+S38+S42+S43+S53)</f>
        <v>45225647</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34756</v>
      </c>
      <c r="T64" s="371"/>
      <c r="U64" s="367"/>
    </row>
    <row r="65" spans="1:21" s="368" customFormat="1" ht="24">
      <c r="A65" s="369" t="s">
        <v>2165</v>
      </c>
      <c r="B65" s="370">
        <f>SUM(C65+D65)</f>
        <v>0</v>
      </c>
      <c r="C65" s="371"/>
      <c r="D65" s="371"/>
      <c r="E65" s="371"/>
      <c r="F65" s="371"/>
      <c r="G65" s="371"/>
      <c r="H65" s="371"/>
      <c r="I65" s="371"/>
      <c r="J65" s="371"/>
      <c r="K65" s="371"/>
      <c r="L65" s="371"/>
      <c r="M65" s="371"/>
      <c r="N65" s="371"/>
      <c r="O65" s="371"/>
      <c r="P65" s="371"/>
      <c r="Q65" s="371"/>
      <c r="R65" s="371">
        <f>SUM(E65:Q65)</f>
        <v>0</v>
      </c>
      <c r="S65" s="371">
        <v>0</v>
      </c>
      <c r="T65" s="371"/>
      <c r="U65" s="367"/>
    </row>
    <row r="66" spans="1:21" s="368" customFormat="1" ht="24">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13487</v>
      </c>
      <c r="C67" s="371">
        <v>13487</v>
      </c>
      <c r="D67" s="371"/>
      <c r="E67" s="371">
        <v>13487</v>
      </c>
      <c r="F67" s="371"/>
      <c r="G67" s="371"/>
      <c r="H67" s="371"/>
      <c r="I67" s="371"/>
      <c r="J67" s="371"/>
      <c r="K67" s="371"/>
      <c r="L67" s="371"/>
      <c r="M67" s="371"/>
      <c r="N67" s="371"/>
      <c r="O67" s="371"/>
      <c r="P67" s="371"/>
      <c r="Q67" s="371"/>
      <c r="R67" s="371">
        <f>SUM(E67:Q67)</f>
        <v>13487</v>
      </c>
      <c r="S67" s="371">
        <v>13487</v>
      </c>
      <c r="T67" s="371"/>
      <c r="U67" s="367"/>
    </row>
    <row r="68" spans="1:21" s="368" customFormat="1">
      <c r="A68" s="376" t="s">
        <v>2464</v>
      </c>
      <c r="B68" s="370">
        <f>SUM(C68+D68)</f>
        <v>60000</v>
      </c>
      <c r="C68" s="371">
        <v>60000</v>
      </c>
      <c r="D68" s="371"/>
      <c r="E68" s="371">
        <f>C68</f>
        <v>60000</v>
      </c>
      <c r="F68" s="371"/>
      <c r="G68" s="371"/>
      <c r="H68" s="371"/>
      <c r="I68" s="371"/>
      <c r="J68" s="371"/>
      <c r="K68" s="371"/>
      <c r="L68" s="371"/>
      <c r="M68" s="371"/>
      <c r="N68" s="371"/>
      <c r="O68" s="371"/>
      <c r="P68" s="371"/>
      <c r="Q68" s="371"/>
      <c r="R68" s="371">
        <f>SUM(E68:Q68)</f>
        <v>60000</v>
      </c>
      <c r="S68" s="371">
        <v>60000</v>
      </c>
      <c r="T68" s="371"/>
      <c r="U68" s="367"/>
    </row>
    <row r="69" spans="1:21" s="368" customFormat="1">
      <c r="A69" s="373" t="s">
        <v>2168</v>
      </c>
      <c r="B69" s="370">
        <f>SUM(C69:D69)</f>
        <v>123487</v>
      </c>
      <c r="C69" s="370">
        <f>SUM(C63:C68)</f>
        <v>123487</v>
      </c>
      <c r="D69" s="370">
        <f>SUM(D63:D68)</f>
        <v>0</v>
      </c>
      <c r="E69" s="370">
        <f t="shared" ref="E69:T69" si="17">SUM(E64:E68)</f>
        <v>123487</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123487</v>
      </c>
      <c r="S69" s="374">
        <f t="shared" si="17"/>
        <v>108243</v>
      </c>
      <c r="T69" s="374">
        <f t="shared" si="17"/>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350929</v>
      </c>
      <c r="C74" s="371">
        <v>350929</v>
      </c>
      <c r="D74" s="371"/>
      <c r="E74" s="371">
        <v>350929</v>
      </c>
      <c r="F74" s="371"/>
      <c r="G74" s="371"/>
      <c r="H74" s="371"/>
      <c r="I74" s="371"/>
      <c r="J74" s="371"/>
      <c r="K74" s="371"/>
      <c r="L74" s="371"/>
      <c r="M74" s="371"/>
      <c r="N74" s="371"/>
      <c r="O74" s="371"/>
      <c r="P74" s="371"/>
      <c r="Q74" s="371"/>
      <c r="R74" s="371">
        <f>SUM(E74:Q74)</f>
        <v>350929</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350929</v>
      </c>
      <c r="C76" s="370">
        <f t="shared" ref="C76:Q76" si="18">SUM(C71:C75)</f>
        <v>350929</v>
      </c>
      <c r="D76" s="370">
        <f t="shared" si="18"/>
        <v>0</v>
      </c>
      <c r="E76" s="370">
        <f>SUM(E71:E75)</f>
        <v>350929</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350929</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2619761</v>
      </c>
      <c r="C78" s="371">
        <v>2619761</v>
      </c>
      <c r="D78" s="371"/>
      <c r="E78" s="371">
        <v>2619761</v>
      </c>
      <c r="F78" s="371"/>
      <c r="G78" s="371"/>
      <c r="H78" s="371"/>
      <c r="I78" s="371"/>
      <c r="J78" s="371"/>
      <c r="K78" s="371"/>
      <c r="L78" s="371"/>
      <c r="M78" s="371"/>
      <c r="N78" s="371"/>
      <c r="O78" s="371"/>
      <c r="P78" s="371"/>
      <c r="Q78" s="371"/>
      <c r="R78" s="371">
        <f>SUM(E78:Q78)</f>
        <v>2619761</v>
      </c>
      <c r="S78" s="371">
        <v>2619761</v>
      </c>
      <c r="T78" s="371"/>
      <c r="U78" s="367"/>
    </row>
    <row r="79" spans="1:21" s="368" customFormat="1">
      <c r="A79" s="369" t="s">
        <v>593</v>
      </c>
      <c r="B79" s="370">
        <f>SUM(C79+D79)</f>
        <v>362707</v>
      </c>
      <c r="C79" s="371">
        <v>362707</v>
      </c>
      <c r="D79" s="371"/>
      <c r="E79" s="371">
        <v>362707</v>
      </c>
      <c r="F79" s="371"/>
      <c r="G79" s="371"/>
      <c r="H79" s="371"/>
      <c r="I79" s="371"/>
      <c r="J79" s="371"/>
      <c r="K79" s="371"/>
      <c r="L79" s="371"/>
      <c r="M79" s="371"/>
      <c r="N79" s="371"/>
      <c r="O79" s="371"/>
      <c r="P79" s="371"/>
      <c r="Q79" s="371"/>
      <c r="R79" s="371">
        <f>SUM(E79:Q79)</f>
        <v>362707</v>
      </c>
      <c r="S79" s="371">
        <f>R79</f>
        <v>362707</v>
      </c>
      <c r="T79" s="371"/>
      <c r="U79" s="367"/>
    </row>
    <row r="80" spans="1:21" s="368" customFormat="1">
      <c r="A80" s="373" t="s">
        <v>1907</v>
      </c>
      <c r="B80" s="370">
        <f>SUM(C80:D80)</f>
        <v>2982468</v>
      </c>
      <c r="C80" s="1074">
        <f>SUM(C78:C79)</f>
        <v>2982468</v>
      </c>
      <c r="D80" s="1074">
        <f t="shared" ref="D80:R80" si="19">SUM(D78:D79)</f>
        <v>0</v>
      </c>
      <c r="E80" s="1074">
        <f t="shared" si="19"/>
        <v>2982468</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2982468</v>
      </c>
      <c r="S80" s="1074">
        <f>SUM(S78:S79)</f>
        <v>2982468</v>
      </c>
      <c r="T80" s="1074">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570</v>
      </c>
      <c r="B82" s="370">
        <f>SUM(C82+D82)</f>
        <v>148330</v>
      </c>
      <c r="C82" s="371">
        <v>148330</v>
      </c>
      <c r="D82" s="371"/>
      <c r="E82" s="371">
        <v>148330</v>
      </c>
      <c r="F82" s="371"/>
      <c r="G82" s="371"/>
      <c r="H82" s="371"/>
      <c r="I82" s="371"/>
      <c r="J82" s="371"/>
      <c r="K82" s="371"/>
      <c r="L82" s="371"/>
      <c r="M82" s="371"/>
      <c r="N82" s="371"/>
      <c r="O82" s="371"/>
      <c r="P82" s="371"/>
      <c r="Q82" s="371"/>
      <c r="R82" s="371">
        <f>SUM(E82:Q82)</f>
        <v>148330</v>
      </c>
      <c r="S82" s="372"/>
      <c r="T82" s="372"/>
      <c r="U82" s="367"/>
    </row>
    <row r="83" spans="1:21" s="368" customFormat="1">
      <c r="A83" s="369" t="s">
        <v>571</v>
      </c>
      <c r="B83" s="370">
        <f t="shared" ref="B83:B93" si="20">SUM(C83+D83)</f>
        <v>210000</v>
      </c>
      <c r="C83" s="371">
        <v>210000</v>
      </c>
      <c r="D83" s="371"/>
      <c r="E83" s="371">
        <v>210000</v>
      </c>
      <c r="F83" s="371"/>
      <c r="G83" s="371"/>
      <c r="H83" s="371"/>
      <c r="I83" s="371"/>
      <c r="J83" s="371"/>
      <c r="K83" s="371"/>
      <c r="L83" s="371"/>
      <c r="M83" s="371"/>
      <c r="N83" s="371"/>
      <c r="O83" s="371"/>
      <c r="P83" s="371"/>
      <c r="Q83" s="371"/>
      <c r="R83" s="371">
        <f t="shared" ref="R83:R93" si="21">SUM(E83:Q83)</f>
        <v>210000</v>
      </c>
      <c r="S83" s="371">
        <v>210000</v>
      </c>
      <c r="T83" s="371"/>
      <c r="U83" s="367"/>
    </row>
    <row r="84" spans="1:21" s="368" customFormat="1">
      <c r="A84" s="369" t="s">
        <v>572</v>
      </c>
      <c r="B84" s="370">
        <f t="shared" si="20"/>
        <v>1808493</v>
      </c>
      <c r="C84" s="371">
        <v>1808493</v>
      </c>
      <c r="D84" s="371"/>
      <c r="E84" s="371">
        <v>1808493</v>
      </c>
      <c r="F84" s="371"/>
      <c r="G84" s="371"/>
      <c r="H84" s="371"/>
      <c r="I84" s="371"/>
      <c r="J84" s="371"/>
      <c r="K84" s="371"/>
      <c r="L84" s="371"/>
      <c r="M84" s="371"/>
      <c r="N84" s="371"/>
      <c r="O84" s="371"/>
      <c r="P84" s="371"/>
      <c r="Q84" s="371"/>
      <c r="R84" s="371">
        <v>1808493</v>
      </c>
      <c r="S84" s="371">
        <v>1808493</v>
      </c>
      <c r="T84" s="371"/>
      <c r="U84" s="367"/>
    </row>
    <row r="85" spans="1:21" s="368" customFormat="1">
      <c r="A85" s="369" t="s">
        <v>573</v>
      </c>
      <c r="B85" s="370">
        <f t="shared" si="20"/>
        <v>881772</v>
      </c>
      <c r="C85" s="371">
        <f>831772+50000</f>
        <v>881772</v>
      </c>
      <c r="D85" s="371"/>
      <c r="E85" s="371">
        <f>C85-G85</f>
        <v>856772</v>
      </c>
      <c r="F85" s="371"/>
      <c r="G85" s="371">
        <v>25000</v>
      </c>
      <c r="H85" s="371"/>
      <c r="I85" s="371"/>
      <c r="J85" s="371"/>
      <c r="K85" s="371"/>
      <c r="L85" s="371"/>
      <c r="M85" s="371"/>
      <c r="N85" s="371"/>
      <c r="O85" s="371"/>
      <c r="P85" s="371"/>
      <c r="Q85" s="371"/>
      <c r="R85" s="371">
        <f t="shared" si="21"/>
        <v>881772</v>
      </c>
      <c r="S85" s="371">
        <f>R85</f>
        <v>881772</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84750</v>
      </c>
      <c r="C87" s="371">
        <v>84750</v>
      </c>
      <c r="D87" s="371"/>
      <c r="E87" s="371">
        <v>84750</v>
      </c>
      <c r="F87" s="371"/>
      <c r="G87" s="371"/>
      <c r="H87" s="371"/>
      <c r="I87" s="371"/>
      <c r="J87" s="371"/>
      <c r="K87" s="371"/>
      <c r="L87" s="371"/>
      <c r="M87" s="371"/>
      <c r="N87" s="371"/>
      <c r="O87" s="371"/>
      <c r="P87" s="371"/>
      <c r="Q87" s="371"/>
      <c r="R87" s="371">
        <f t="shared" si="21"/>
        <v>84750</v>
      </c>
      <c r="S87" s="372"/>
      <c r="T87" s="372"/>
      <c r="U87" s="367"/>
    </row>
    <row r="88" spans="1:21" s="368" customFormat="1">
      <c r="A88" s="369" t="s">
        <v>576</v>
      </c>
      <c r="B88" s="370">
        <f t="shared" si="20"/>
        <v>118000</v>
      </c>
      <c r="C88" s="371">
        <v>118000</v>
      </c>
      <c r="D88" s="371"/>
      <c r="E88" s="371">
        <v>118000</v>
      </c>
      <c r="F88" s="371"/>
      <c r="G88" s="371"/>
      <c r="H88" s="371"/>
      <c r="I88" s="371"/>
      <c r="J88" s="371"/>
      <c r="K88" s="371"/>
      <c r="L88" s="371"/>
      <c r="M88" s="371"/>
      <c r="N88" s="371"/>
      <c r="O88" s="371"/>
      <c r="P88" s="371"/>
      <c r="Q88" s="371"/>
      <c r="R88" s="371">
        <f t="shared" si="21"/>
        <v>118000</v>
      </c>
      <c r="S88" s="371">
        <v>118000</v>
      </c>
      <c r="T88" s="371"/>
      <c r="U88" s="367"/>
    </row>
    <row r="89" spans="1:21" s="368" customFormat="1">
      <c r="A89" s="369" t="s">
        <v>577</v>
      </c>
      <c r="B89" s="370">
        <f t="shared" si="20"/>
        <v>12500</v>
      </c>
      <c r="C89" s="371">
        <v>12500</v>
      </c>
      <c r="D89" s="371"/>
      <c r="E89" s="371">
        <v>12500</v>
      </c>
      <c r="F89" s="371"/>
      <c r="G89" s="371"/>
      <c r="H89" s="371"/>
      <c r="I89" s="371"/>
      <c r="J89" s="371"/>
      <c r="K89" s="371"/>
      <c r="L89" s="371"/>
      <c r="M89" s="371"/>
      <c r="N89" s="371"/>
      <c r="O89" s="371"/>
      <c r="P89" s="371"/>
      <c r="Q89" s="371"/>
      <c r="R89" s="371">
        <f t="shared" si="21"/>
        <v>12500</v>
      </c>
      <c r="S89" s="371"/>
      <c r="T89" s="371"/>
      <c r="U89" s="367"/>
    </row>
    <row r="90" spans="1:21" s="368" customFormat="1">
      <c r="A90" s="380" t="s">
        <v>1422</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1905</v>
      </c>
      <c r="B91" s="370">
        <f t="shared" si="20"/>
        <v>23000</v>
      </c>
      <c r="C91" s="371">
        <v>23000</v>
      </c>
      <c r="D91" s="371"/>
      <c r="E91" s="371">
        <v>23000</v>
      </c>
      <c r="F91" s="371"/>
      <c r="G91" s="371"/>
      <c r="H91" s="371"/>
      <c r="I91" s="371"/>
      <c r="J91" s="371"/>
      <c r="K91" s="371"/>
      <c r="L91" s="371"/>
      <c r="M91" s="371"/>
      <c r="N91" s="371"/>
      <c r="O91" s="371"/>
      <c r="P91" s="371"/>
      <c r="Q91" s="371"/>
      <c r="R91" s="371">
        <f t="shared" si="21"/>
        <v>23000</v>
      </c>
      <c r="S91" s="371">
        <f>R91</f>
        <v>23000</v>
      </c>
      <c r="T91" s="371"/>
      <c r="U91" s="367"/>
    </row>
    <row r="92" spans="1:21" s="368" customFormat="1">
      <c r="A92" s="376" t="s">
        <v>2436</v>
      </c>
      <c r="B92" s="370">
        <f t="shared" si="20"/>
        <v>203400</v>
      </c>
      <c r="C92" s="371">
        <v>203400</v>
      </c>
      <c r="D92" s="371"/>
      <c r="E92" s="371">
        <v>203400</v>
      </c>
      <c r="F92" s="371"/>
      <c r="G92" s="371"/>
      <c r="H92" s="371"/>
      <c r="I92" s="371"/>
      <c r="J92" s="371"/>
      <c r="K92" s="371"/>
      <c r="L92" s="371"/>
      <c r="M92" s="371"/>
      <c r="N92" s="371"/>
      <c r="O92" s="371"/>
      <c r="P92" s="371"/>
      <c r="Q92" s="371"/>
      <c r="R92" s="371">
        <f t="shared" si="21"/>
        <v>203400</v>
      </c>
      <c r="S92" s="371"/>
      <c r="T92" s="371"/>
      <c r="U92" s="367"/>
    </row>
    <row r="93" spans="1:21" s="368" customFormat="1">
      <c r="A93" s="376" t="s">
        <v>2438</v>
      </c>
      <c r="B93" s="370">
        <f t="shared" si="20"/>
        <v>292674</v>
      </c>
      <c r="C93" s="371">
        <v>292674</v>
      </c>
      <c r="D93" s="371"/>
      <c r="E93" s="371">
        <v>292674</v>
      </c>
      <c r="F93" s="371"/>
      <c r="G93" s="371"/>
      <c r="H93" s="371"/>
      <c r="I93" s="371"/>
      <c r="J93" s="371"/>
      <c r="K93" s="371"/>
      <c r="L93" s="371"/>
      <c r="M93" s="371"/>
      <c r="N93" s="371"/>
      <c r="O93" s="371"/>
      <c r="P93" s="371"/>
      <c r="Q93" s="371"/>
      <c r="R93" s="371">
        <f t="shared" si="21"/>
        <v>292674</v>
      </c>
      <c r="S93" s="371"/>
      <c r="T93" s="371"/>
      <c r="U93" s="367"/>
    </row>
    <row r="94" spans="1:21" s="368" customFormat="1">
      <c r="A94" s="376" t="s">
        <v>2466</v>
      </c>
      <c r="B94" s="370">
        <f>SUM(C94+D94)</f>
        <v>50000</v>
      </c>
      <c r="C94" s="371">
        <v>50000</v>
      </c>
      <c r="D94" s="371"/>
      <c r="E94" s="371">
        <v>50000</v>
      </c>
      <c r="F94" s="371"/>
      <c r="G94" s="371"/>
      <c r="H94" s="371"/>
      <c r="I94" s="371"/>
      <c r="J94" s="371"/>
      <c r="K94" s="371"/>
      <c r="L94" s="371"/>
      <c r="M94" s="371"/>
      <c r="N94" s="371"/>
      <c r="O94" s="371"/>
      <c r="P94" s="371"/>
      <c r="Q94" s="371"/>
      <c r="R94" s="371">
        <f>SUM(E94:Q94)</f>
        <v>50000</v>
      </c>
      <c r="S94" s="371">
        <f>R94</f>
        <v>50000</v>
      </c>
      <c r="T94" s="371"/>
      <c r="U94" s="367"/>
    </row>
    <row r="95" spans="1:21" s="368" customFormat="1">
      <c r="A95" s="373" t="s">
        <v>578</v>
      </c>
      <c r="B95" s="370">
        <f>SUM(C95:D95)</f>
        <v>3832919</v>
      </c>
      <c r="C95" s="370">
        <f t="shared" ref="C95:R95" si="22">SUM(C82:C94)</f>
        <v>3832919</v>
      </c>
      <c r="D95" s="370">
        <f t="shared" si="22"/>
        <v>0</v>
      </c>
      <c r="E95" s="370">
        <f t="shared" si="22"/>
        <v>3807919</v>
      </c>
      <c r="F95" s="370">
        <f t="shared" si="22"/>
        <v>0</v>
      </c>
      <c r="G95" s="370">
        <f t="shared" si="22"/>
        <v>25000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3832919</v>
      </c>
      <c r="S95" s="374">
        <f>SUM(S83:S86,S88:S94)</f>
        <v>3091265</v>
      </c>
      <c r="T95" s="370">
        <f>SUM(T83:T86,T88:T94)</f>
        <v>0</v>
      </c>
      <c r="U95" s="367"/>
    </row>
    <row r="96" spans="1:21" s="368" customFormat="1">
      <c r="A96" s="373" t="s">
        <v>579</v>
      </c>
      <c r="B96" s="370">
        <f>SUM(C96:D96)</f>
        <v>55507008</v>
      </c>
      <c r="C96" s="370">
        <f t="shared" ref="C96:R96" si="23">SUM(C62+C69+C76+C80+C95)</f>
        <v>55507008</v>
      </c>
      <c r="D96" s="370">
        <f t="shared" si="23"/>
        <v>0</v>
      </c>
      <c r="E96" s="370">
        <f t="shared" si="23"/>
        <v>27700834</v>
      </c>
      <c r="F96" s="370">
        <f t="shared" si="23"/>
        <v>6321000</v>
      </c>
      <c r="G96" s="370">
        <f t="shared" si="23"/>
        <v>14291374</v>
      </c>
      <c r="H96" s="370">
        <f t="shared" si="23"/>
        <v>5393800</v>
      </c>
      <c r="I96" s="370">
        <f t="shared" si="23"/>
        <v>1800000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55507008</v>
      </c>
      <c r="S96" s="374">
        <f>SUM(+S62+S69+S80+S95)</f>
        <v>51407623</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1250</v>
      </c>
      <c r="B104" s="374">
        <f>SUM(C104:D104)</f>
        <v>57707008</v>
      </c>
      <c r="C104" s="374">
        <f t="shared" ref="C104:R104" si="25">SUM(C96+C103)</f>
        <v>57707008</v>
      </c>
      <c r="D104" s="374">
        <f t="shared" si="25"/>
        <v>0</v>
      </c>
      <c r="E104" s="374">
        <f t="shared" si="25"/>
        <v>29900834</v>
      </c>
      <c r="F104" s="374">
        <f t="shared" si="25"/>
        <v>6321000</v>
      </c>
      <c r="G104" s="374">
        <f t="shared" si="25"/>
        <v>14291374</v>
      </c>
      <c r="H104" s="374">
        <f t="shared" si="25"/>
        <v>5393800</v>
      </c>
      <c r="I104" s="374">
        <f t="shared" si="25"/>
        <v>1800000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57707008</v>
      </c>
      <c r="S104" s="374">
        <f>S96+S103</f>
        <v>53607623</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53607623</v>
      </c>
      <c r="T106" s="388">
        <f>T104+T105</f>
        <v>0</v>
      </c>
      <c r="U106" s="386"/>
    </row>
    <row r="107" spans="1:21" s="389" customFormat="1">
      <c r="A107" s="387" t="s">
        <v>1194</v>
      </c>
      <c r="B107" s="382"/>
      <c r="C107" s="382"/>
      <c r="D107" s="382"/>
      <c r="E107" s="632">
        <f>Application!AO645</f>
        <v>29900834</v>
      </c>
      <c r="F107" s="632">
        <f>Application!AO632</f>
        <v>6321000</v>
      </c>
      <c r="G107" s="632">
        <f>Application!AO633</f>
        <v>14291374</v>
      </c>
      <c r="H107" s="632">
        <f>Application!AO634</f>
        <v>5393800</v>
      </c>
      <c r="I107" s="632">
        <f>Application!AO635</f>
        <v>1800000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02" t="s">
        <v>1395</v>
      </c>
      <c r="E122" s="2202"/>
      <c r="F122" s="2202"/>
      <c r="U122" s="386"/>
    </row>
    <row r="123" spans="1:21" s="383" customFormat="1">
      <c r="A123" s="383" t="s">
        <v>1396</v>
      </c>
      <c r="B123" s="844"/>
      <c r="D123" s="2205" t="s">
        <v>1423</v>
      </c>
      <c r="E123" s="2206"/>
      <c r="F123" s="2206"/>
      <c r="G123" s="2206"/>
      <c r="H123" s="2206"/>
      <c r="I123" s="2206"/>
      <c r="J123" s="2206"/>
      <c r="K123" s="2206"/>
      <c r="L123" s="2206"/>
      <c r="M123" s="2206"/>
      <c r="N123" s="2206"/>
      <c r="O123" s="2206"/>
      <c r="P123" s="2206"/>
      <c r="Q123" s="2206"/>
      <c r="R123" s="2206"/>
      <c r="S123" s="2206"/>
      <c r="U123" s="386"/>
    </row>
    <row r="124" spans="1:21" s="383" customFormat="1" ht="12.75">
      <c r="A124" s="847" t="s">
        <v>1397</v>
      </c>
      <c r="B124" s="844"/>
      <c r="C124" s="847"/>
      <c r="D124" s="2206"/>
      <c r="E124" s="2206"/>
      <c r="F124" s="2206"/>
      <c r="G124" s="2206"/>
      <c r="H124" s="2206"/>
      <c r="I124" s="2206"/>
      <c r="J124" s="2206"/>
      <c r="K124" s="2206"/>
      <c r="L124" s="2206"/>
      <c r="M124" s="2206"/>
      <c r="N124" s="2206"/>
      <c r="O124" s="2206"/>
      <c r="P124" s="2206"/>
      <c r="Q124" s="2206"/>
      <c r="R124" s="2206"/>
      <c r="S124" s="2206"/>
      <c r="U124" s="386"/>
    </row>
    <row r="125" spans="1:21" s="383" customFormat="1" ht="12.75">
      <c r="A125" s="847" t="s">
        <v>1398</v>
      </c>
      <c r="B125" s="844"/>
      <c r="C125" s="847"/>
      <c r="D125" s="2206"/>
      <c r="E125" s="2206"/>
      <c r="F125" s="2206"/>
      <c r="G125" s="2206"/>
      <c r="H125" s="2206"/>
      <c r="I125" s="2206"/>
      <c r="J125" s="2206"/>
      <c r="K125" s="2206"/>
      <c r="L125" s="2206"/>
      <c r="M125" s="2206"/>
      <c r="N125" s="2206"/>
      <c r="O125" s="2206"/>
      <c r="P125" s="2206"/>
      <c r="Q125" s="2206"/>
      <c r="R125" s="2206"/>
      <c r="S125" s="2206"/>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199"/>
      <c r="E128" s="2199"/>
      <c r="F128" s="2199"/>
      <c r="G128" s="2199"/>
      <c r="H128" s="2199"/>
      <c r="I128" s="847"/>
      <c r="J128" s="2200"/>
      <c r="K128" s="2200"/>
      <c r="L128" s="847"/>
      <c r="M128" s="847"/>
      <c r="N128" s="847"/>
      <c r="O128" s="847"/>
      <c r="P128" s="847"/>
      <c r="Q128" s="847"/>
      <c r="R128" s="847"/>
      <c r="S128" s="847"/>
      <c r="U128" s="386"/>
    </row>
    <row r="129" spans="1:21" s="383" customFormat="1" ht="12.75">
      <c r="A129" s="847" t="s">
        <v>544</v>
      </c>
      <c r="B129" s="844"/>
      <c r="C129" s="847"/>
      <c r="D129" s="2201" t="s">
        <v>1402</v>
      </c>
      <c r="E129" s="2201"/>
      <c r="F129" s="2201"/>
      <c r="G129" s="2201"/>
      <c r="H129" s="2201"/>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7" t="s">
        <v>1405</v>
      </c>
      <c r="E132" s="2207"/>
      <c r="F132" s="2207"/>
      <c r="G132" s="2207"/>
      <c r="H132" s="2207"/>
      <c r="I132" s="847"/>
      <c r="J132" s="2207" t="s">
        <v>1406</v>
      </c>
      <c r="K132" s="2207"/>
      <c r="L132" s="2207"/>
      <c r="M132" s="2207"/>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8"/>
      <c r="B138" s="2209"/>
      <c r="C138" s="2209"/>
      <c r="D138" s="547"/>
      <c r="E138" s="2200"/>
      <c r="F138" s="2200"/>
      <c r="G138" s="847"/>
      <c r="H138" s="847"/>
      <c r="I138" s="847"/>
      <c r="J138" s="847"/>
      <c r="K138" s="847"/>
      <c r="L138" s="847"/>
      <c r="M138" s="847"/>
      <c r="N138" s="847"/>
      <c r="O138" s="847"/>
      <c r="P138" s="847"/>
      <c r="Q138" s="847"/>
      <c r="R138" s="847"/>
      <c r="S138" s="847"/>
    </row>
    <row r="139" spans="1:21" ht="12" customHeight="1">
      <c r="A139" s="2203" t="s">
        <v>1409</v>
      </c>
      <c r="B139" s="2204"/>
      <c r="C139" s="2204"/>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98:R102 R82:R94">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B71" sqref="AB7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9" t="s">
        <v>1911</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6" t="s">
        <v>2002</v>
      </c>
      <c r="AA6" s="2"/>
    </row>
    <row r="7" spans="1:40" ht="13.7"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NON-DDA/
NON-QCT Building(s)</v>
      </c>
      <c r="U7" s="2229"/>
      <c r="V7" s="2229"/>
      <c r="W7" s="2229"/>
      <c r="X7" s="2229"/>
      <c r="Y7" s="2229" t="str">
        <f>IF(T25=100%," ",'Sources and Basis Breakdown'!G2)</f>
        <v xml:space="preserve"> </v>
      </c>
      <c r="Z7" s="2229"/>
      <c r="AA7" s="2229"/>
      <c r="AB7" s="2229"/>
      <c r="AC7" s="2229"/>
      <c r="AD7" s="2229" t="str">
        <f>IF(T25=100%,'Sources and Basis Breakdown'!J2,'Sources and Basis Breakdown'!I2)</f>
        <v>30% PVC for Acquisition
NON-DDA/
NON-QCT Building(s)</v>
      </c>
      <c r="AE7" s="2229"/>
      <c r="AF7" s="2229"/>
      <c r="AG7" s="2229"/>
      <c r="AH7" s="2229"/>
      <c r="AI7" s="2229" t="str">
        <f>IF(T25=100%," ",'Sources and Basis Breakdown'!J2)</f>
        <v xml:space="preserve"> </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53607623</v>
      </c>
      <c r="U11" s="2254"/>
      <c r="V11" s="2254"/>
      <c r="W11" s="2254"/>
      <c r="X11" s="2254"/>
      <c r="Y11" s="2253">
        <f>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2.75">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1875</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2.75">
      <c r="B14" s="11"/>
      <c r="C14" s="2263" t="s">
        <v>832</v>
      </c>
      <c r="D14" s="2263"/>
      <c r="E14" s="2263"/>
      <c r="F14" s="2263"/>
      <c r="G14" s="2263"/>
      <c r="H14" s="2263"/>
      <c r="I14" s="2263"/>
      <c r="J14" s="2263"/>
      <c r="K14" s="2263"/>
      <c r="L14" s="2263"/>
      <c r="M14" s="2263"/>
      <c r="N14" s="2263"/>
      <c r="O14" s="2263"/>
      <c r="P14" s="2263"/>
      <c r="Q14" s="2263"/>
      <c r="R14" s="2263"/>
      <c r="S14" s="2264"/>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75">
      <c r="B15" s="11"/>
      <c r="C15" s="2263" t="s">
        <v>833</v>
      </c>
      <c r="D15" s="2263"/>
      <c r="E15" s="2263"/>
      <c r="F15" s="2263"/>
      <c r="G15" s="2263"/>
      <c r="H15" s="2263"/>
      <c r="I15" s="2263"/>
      <c r="J15" s="2263"/>
      <c r="K15" s="2263"/>
      <c r="L15" s="2263"/>
      <c r="M15" s="2263"/>
      <c r="N15" s="2263"/>
      <c r="O15" s="2263"/>
      <c r="P15" s="2263"/>
      <c r="Q15" s="2263"/>
      <c r="R15" s="2263"/>
      <c r="S15" s="2264"/>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75">
      <c r="B16" s="11"/>
      <c r="C16" s="2262" t="s">
        <v>1095</v>
      </c>
      <c r="D16" s="2262"/>
      <c r="E16" s="2262"/>
      <c r="F16" s="2262"/>
      <c r="G16" s="2262"/>
      <c r="H16" s="2262"/>
      <c r="I16" s="2262"/>
      <c r="J16" s="2262"/>
      <c r="K16" s="2262"/>
      <c r="L16" s="2262"/>
      <c r="M16" s="2262"/>
      <c r="N16" s="2262"/>
      <c r="O16" s="2262"/>
      <c r="P16" s="2262"/>
      <c r="Q16" s="2262"/>
      <c r="R16" s="2262"/>
      <c r="S16" s="2265"/>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75">
      <c r="B17" s="11"/>
      <c r="C17" s="2263" t="s">
        <v>834</v>
      </c>
      <c r="D17" s="2263"/>
      <c r="E17" s="2263"/>
      <c r="F17" s="2263"/>
      <c r="G17" s="2263"/>
      <c r="H17" s="2263"/>
      <c r="I17" s="2263"/>
      <c r="J17" s="2263"/>
      <c r="K17" s="2263"/>
      <c r="L17" s="2263"/>
      <c r="M17" s="2263"/>
      <c r="N17" s="2263"/>
      <c r="O17" s="2263"/>
      <c r="P17" s="2263"/>
      <c r="Q17" s="2263"/>
      <c r="R17" s="2263"/>
      <c r="S17" s="2264"/>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75">
      <c r="B18" s="903"/>
      <c r="C18" s="1953" t="s">
        <v>1316</v>
      </c>
      <c r="D18" s="1953"/>
      <c r="E18" s="1953"/>
      <c r="F18" s="1953"/>
      <c r="G18" s="1953"/>
      <c r="H18" s="1953"/>
      <c r="I18" s="1953"/>
      <c r="J18" s="1953"/>
      <c r="K18" s="1953"/>
      <c r="L18" s="1953"/>
      <c r="M18" s="1953"/>
      <c r="N18" s="1953"/>
      <c r="O18" s="1953"/>
      <c r="P18" s="1953"/>
      <c r="Q18" s="1953"/>
      <c r="R18" s="1953"/>
      <c r="S18" s="1954"/>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75">
      <c r="B19" s="745"/>
      <c r="C19" s="1953" t="s">
        <v>1316</v>
      </c>
      <c r="D19" s="1953"/>
      <c r="E19" s="1953"/>
      <c r="F19" s="1953"/>
      <c r="G19" s="1953"/>
      <c r="H19" s="1953"/>
      <c r="I19" s="1953"/>
      <c r="J19" s="1953"/>
      <c r="K19" s="1953"/>
      <c r="L19" s="1953"/>
      <c r="M19" s="1953"/>
      <c r="N19" s="1953"/>
      <c r="O19" s="1953"/>
      <c r="P19" s="1953"/>
      <c r="Q19" s="1953"/>
      <c r="R19" s="1953"/>
      <c r="S19" s="1954"/>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2.75">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1874</v>
      </c>
      <c r="C21" s="2227"/>
      <c r="D21" s="2227"/>
      <c r="E21" s="2227"/>
      <c r="F21" s="2227"/>
      <c r="G21" s="2227"/>
      <c r="H21" s="2227"/>
      <c r="I21" s="2227"/>
      <c r="J21" s="2227"/>
      <c r="K21" s="2227"/>
      <c r="L21" s="2227"/>
      <c r="M21" s="2227"/>
      <c r="N21" s="2227"/>
      <c r="O21" s="2227"/>
      <c r="P21" s="2227"/>
      <c r="Q21" s="2227"/>
      <c r="R21" s="2227"/>
      <c r="S21" s="2228"/>
      <c r="T21" s="1720"/>
      <c r="U21" s="1723"/>
      <c r="V21" s="1723"/>
      <c r="W21" s="1723"/>
      <c r="X21" s="1723"/>
      <c r="Y21" s="1720">
        <v>25829845</v>
      </c>
      <c r="Z21" s="1723"/>
      <c r="AA21" s="1723"/>
      <c r="AB21" s="1723"/>
      <c r="AC21" s="1723"/>
      <c r="AD21" s="1723"/>
      <c r="AE21" s="1723"/>
      <c r="AF21" s="1723"/>
      <c r="AG21" s="1723"/>
      <c r="AH21" s="1723"/>
      <c r="AI21" s="1718"/>
      <c r="AJ21" s="1719"/>
      <c r="AK21" s="1719"/>
      <c r="AL21" s="1719"/>
      <c r="AM21" s="1720"/>
    </row>
    <row r="22" spans="1:39" ht="12.75">
      <c r="B22" s="2226" t="s">
        <v>836</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-25829845</v>
      </c>
      <c r="Z22" s="2268"/>
      <c r="AA22" s="2268"/>
      <c r="AB22" s="2268"/>
      <c r="AC22" s="2268"/>
      <c r="AD22" s="2267">
        <f>(AD20+AD21)*-1</f>
        <v>0</v>
      </c>
      <c r="AE22" s="2268"/>
      <c r="AF22" s="2268"/>
      <c r="AG22" s="2268"/>
      <c r="AH22" s="2268"/>
      <c r="AI22" s="2278">
        <f>(AI20+AI21)*-1</f>
        <v>0</v>
      </c>
      <c r="AJ22" s="2279"/>
      <c r="AK22" s="2279"/>
      <c r="AL22" s="2279"/>
      <c r="AM22" s="2267"/>
    </row>
    <row r="23" spans="1:39" ht="12.75">
      <c r="A23" s="2"/>
      <c r="B23" s="2286" t="s">
        <v>2103</v>
      </c>
      <c r="C23" s="2287"/>
      <c r="D23" s="2287"/>
      <c r="E23" s="2287"/>
      <c r="F23" s="2287"/>
      <c r="G23" s="2287"/>
      <c r="H23" s="2287"/>
      <c r="I23" s="2287"/>
      <c r="J23" s="2287"/>
      <c r="K23" s="2287"/>
      <c r="L23" s="2287"/>
      <c r="M23" s="2287"/>
      <c r="N23" s="2287"/>
      <c r="O23" s="2287"/>
      <c r="P23" s="2287"/>
      <c r="Q23" s="2287"/>
      <c r="R23" s="2287"/>
      <c r="S23" s="2288"/>
      <c r="T23" s="2221">
        <f>T11+T22</f>
        <v>53607623</v>
      </c>
      <c r="U23" s="2222"/>
      <c r="V23" s="2222"/>
      <c r="W23" s="2222"/>
      <c r="X23" s="2222"/>
      <c r="Y23" s="2221">
        <f>Y11+Y22</f>
        <v>-25829845</v>
      </c>
      <c r="Z23" s="2222"/>
      <c r="AA23" s="2222"/>
      <c r="AB23" s="2222"/>
      <c r="AC23" s="2222"/>
      <c r="AD23" s="2221">
        <f>IF(AD11=AD21,0,AD11)</f>
        <v>0</v>
      </c>
      <c r="AE23" s="2222"/>
      <c r="AF23" s="2222"/>
      <c r="AG23" s="2222"/>
      <c r="AH23" s="2222"/>
      <c r="AI23" s="2221">
        <f>IF(AI11=AI21,0,AI11)</f>
        <v>0</v>
      </c>
      <c r="AJ23" s="2222"/>
      <c r="AK23" s="2222"/>
      <c r="AL23" s="2222"/>
      <c r="AM23" s="2222"/>
    </row>
    <row r="24" spans="1:39" ht="12.75">
      <c r="B24" s="2226" t="s">
        <v>1317</v>
      </c>
      <c r="C24" s="2227"/>
      <c r="D24" s="2227"/>
      <c r="E24" s="2227"/>
      <c r="F24" s="2227"/>
      <c r="G24" s="2227"/>
      <c r="H24" s="2227"/>
      <c r="I24" s="2227"/>
      <c r="J24" s="2227"/>
      <c r="K24" s="2227"/>
      <c r="L24" s="2227"/>
      <c r="M24" s="2227"/>
      <c r="N24" s="2227"/>
      <c r="O24" s="2227"/>
      <c r="P24" s="2227"/>
      <c r="Q24" s="2227"/>
      <c r="R24" s="2227"/>
      <c r="S24" s="2228"/>
      <c r="T24" s="2289">
        <f>Application!AJ1002</f>
        <v>65502981</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2105</v>
      </c>
      <c r="C25" s="2281"/>
      <c r="D25" s="2281"/>
      <c r="E25" s="2281"/>
      <c r="F25" s="2281"/>
      <c r="G25" s="2281"/>
      <c r="H25" s="2281"/>
      <c r="I25" s="2281"/>
      <c r="J25" s="2281"/>
      <c r="K25" s="2281"/>
      <c r="L25" s="2281"/>
      <c r="M25" s="2281"/>
      <c r="N25" s="2281"/>
      <c r="O25" s="2281"/>
      <c r="P25" s="2281"/>
      <c r="Q25" s="2281"/>
      <c r="R25" s="2281"/>
      <c r="S25" s="2282"/>
      <c r="T25" s="2269">
        <f>IF(OR(AND(Application!T193="no",Application!T194="no",Application!T196="no",Application!Y211="no"),Application!T195="yes"),1,1.3)</f>
        <v>1</v>
      </c>
      <c r="U25" s="2270"/>
      <c r="V25" s="2270"/>
      <c r="W25" s="2270"/>
      <c r="X25" s="2270"/>
      <c r="Y25" s="2273">
        <v>1</v>
      </c>
      <c r="Z25" s="2274"/>
      <c r="AA25" s="2274"/>
      <c r="AB25" s="2274"/>
      <c r="AC25" s="2275"/>
      <c r="AD25" s="2273">
        <v>1</v>
      </c>
      <c r="AE25" s="2274"/>
      <c r="AF25" s="2274"/>
      <c r="AG25" s="2274"/>
      <c r="AH25" s="2275"/>
      <c r="AI25" s="2273">
        <v>1</v>
      </c>
      <c r="AJ25" s="2274"/>
      <c r="AK25" s="2274"/>
      <c r="AL25" s="2274"/>
      <c r="AM25" s="2275"/>
    </row>
    <row r="26" spans="1:39" ht="12.75">
      <c r="B26" s="2226" t="s">
        <v>838</v>
      </c>
      <c r="C26" s="2227"/>
      <c r="D26" s="2227"/>
      <c r="E26" s="2227"/>
      <c r="F26" s="2227"/>
      <c r="G26" s="2227"/>
      <c r="H26" s="2227"/>
      <c r="I26" s="2227"/>
      <c r="J26" s="2227"/>
      <c r="K26" s="2227"/>
      <c r="L26" s="2227"/>
      <c r="M26" s="2227"/>
      <c r="N26" s="2227"/>
      <c r="O26" s="2227"/>
      <c r="P26" s="2227"/>
      <c r="Q26" s="2227"/>
      <c r="R26" s="2227"/>
      <c r="S26" s="2228"/>
      <c r="T26" s="2276">
        <f>T23*T25</f>
        <v>53607623</v>
      </c>
      <c r="U26" s="2277"/>
      <c r="V26" s="2277"/>
      <c r="W26" s="2277"/>
      <c r="X26" s="2277"/>
      <c r="Y26" s="2276">
        <f>Y23*Y25</f>
        <v>-25829845</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53607623</v>
      </c>
      <c r="U28" s="2243"/>
      <c r="V28" s="2243"/>
      <c r="W28" s="2243"/>
      <c r="X28" s="2243"/>
      <c r="Y28" s="1797">
        <f>IF(ISERROR((Y26*Y27)),0,(Y26*Y27))</f>
        <v>-25829845</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2.75">
      <c r="B29" s="2226" t="s">
        <v>684</v>
      </c>
      <c r="C29" s="2227"/>
      <c r="D29" s="2227"/>
      <c r="E29" s="2227"/>
      <c r="F29" s="2227"/>
      <c r="G29" s="2227"/>
      <c r="H29" s="2227"/>
      <c r="I29" s="2227"/>
      <c r="J29" s="2227"/>
      <c r="K29" s="2227"/>
      <c r="L29" s="2227"/>
      <c r="M29" s="2227"/>
      <c r="N29" s="2227"/>
      <c r="O29" s="2227"/>
      <c r="P29" s="2227"/>
      <c r="Q29" s="2227"/>
      <c r="R29" s="2227"/>
      <c r="S29" s="2228"/>
      <c r="T29" s="2289">
        <f>T28+Y28+AD28+AI28</f>
        <v>27777778</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248" t="s">
        <v>2104</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2.75">
      <c r="B31" s="2210" t="s">
        <v>2108</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27777778</v>
      </c>
      <c r="Z38" s="2222"/>
      <c r="AA38" s="2222"/>
      <c r="AB38" s="2222"/>
      <c r="AC38" s="2222"/>
      <c r="AD38" s="2222">
        <f>IF(T24&gt;=(T23+Y23+AD23+AI23),AD28+AI28,0)</f>
        <v>0</v>
      </c>
      <c r="AE38" s="2222"/>
      <c r="AF38" s="2222"/>
      <c r="AG38" s="2222"/>
      <c r="AH38" s="2222"/>
    </row>
    <row r="39" spans="1:44" ht="12.75">
      <c r="B39" s="2226" t="s">
        <v>1987</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2500000</v>
      </c>
      <c r="Z40" s="2222"/>
      <c r="AA40" s="2222"/>
      <c r="AB40" s="2222"/>
      <c r="AC40" s="2222"/>
      <c r="AD40" s="2221">
        <f>ROUND(AD38*AD39,0)</f>
        <v>0</v>
      </c>
      <c r="AE40" s="2222"/>
      <c r="AF40" s="2222"/>
      <c r="AG40" s="2222"/>
      <c r="AH40" s="2222"/>
    </row>
    <row r="41" spans="1:44" ht="12.75">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2500000</v>
      </c>
      <c r="Z41" s="2224"/>
      <c r="AA41" s="2224"/>
      <c r="AB41" s="2224"/>
      <c r="AC41" s="2224"/>
      <c r="AD41" s="2224"/>
      <c r="AE41" s="2224"/>
      <c r="AF41" s="2224"/>
      <c r="AG41" s="2224"/>
      <c r="AH41" s="2225"/>
    </row>
    <row r="42" spans="1:44" ht="12.75" customHeight="1">
      <c r="A42" s="6"/>
      <c r="B42" s="2242" t="s">
        <v>1988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17">
        <f>'Sources and Uses Budget'!B104-(MAX(IF('Sources and Uses Budget'!B15="",0,'Sources and Uses Budget'!B15),IF(Application!AG387="",0,Application!AG387)))</f>
        <v>57707008</v>
      </c>
      <c r="AC46" s="2218"/>
      <c r="AD46" s="2218"/>
      <c r="AE46" s="2218"/>
      <c r="AF46" s="2219"/>
    </row>
    <row r="47" spans="1:44" ht="12.75" customHeight="1">
      <c r="D47" s="6" t="s">
        <v>910</v>
      </c>
      <c r="AB47" s="2217">
        <f>Application!AO644-MAX(IF('Sources and Uses Budget'!B15="",0,'Sources and Uses Budget'!B15),IF(Application!AG387="",0,Application!AG387))</f>
        <v>27806174</v>
      </c>
      <c r="AC47" s="2218"/>
      <c r="AD47" s="2218"/>
      <c r="AE47" s="2218"/>
      <c r="AF47" s="2219"/>
    </row>
    <row r="48" spans="1:44" ht="12.75">
      <c r="D48" s="6" t="s">
        <v>418</v>
      </c>
      <c r="AB48" s="2217">
        <f>AB46-AB47</f>
        <v>29900834</v>
      </c>
      <c r="AC48" s="2218"/>
      <c r="AD48" s="2218"/>
      <c r="AE48" s="2218"/>
      <c r="AF48" s="2219"/>
    </row>
    <row r="49" spans="1:40" ht="12.75">
      <c r="D49" s="6" t="s">
        <v>949</v>
      </c>
      <c r="X49" s="2"/>
      <c r="Y49" s="2"/>
      <c r="Z49" s="2"/>
      <c r="AA49" s="409"/>
      <c r="AB49" s="2236">
        <v>0.91269999999999996</v>
      </c>
      <c r="AC49" s="2237"/>
      <c r="AD49" s="2237"/>
      <c r="AE49" s="2237"/>
      <c r="AF49" s="2238"/>
    </row>
    <row r="50" spans="1:40" s="497" customFormat="1" ht="15" customHeight="1">
      <c r="A50" s="2"/>
      <c r="B50" s="2"/>
      <c r="C50" s="2"/>
      <c r="D50" s="272"/>
      <c r="E50" s="2247" t="s">
        <v>2162</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32760857</v>
      </c>
      <c r="AC53" s="2218"/>
      <c r="AD53" s="2218"/>
      <c r="AE53" s="2218"/>
      <c r="AF53" s="2219"/>
    </row>
    <row r="54" spans="1:40" ht="12.75" customHeight="1">
      <c r="D54" s="6" t="s">
        <v>617</v>
      </c>
      <c r="AB54" s="2217">
        <f>(AB53/10)</f>
        <v>3276085.7</v>
      </c>
      <c r="AC54" s="2218"/>
      <c r="AD54" s="2218"/>
      <c r="AE54" s="2218"/>
      <c r="AF54" s="2219"/>
    </row>
    <row r="55" spans="1:40" ht="12.75">
      <c r="D55" s="6" t="s">
        <v>377</v>
      </c>
      <c r="AB55" s="2244">
        <f>(IF((Y41&lt;AB54),Y41,AB54))</f>
        <v>2500000</v>
      </c>
      <c r="AC55" s="2245"/>
      <c r="AD55" s="2245"/>
      <c r="AE55" s="2245"/>
      <c r="AF55" s="2246"/>
    </row>
    <row r="56" spans="1:40" ht="12.75">
      <c r="D56" s="6" t="s">
        <v>117</v>
      </c>
      <c r="AB56" s="2217">
        <f>ROUND((10*AB55*AB49),0)</f>
        <v>22817500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7083334</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43">
        <f>IF(AND(Application!T193="No",Application!T194="No"),T28,IF(OR(AND(T25=1.3,Application!T196="Yes",Application!D214="Special Needs"),T25=1),(T23*T27)+Y28,Y28))</f>
        <v>53607623</v>
      </c>
      <c r="Z63" s="2239"/>
      <c r="AA63" s="2239"/>
      <c r="AB63" s="2239"/>
      <c r="AC63" s="2239"/>
      <c r="AD63" s="1868">
        <f>IF(AND(T25=1.3,Application!D214="At-Risk"),AI28,IF(Application!D214&lt;&gt;"At-Risk",0,AD28))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2.75">
      <c r="C67" s="6"/>
      <c r="D67" s="6" t="s">
        <v>1023</v>
      </c>
      <c r="Y67" s="1868">
        <f>ROUND(Y63*Y66,0)</f>
        <v>16082287</v>
      </c>
      <c r="Z67" s="2239"/>
      <c r="AA67" s="2239"/>
      <c r="AB67" s="2239"/>
      <c r="AC67" s="2239"/>
      <c r="AD67" s="1868" t="str">
        <f>IF(OR(Application!D211="At-Risk",Application!D211="At-Risk/Located in Rural Census Tract",Application!D214="At-Risk"),ROUND(AD63*AD66,0),"$0")</f>
        <v>$0</v>
      </c>
      <c r="AE67" s="2240"/>
      <c r="AF67" s="2240"/>
      <c r="AG67" s="2240"/>
      <c r="AH67" s="2240"/>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f>7083334/8333334</f>
        <v>0.85000001199999908</v>
      </c>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D72" s="1062"/>
      <c r="AE72" s="1062"/>
      <c r="AF72" s="1062"/>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4">
        <f>ROUND(IF(ISERROR((AB58/AB70)),0,(AB58/AB70)),0)</f>
        <v>8333334</v>
      </c>
      <c r="AC75" s="2234"/>
      <c r="AD75" s="2234"/>
      <c r="AE75" s="2234"/>
      <c r="AF75" s="2234"/>
    </row>
    <row r="76" spans="1:40" ht="12.75" customHeight="1">
      <c r="C76" s="6"/>
      <c r="D76" s="6" t="s">
        <v>115</v>
      </c>
      <c r="AB76" s="2231">
        <f>IF((Y67+AD67&lt;AB75),Y67+AD67,AB75)</f>
        <v>8333334</v>
      </c>
      <c r="AC76" s="2232"/>
      <c r="AD76" s="2232"/>
      <c r="AE76" s="2232"/>
      <c r="AF76" s="2233"/>
    </row>
    <row r="77" spans="1:40" ht="12.75" customHeight="1">
      <c r="C77" s="6"/>
      <c r="D77" s="6" t="s">
        <v>1024</v>
      </c>
      <c r="AB77" s="2230">
        <f>AB76*AB70</f>
        <v>7083334</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1" t="s">
        <v>1995</v>
      </c>
      <c r="B1" s="2292"/>
      <c r="C1" s="2292"/>
      <c r="D1" s="2292"/>
      <c r="E1" s="2292"/>
      <c r="F1" s="2292"/>
      <c r="G1" s="2292"/>
      <c r="H1" s="2292"/>
      <c r="I1" s="2292"/>
      <c r="J1" s="2293"/>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1800000</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70000</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765</v>
      </c>
      <c r="B8" s="893">
        <f>'Sources and Uses Budget'!C8</f>
        <v>1870000</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1870000</v>
      </c>
      <c r="C12" s="893">
        <f>SUM(C8+C11)</f>
        <v>0</v>
      </c>
      <c r="D12" s="893">
        <f>SUM(D8+D11)</f>
        <v>0</v>
      </c>
      <c r="E12" s="895"/>
      <c r="F12" s="895"/>
      <c r="G12" s="895"/>
      <c r="H12" s="895"/>
      <c r="I12" s="895"/>
      <c r="J12" s="895"/>
      <c r="K12" s="888"/>
    </row>
    <row r="13" spans="1:11" s="383" customFormat="1">
      <c r="A13" s="699" t="s">
        <v>1197</v>
      </c>
      <c r="B13" s="893">
        <f>'Sources and Uses Budget'!C13</f>
        <v>85549</v>
      </c>
      <c r="C13" s="894"/>
      <c r="D13" s="894"/>
      <c r="E13" s="893">
        <f>'Sources and Uses Budget'!S13</f>
        <v>85549</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3600000</v>
      </c>
      <c r="C28" s="894"/>
      <c r="D28" s="894"/>
      <c r="E28" s="893">
        <f>'Sources and Uses Budget'!S29</f>
        <v>3600000</v>
      </c>
      <c r="F28" s="894"/>
      <c r="G28" s="894"/>
      <c r="H28" s="893">
        <f>'Sources and Uses Budget'!T29</f>
        <v>0</v>
      </c>
      <c r="I28" s="894"/>
      <c r="J28" s="894"/>
      <c r="K28" s="888"/>
    </row>
    <row r="29" spans="1:11" s="383" customFormat="1">
      <c r="A29" s="369" t="s">
        <v>993</v>
      </c>
      <c r="B29" s="893">
        <f>'Sources and Uses Budget'!C30</f>
        <v>27980177</v>
      </c>
      <c r="C29" s="894"/>
      <c r="D29" s="894"/>
      <c r="E29" s="893">
        <f>'Sources and Uses Budget'!S30</f>
        <v>27980177</v>
      </c>
      <c r="F29" s="894"/>
      <c r="G29" s="894"/>
      <c r="H29" s="893">
        <f>'Sources and Uses Budget'!T30</f>
        <v>0</v>
      </c>
      <c r="I29" s="894"/>
      <c r="J29" s="894"/>
      <c r="K29" s="888"/>
    </row>
    <row r="30" spans="1:11" s="383" customFormat="1">
      <c r="A30" s="369" t="s">
        <v>994</v>
      </c>
      <c r="B30" s="893">
        <f>'Sources and Uses Budget'!C31</f>
        <v>2014868</v>
      </c>
      <c r="C30" s="894"/>
      <c r="D30" s="894"/>
      <c r="E30" s="893">
        <f>'Sources and Uses Budget'!S31</f>
        <v>2014868</v>
      </c>
      <c r="F30" s="894"/>
      <c r="G30" s="894"/>
      <c r="H30" s="893">
        <f>'Sources and Uses Budget'!T31</f>
        <v>0</v>
      </c>
      <c r="I30" s="894"/>
      <c r="J30" s="894"/>
      <c r="K30" s="888"/>
    </row>
    <row r="31" spans="1:11" s="383" customFormat="1">
      <c r="A31" s="369" t="s">
        <v>995</v>
      </c>
      <c r="B31" s="893">
        <f>'Sources and Uses Budget'!C32</f>
        <v>2636741</v>
      </c>
      <c r="C31" s="894"/>
      <c r="D31" s="894"/>
      <c r="E31" s="893">
        <f>'Sources and Uses Budget'!S32</f>
        <v>2636741</v>
      </c>
      <c r="F31" s="894"/>
      <c r="G31" s="894"/>
      <c r="H31" s="893">
        <f>'Sources and Uses Budget'!T32</f>
        <v>0</v>
      </c>
      <c r="I31" s="894"/>
      <c r="J31" s="894"/>
      <c r="K31" s="888"/>
    </row>
    <row r="32" spans="1:11" s="383" customFormat="1">
      <c r="A32" s="369" t="s">
        <v>996</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998</v>
      </c>
      <c r="B34" s="893">
        <f>'Sources and Uses Budget'!C35</f>
        <v>753920</v>
      </c>
      <c r="C34" s="894"/>
      <c r="D34" s="894"/>
      <c r="E34" s="893">
        <f>'Sources and Uses Budget'!S35</f>
        <v>753920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266000</v>
      </c>
      <c r="C35" s="894"/>
      <c r="D35" s="894"/>
      <c r="E35" s="893">
        <f>'Sources and Uses Budget'!S36</f>
        <v>266000</v>
      </c>
      <c r="F35" s="894"/>
      <c r="G35" s="894"/>
      <c r="H35" s="893">
        <f>'Sources and Uses Budget'!T36</f>
        <v>0</v>
      </c>
      <c r="I35" s="894"/>
      <c r="J35" s="894"/>
      <c r="K35" s="888"/>
    </row>
    <row r="36" spans="1:11" s="383" customFormat="1">
      <c r="A36" s="700" t="str">
        <f>'Sources and Uses Budget'!$A37</f>
        <v>Photovoltaic</v>
      </c>
      <c r="B36" s="893">
        <f>'Sources and Uses Budget'!C37</f>
        <v>2100000</v>
      </c>
      <c r="C36" s="894"/>
      <c r="D36" s="894"/>
      <c r="E36" s="893">
        <f>'Sources and Uses Budget'!S37</f>
        <v>2100000</v>
      </c>
      <c r="F36" s="894"/>
      <c r="G36" s="894"/>
      <c r="H36" s="893">
        <f>'Sources and Uses Budget'!T37</f>
        <v>0</v>
      </c>
      <c r="I36" s="894"/>
      <c r="J36" s="894"/>
      <c r="K36" s="888"/>
    </row>
    <row r="37" spans="1:11" s="383" customFormat="1">
      <c r="A37" s="886" t="s">
        <v>1001</v>
      </c>
      <c r="B37" s="893">
        <f>'Sources and Uses Budget'!C38</f>
        <v>39351706</v>
      </c>
      <c r="C37" s="893">
        <f>SUM(C28:C36)</f>
        <v>0</v>
      </c>
      <c r="D37" s="893">
        <f>SUM(D28:D36)</f>
        <v>0</v>
      </c>
      <c r="E37" s="893">
        <f>'Sources and Uses Budget'!S38</f>
        <v>39351706</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2035636</v>
      </c>
      <c r="C39" s="894"/>
      <c r="D39" s="894"/>
      <c r="E39" s="893">
        <f>'Sources and Uses Budget'!S40</f>
        <v>2035636</v>
      </c>
      <c r="F39" s="894"/>
      <c r="G39" s="894"/>
      <c r="H39" s="893">
        <f>'Sources and Uses Budget'!T40</f>
        <v>0</v>
      </c>
      <c r="I39" s="894"/>
      <c r="J39" s="894"/>
      <c r="K39" s="888"/>
    </row>
    <row r="40" spans="1:11" s="383" customFormat="1">
      <c r="A40" s="369" t="s">
        <v>1004</v>
      </c>
      <c r="B40" s="893">
        <f>'Sources and Uses Budget'!C41</f>
        <v>80000</v>
      </c>
      <c r="C40" s="894"/>
      <c r="D40" s="894"/>
      <c r="E40" s="893">
        <f>'Sources and Uses Budget'!S41</f>
        <v>80000</v>
      </c>
      <c r="F40" s="894"/>
      <c r="G40" s="894"/>
      <c r="H40" s="893">
        <f>'Sources and Uses Budget'!T41</f>
        <v>0</v>
      </c>
      <c r="I40" s="894"/>
      <c r="J40" s="894"/>
      <c r="K40" s="888"/>
    </row>
    <row r="41" spans="1:11" s="383" customFormat="1">
      <c r="A41" s="373" t="s">
        <v>1005</v>
      </c>
      <c r="B41" s="893">
        <f>'Sources and Uses Budget'!C42</f>
        <v>2115636</v>
      </c>
      <c r="C41" s="893">
        <f>SUM(C38:C40)</f>
        <v>0</v>
      </c>
      <c r="D41" s="893">
        <f>SUM(D38:D40)</f>
        <v>0</v>
      </c>
      <c r="E41" s="893">
        <f>'Sources and Uses Budget'!S42</f>
        <v>2115636</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235000</v>
      </c>
      <c r="C42" s="894"/>
      <c r="D42" s="894"/>
      <c r="E42" s="893">
        <f>'Sources and Uses Budget'!S43</f>
        <v>235000</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3256995</v>
      </c>
      <c r="C44" s="894"/>
      <c r="D44" s="894"/>
      <c r="E44" s="893">
        <f>'Sources and Uses Budget'!S45</f>
        <v>2381860</v>
      </c>
      <c r="F44" s="894"/>
      <c r="G44" s="894"/>
      <c r="H44" s="893">
        <f>'Sources and Uses Budget'!T45</f>
        <v>0</v>
      </c>
      <c r="I44" s="894"/>
      <c r="J44" s="894"/>
      <c r="K44" s="888"/>
    </row>
    <row r="45" spans="1:11" s="383" customFormat="1">
      <c r="A45" s="369" t="s">
        <v>1009</v>
      </c>
      <c r="B45" s="893">
        <f>'Sources and Uses Budget'!C46</f>
        <v>347738</v>
      </c>
      <c r="C45" s="894"/>
      <c r="D45" s="894"/>
      <c r="E45" s="893">
        <f>'Sources and Uses Budget'!S46</f>
        <v>241720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40000</v>
      </c>
      <c r="C48" s="894"/>
      <c r="D48" s="894"/>
      <c r="E48" s="893">
        <f>'Sources and Uses Budget'!S49</f>
        <v>40000</v>
      </c>
      <c r="F48" s="894"/>
      <c r="G48" s="894"/>
      <c r="H48" s="893">
        <f>'Sources and Uses Budget'!T49</f>
        <v>0</v>
      </c>
      <c r="I48" s="894"/>
      <c r="J48" s="894"/>
      <c r="K48" s="888"/>
    </row>
    <row r="49" spans="1:11" s="383" customFormat="1">
      <c r="A49" s="369" t="s">
        <v>1012</v>
      </c>
      <c r="B49" s="893">
        <f>'Sources and Uses Budget'!C50</f>
        <v>72767</v>
      </c>
      <c r="C49" s="894"/>
      <c r="D49" s="894"/>
      <c r="E49" s="893">
        <f>'Sources and Uses Budget'!S50</f>
        <v>72767</v>
      </c>
      <c r="F49" s="894"/>
      <c r="G49" s="894"/>
      <c r="H49" s="893">
        <f>'Sources and Uses Budget'!T50</f>
        <v>0</v>
      </c>
      <c r="I49" s="894"/>
      <c r="J49" s="894"/>
      <c r="K49" s="888"/>
    </row>
    <row r="50" spans="1:11" s="383" customFormat="1">
      <c r="A50" s="369" t="s">
        <v>1013</v>
      </c>
      <c r="B50" s="893">
        <f>'Sources and Uses Budget'!C51</f>
        <v>673604</v>
      </c>
      <c r="C50" s="894"/>
      <c r="D50" s="894"/>
      <c r="E50" s="893">
        <f>'Sources and Uses Budget'!S51</f>
        <v>673604</v>
      </c>
      <c r="F50" s="894"/>
      <c r="G50" s="894"/>
      <c r="H50" s="893">
        <f>'Sources and Uses Budget'!T51</f>
        <v>0</v>
      </c>
      <c r="I50" s="894"/>
      <c r="J50" s="894"/>
      <c r="K50" s="888"/>
    </row>
    <row r="51" spans="1:11" s="383" customFormat="1">
      <c r="A51" s="700" t="str">
        <f>'Sources and Uses Budget'!$A52</f>
        <v>Construction Lender Expenses</v>
      </c>
      <c r="B51" s="893">
        <f>'Sources and Uses Budget'!C52</f>
        <v>40000</v>
      </c>
      <c r="C51" s="894"/>
      <c r="D51" s="894"/>
      <c r="E51" s="893">
        <f>'Sources and Uses Budget'!S52</f>
        <v>27805</v>
      </c>
      <c r="F51" s="894"/>
      <c r="G51" s="894"/>
      <c r="H51" s="893">
        <f>'Sources and Uses Budget'!T52</f>
        <v>0</v>
      </c>
      <c r="I51" s="894"/>
      <c r="J51" s="894"/>
      <c r="K51" s="888"/>
    </row>
    <row r="52" spans="1:11" s="885" customFormat="1">
      <c r="A52" s="373" t="s">
        <v>1015</v>
      </c>
      <c r="B52" s="893">
        <f>'Sources and Uses Budget'!C53</f>
        <v>4431104</v>
      </c>
      <c r="C52" s="896">
        <f>SUM(C44:C51)</f>
        <v>0</v>
      </c>
      <c r="D52" s="896">
        <f>SUM(D44:D51)</f>
        <v>0</v>
      </c>
      <c r="E52" s="893">
        <f>'Sources and Uses Budget'!S53</f>
        <v>3437756</v>
      </c>
      <c r="F52" s="896">
        <f>SUM(F44:F51)</f>
        <v>0</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63210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Expenses and Legal</v>
      </c>
      <c r="B59" s="893">
        <f>'Sources and Uses Budget'!C60</f>
        <v>55000</v>
      </c>
      <c r="C59" s="894"/>
      <c r="D59" s="894"/>
      <c r="E59" s="895"/>
      <c r="F59" s="895"/>
      <c r="G59" s="895"/>
      <c r="H59" s="895"/>
      <c r="I59" s="895"/>
      <c r="J59" s="895"/>
      <c r="K59" s="888"/>
    </row>
    <row r="60" spans="1:11" s="383" customFormat="1" ht="14.1" customHeight="1">
      <c r="A60" s="373" t="s">
        <v>545</v>
      </c>
      <c r="B60" s="893">
        <f>'Sources and Uses Budget'!C61</f>
        <v>128210</v>
      </c>
      <c r="C60" s="893">
        <f>SUM(C54:C59)</f>
        <v>0</v>
      </c>
      <c r="D60" s="893">
        <f>SUM(D54:D59)</f>
        <v>0</v>
      </c>
      <c r="E60" s="895"/>
      <c r="F60" s="895"/>
      <c r="G60" s="895"/>
      <c r="H60" s="895"/>
      <c r="I60" s="895"/>
      <c r="J60" s="895"/>
      <c r="K60" s="888"/>
    </row>
    <row r="61" spans="1:11" s="383" customFormat="1">
      <c r="A61" s="379" t="s">
        <v>546</v>
      </c>
      <c r="B61" s="893">
        <f>'Sources and Uses Budget'!C62</f>
        <v>48217205</v>
      </c>
      <c r="C61" s="893">
        <f>SUM(C8+C11+C13+C14+C15+C25+C26+C37+C41+C42+C52+C60)</f>
        <v>0</v>
      </c>
      <c r="D61" s="893">
        <f>SUM(D8+D11+D13+D14+D15+D25+D26+D37+D41+D42+D52+D60)</f>
        <v>0</v>
      </c>
      <c r="E61" s="893">
        <f>'Sources and Uses Budget'!S62</f>
        <v>45225647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310</v>
      </c>
      <c r="B63" s="893">
        <f>'Sources and Uses Budget'!C64</f>
        <v>50000</v>
      </c>
      <c r="C63" s="894"/>
      <c r="D63" s="894"/>
      <c r="E63" s="893">
        <f>'Sources and Uses Budget'!S64</f>
        <v>34756</v>
      </c>
      <c r="F63" s="894"/>
      <c r="G63" s="894"/>
      <c r="H63" s="893">
        <f>'Sources and Uses Budget'!T64</f>
        <v>0</v>
      </c>
      <c r="I63" s="894"/>
      <c r="J63" s="894"/>
      <c r="K63" s="888"/>
    </row>
    <row r="64" spans="1:11" s="1335" customFormat="1" ht="24">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2167</v>
      </c>
      <c r="B66" s="893">
        <f>'Sources and Uses Budget'!C67</f>
        <v>13487</v>
      </c>
      <c r="C66" s="894"/>
      <c r="D66" s="894"/>
      <c r="E66" s="893">
        <f>'Sources and Uses Budget'!S67</f>
        <v>13487</v>
      </c>
      <c r="F66" s="894"/>
      <c r="G66" s="894"/>
      <c r="H66" s="893">
        <f>'Sources and Uses Budget'!T67</f>
        <v>0</v>
      </c>
      <c r="I66" s="894"/>
      <c r="J66" s="894"/>
      <c r="K66" s="888"/>
    </row>
    <row r="67" spans="1:11" s="383" customFormat="1">
      <c r="A67" s="700" t="str">
        <f>'Sources and Uses Budget'!$A68</f>
        <v>Owner construction closing legal</v>
      </c>
      <c r="B67" s="893">
        <f>'Sources and Uses Budget'!C68</f>
        <v>60000</v>
      </c>
      <c r="C67" s="894"/>
      <c r="D67" s="894"/>
      <c r="E67" s="893">
        <f>'Sources and Uses Budget'!S68</f>
        <v>60000</v>
      </c>
      <c r="F67" s="894"/>
      <c r="G67" s="894"/>
      <c r="H67" s="893">
        <f>'Sources and Uses Budget'!T68</f>
        <v>0</v>
      </c>
      <c r="I67" s="894"/>
      <c r="J67" s="894"/>
      <c r="K67" s="888"/>
    </row>
    <row r="68" spans="1:11" s="383" customFormat="1">
      <c r="A68" s="373" t="s">
        <v>2168</v>
      </c>
      <c r="B68" s="893">
        <f>'Sources and Uses Budget'!C69</f>
        <v>123487</v>
      </c>
      <c r="C68" s="893">
        <f>SUM(C62:C67)</f>
        <v>0</v>
      </c>
      <c r="D68" s="893">
        <f>SUM(D62:D67)</f>
        <v>0</v>
      </c>
      <c r="E68" s="893">
        <f>'Sources and Uses Budget'!S69</f>
        <v>108243</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314</v>
      </c>
      <c r="B73" s="893">
        <f>'Sources and Uses Budget'!C74</f>
        <v>350929</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350929</v>
      </c>
      <c r="C75" s="893">
        <f>SUM(C70:C74)</f>
        <v>0</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2619761</v>
      </c>
      <c r="C77" s="894"/>
      <c r="D77" s="894"/>
      <c r="E77" s="893">
        <f>'Sources and Uses Budget'!S78</f>
        <v>2619761</v>
      </c>
      <c r="F77" s="894"/>
      <c r="G77" s="894"/>
      <c r="H77" s="893">
        <f>'Sources and Uses Budget'!T78</f>
        <v>0</v>
      </c>
      <c r="I77" s="894"/>
      <c r="J77" s="894"/>
      <c r="K77" s="888"/>
    </row>
    <row r="78" spans="1:11" s="1066" customFormat="1">
      <c r="A78" s="369" t="s">
        <v>593</v>
      </c>
      <c r="B78" s="893">
        <f>'Sources and Uses Budget'!C79</f>
        <v>362707</v>
      </c>
      <c r="C78" s="894"/>
      <c r="D78" s="894"/>
      <c r="E78" s="893">
        <f>'Sources and Uses Budget'!S79</f>
        <v>362707</v>
      </c>
      <c r="F78" s="894"/>
      <c r="G78" s="894"/>
      <c r="H78" s="893">
        <f>'Sources and Uses Budget'!T79</f>
        <v>0</v>
      </c>
      <c r="I78" s="894"/>
      <c r="J78" s="894"/>
      <c r="K78" s="888"/>
    </row>
    <row r="79" spans="1:11" s="383" customFormat="1">
      <c r="A79" s="373" t="s">
        <v>1907</v>
      </c>
      <c r="B79" s="893">
        <f>'Sources and Uses Budget'!C80</f>
        <v>2982468</v>
      </c>
      <c r="C79" s="1075">
        <f>SUM(C77:C78)</f>
        <v>0</v>
      </c>
      <c r="D79" s="1075">
        <f>SUM(D77:D78)</f>
        <v>0</v>
      </c>
      <c r="E79" s="893">
        <f>'Sources and Uses Budget'!S80</f>
        <v>2982468</v>
      </c>
      <c r="F79" s="1075">
        <f>SUM(F77:F78)</f>
        <v>0</v>
      </c>
      <c r="G79" s="1075">
        <f>SUM(G77:G78)</f>
        <v>0</v>
      </c>
      <c r="H79" s="893">
        <f>'Sources and Uses Budget'!T80</f>
        <v>0</v>
      </c>
      <c r="I79" s="1075">
        <f>SUM(I77:I78)</f>
        <v>0</v>
      </c>
      <c r="J79" s="1075">
        <f>SUM(J77:J78)</f>
        <v>0</v>
      </c>
      <c r="K79" s="888"/>
    </row>
    <row r="80" spans="1:11" s="383" customFormat="1">
      <c r="A80" s="365" t="s">
        <v>569</v>
      </c>
      <c r="B80" s="892"/>
      <c r="C80" s="892"/>
      <c r="D80" s="892"/>
      <c r="E80" s="892"/>
      <c r="F80" s="892"/>
      <c r="G80" s="892"/>
      <c r="H80" s="892"/>
      <c r="I80" s="892"/>
      <c r="J80" s="892"/>
      <c r="K80" s="888"/>
    </row>
    <row r="81" spans="1:11" s="383" customFormat="1" ht="14.1" customHeight="1">
      <c r="A81" s="369" t="s">
        <v>570</v>
      </c>
      <c r="B81" s="893">
        <f>'Sources and Uses Budget'!C82</f>
        <v>148330</v>
      </c>
      <c r="C81" s="894"/>
      <c r="D81" s="894"/>
      <c r="E81" s="895"/>
      <c r="F81" s="895"/>
      <c r="G81" s="895"/>
      <c r="H81" s="895"/>
      <c r="I81" s="895"/>
      <c r="J81" s="895"/>
      <c r="K81" s="888"/>
    </row>
    <row r="82" spans="1:11" s="383" customFormat="1">
      <c r="A82" s="369" t="s">
        <v>571</v>
      </c>
      <c r="B82" s="893">
        <f>'Sources and Uses Budget'!C83</f>
        <v>210000</v>
      </c>
      <c r="C82" s="894"/>
      <c r="D82" s="894"/>
      <c r="E82" s="893">
        <f>'Sources and Uses Budget'!S83</f>
        <v>210000</v>
      </c>
      <c r="F82" s="894"/>
      <c r="G82" s="894"/>
      <c r="H82" s="893">
        <f>'Sources and Uses Budget'!T83</f>
        <v>0</v>
      </c>
      <c r="I82" s="894"/>
      <c r="J82" s="894"/>
      <c r="K82" s="888"/>
    </row>
    <row r="83" spans="1:11" s="383" customFormat="1">
      <c r="A83" s="369" t="s">
        <v>572</v>
      </c>
      <c r="B83" s="893">
        <f>'Sources and Uses Budget'!C84</f>
        <v>1808493</v>
      </c>
      <c r="C83" s="894"/>
      <c r="D83" s="894"/>
      <c r="E83" s="893">
        <f>'Sources and Uses Budget'!S84</f>
        <v>1808493</v>
      </c>
      <c r="F83" s="894"/>
      <c r="G83" s="894"/>
      <c r="H83" s="893">
        <f>'Sources and Uses Budget'!T84</f>
        <v>0</v>
      </c>
      <c r="I83" s="894"/>
      <c r="J83" s="894"/>
      <c r="K83" s="888"/>
    </row>
    <row r="84" spans="1:11" s="383" customFormat="1">
      <c r="A84" s="369" t="s">
        <v>573</v>
      </c>
      <c r="B84" s="893">
        <f>'Sources and Uses Budget'!C85</f>
        <v>881772</v>
      </c>
      <c r="C84" s="894"/>
      <c r="D84" s="894"/>
      <c r="E84" s="893">
        <f>'Sources and Uses Budget'!S85</f>
        <v>881772</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84750</v>
      </c>
      <c r="C86" s="894"/>
      <c r="D86" s="894"/>
      <c r="E86" s="895"/>
      <c r="F86" s="895"/>
      <c r="G86" s="895"/>
      <c r="H86" s="895"/>
      <c r="I86" s="895"/>
      <c r="J86" s="895"/>
      <c r="K86" s="888"/>
    </row>
    <row r="87" spans="1:11" s="383" customFormat="1">
      <c r="A87" s="369" t="s">
        <v>576</v>
      </c>
      <c r="B87" s="893">
        <f>'Sources and Uses Budget'!C88</f>
        <v>118000</v>
      </c>
      <c r="C87" s="894"/>
      <c r="D87" s="894"/>
      <c r="E87" s="893">
        <f>'Sources and Uses Budget'!S88</f>
        <v>118000</v>
      </c>
      <c r="F87" s="894"/>
      <c r="G87" s="894"/>
      <c r="H87" s="893">
        <f>'Sources and Uses Budget'!T88</f>
        <v>0</v>
      </c>
      <c r="I87" s="894"/>
      <c r="J87" s="894"/>
      <c r="K87" s="888"/>
    </row>
    <row r="88" spans="1:11" s="383" customFormat="1">
      <c r="A88" s="369" t="s">
        <v>577</v>
      </c>
      <c r="B88" s="893">
        <f>'Sources and Uses Budget'!C89</f>
        <v>12500</v>
      </c>
      <c r="C88" s="894"/>
      <c r="D88" s="894"/>
      <c r="E88" s="893">
        <f>'Sources and Uses Budget'!S89</f>
        <v>0</v>
      </c>
      <c r="F88" s="894"/>
      <c r="G88" s="894"/>
      <c r="H88" s="893">
        <f>'Sources and Uses Budget'!T89</f>
        <v>0</v>
      </c>
      <c r="I88" s="894"/>
      <c r="J88" s="894"/>
      <c r="K88" s="888"/>
    </row>
    <row r="89" spans="1:11" s="383" customFormat="1">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1905</v>
      </c>
      <c r="B90" s="893">
        <f>'Sources and Uses Budget'!C91</f>
        <v>23000</v>
      </c>
      <c r="C90" s="894"/>
      <c r="D90" s="894"/>
      <c r="E90" s="893">
        <f>'Sources and Uses Budget'!S91</f>
        <v>23000</v>
      </c>
      <c r="F90" s="894"/>
      <c r="G90" s="894"/>
      <c r="H90" s="893">
        <f>'Sources and Uses Budget'!T91</f>
        <v>0</v>
      </c>
      <c r="I90" s="894"/>
      <c r="J90" s="894"/>
      <c r="K90" s="888"/>
    </row>
    <row r="91" spans="1:11" s="383" customFormat="1">
      <c r="A91" s="700" t="str">
        <f>'Sources and Uses Budget'!$A92</f>
        <v>Transit Passes</v>
      </c>
      <c r="B91" s="893">
        <f>'Sources and Uses Budget'!C92</f>
        <v>203400</v>
      </c>
      <c r="C91" s="894"/>
      <c r="D91" s="894"/>
      <c r="E91" s="893">
        <f>'Sources and Uses Budget'!S92</f>
        <v>0</v>
      </c>
      <c r="F91" s="894"/>
      <c r="G91" s="894"/>
      <c r="H91" s="893">
        <f>'Sources and Uses Budget'!T92</f>
        <v>0</v>
      </c>
      <c r="I91" s="894"/>
      <c r="J91" s="894"/>
      <c r="K91" s="888"/>
    </row>
    <row r="92" spans="1:11" s="383" customFormat="1">
      <c r="A92" s="700" t="str">
        <f>'Sources and Uses Budget'!$A93</f>
        <v>Start up Lease up</v>
      </c>
      <c r="B92" s="893">
        <f>'Sources and Uses Budget'!C93</f>
        <v>292674</v>
      </c>
      <c r="C92" s="894"/>
      <c r="D92" s="894"/>
      <c r="E92" s="893">
        <f>'Sources and Uses Budget'!S93</f>
        <v>0</v>
      </c>
      <c r="F92" s="894"/>
      <c r="G92" s="894"/>
      <c r="H92" s="893">
        <f>'Sources and Uses Budget'!T93</f>
        <v>0</v>
      </c>
      <c r="I92" s="894"/>
      <c r="J92" s="894"/>
      <c r="K92" s="888"/>
    </row>
    <row r="93" spans="1:11" s="383" customFormat="1">
      <c r="A93" s="700" t="str">
        <f>'Sources and Uses Budget'!$A94</f>
        <v>Prevailing wage monitor + enveloper</v>
      </c>
      <c r="B93" s="893">
        <f>'Sources and Uses Budget'!C94</f>
        <v>50000</v>
      </c>
      <c r="C93" s="894"/>
      <c r="D93" s="894"/>
      <c r="E93" s="893">
        <f>'Sources and Uses Budget'!S94</f>
        <v>50000</v>
      </c>
      <c r="F93" s="894"/>
      <c r="G93" s="894"/>
      <c r="H93" s="893">
        <f>'Sources and Uses Budget'!T94</f>
        <v>0</v>
      </c>
      <c r="I93" s="894"/>
      <c r="J93" s="894"/>
      <c r="K93" s="888"/>
    </row>
    <row r="94" spans="1:11" s="383" customFormat="1">
      <c r="A94" s="373" t="s">
        <v>578</v>
      </c>
      <c r="B94" s="893">
        <f>'Sources and Uses Budget'!C95</f>
        <v>3832919</v>
      </c>
      <c r="C94" s="893">
        <f>SUM(C81:C93)</f>
        <v>0</v>
      </c>
      <c r="D94" s="893">
        <f>SUM(D81:D93)</f>
        <v>0</v>
      </c>
      <c r="E94" s="893">
        <f>'Sources and Uses Budget'!S95</f>
        <v>3091265</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55507008</v>
      </c>
      <c r="C95" s="893">
        <f>SUM(C61+C68+C75+C79+C94)</f>
        <v>0</v>
      </c>
      <c r="D95" s="893">
        <f>SUM(D61+D68+D75+D79+D94)</f>
        <v>0</v>
      </c>
      <c r="E95" s="893">
        <f>'Sources and Uses Budget'!S96</f>
        <v>51407623</v>
      </c>
      <c r="F95" s="896">
        <f>SUM(+F61+F68+F79+F94)</f>
        <v>0</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57707008</v>
      </c>
      <c r="C103" s="896">
        <f>SUM(C95+C102)</f>
        <v>0</v>
      </c>
      <c r="D103" s="896">
        <f>SUM(D95+D102)</f>
        <v>0</v>
      </c>
      <c r="E103" s="893">
        <f>'Sources and Uses Budget'!S104</f>
        <v>53607623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53607623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04" workbookViewId="0">
      <selection activeCell="AA297" sqref="AA29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1666" t="s">
        <v>919</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r="2" spans="1:42" s="8" customFormat="1" ht="12.75" customHeight="1" thickBot="1">
      <c r="A2" s="1667"/>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72" t="s">
        <v>404</v>
      </c>
      <c r="AF4" s="2472"/>
      <c r="AG4" s="2472"/>
      <c r="AH4" s="2472"/>
      <c r="AI4" s="2472"/>
      <c r="AJ4" s="2472"/>
      <c r="AK4" s="2472"/>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2" t="s">
        <v>928</v>
      </c>
      <c r="AG6" s="2322"/>
      <c r="AH6" s="2322"/>
      <c r="AI6" s="2322"/>
      <c r="AJ6" s="2322"/>
      <c r="AK6" s="2322"/>
      <c r="AL6" s="2322"/>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0" t="s">
        <v>2355</v>
      </c>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300" t="s">
        <v>1344</v>
      </c>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75" t="s">
        <v>134</v>
      </c>
      <c r="AC13" s="247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300" t="s">
        <v>1208</v>
      </c>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0" t="s">
        <v>1787</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255"/>
      <c r="AM20" s="38"/>
      <c r="AN20" s="1085"/>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255"/>
      <c r="AM21" s="38"/>
      <c r="AN21" s="1085"/>
      <c r="AP21" s="517"/>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255"/>
      <c r="AM22" s="38"/>
      <c r="AN22" s="1085"/>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255"/>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255"/>
      <c r="AM24" s="38"/>
      <c r="AN24" s="1088"/>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255"/>
      <c r="AM25" s="38"/>
      <c r="AN25" s="1088"/>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255"/>
      <c r="AM26" s="38"/>
      <c r="AN26" s="1089"/>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255"/>
      <c r="AM27" s="38"/>
      <c r="AN27" s="1090"/>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255"/>
      <c r="AM28" s="38"/>
      <c r="AN28" s="1090"/>
    </row>
    <row r="29" spans="1:42" s="46" customFormat="1" ht="31.7"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255"/>
      <c r="AM29" s="38"/>
      <c r="AN29" s="1090"/>
      <c r="AO29" s="724" t="s">
        <v>85</v>
      </c>
      <c r="AP29" s="578"/>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3">
        <f>IF((AND(AND(OR(Application!D211="Nonprofit (qualified nonprofit organization)",Application!D211="Nonprofit (homeless assistance)",Application!D211="Special Needs/SRO"),Application!D214="Special Needs"),$AB$13="N/A")),VLOOKUP($B$16,$AO$14:$AP$16,2,FALSE),VLOOKUP($B$11,$AO$9:$AP$11,2,FALSE))</f>
        <v>7</v>
      </c>
      <c r="AK31" s="2473"/>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2" t="s">
        <v>65</v>
      </c>
      <c r="AG33" s="2322"/>
      <c r="AH33" s="2322"/>
      <c r="AI33" s="2322"/>
      <c r="AJ33" s="2322"/>
      <c r="AK33" s="2322"/>
      <c r="AL33" s="2322"/>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0" t="s">
        <v>1348</v>
      </c>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5" t="s">
        <v>134</v>
      </c>
      <c r="AD37" s="2475"/>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0" t="s">
        <v>1208</v>
      </c>
      <c r="D40" s="2300"/>
      <c r="E40" s="2300"/>
      <c r="F40" s="2300"/>
      <c r="G40" s="2300"/>
      <c r="H40" s="2300"/>
      <c r="I40" s="2300"/>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0" t="s">
        <v>2396</v>
      </c>
      <c r="D45" s="2300"/>
      <c r="E45" s="2300"/>
      <c r="F45" s="2300"/>
      <c r="G45" s="2300"/>
      <c r="H45" s="2300"/>
      <c r="I45" s="2300"/>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3">
        <f>IF((AND(AND(OR(Application!D211="Nonprofit (qualified nonprofit organization)",Application!D211="Nonprofit (homeless assistance)",Application!D211="Special Needs/SRO"),Application!D214="Special Needs"),$AC$37="N/A")),VLOOKUP($C$40,$AO$35:$AP$37,2,FALSE),VLOOKUP($C$35,$AO$29:$AP$32,2,FALSE))</f>
        <v>3</v>
      </c>
      <c r="AK47" s="2383"/>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2" t="s">
        <v>1603</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252"/>
      <c r="AM49" s="163"/>
      <c r="AN49" s="439"/>
      <c r="AP49" s="46" t="s">
        <v>620</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252"/>
      <c r="AM50" s="163"/>
      <c r="AN50" s="439"/>
      <c r="AP50" s="46" t="s">
        <v>676</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252"/>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252"/>
      <c r="AM52" s="163"/>
      <c r="AN52" s="1089"/>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252"/>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252"/>
      <c r="AM54" s="163"/>
      <c r="AN54" s="439"/>
    </row>
    <row r="55" spans="1:43" s="46" customFormat="1" ht="33.6"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1604</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252"/>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252"/>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252"/>
      <c r="AM59" s="163"/>
      <c r="AN59" s="439"/>
    </row>
    <row r="60" spans="1:43" s="46" customFormat="1" ht="17.850000000000001"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2" t="s">
        <v>1605</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252"/>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252"/>
      <c r="AM63" s="163"/>
      <c r="AN63" s="439"/>
    </row>
    <row r="64" spans="1:43" s="46" customFormat="1" ht="23.1" customHeight="1">
      <c r="A64" s="653"/>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4" t="s">
        <v>404</v>
      </c>
      <c r="AF69" s="2374"/>
      <c r="AG69" s="2374"/>
      <c r="AH69" s="2374"/>
      <c r="AI69" s="2374"/>
      <c r="AJ69" s="2374"/>
      <c r="AK69" s="237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0" t="s">
        <v>724</v>
      </c>
      <c r="C71" s="2300"/>
      <c r="D71" s="2300"/>
      <c r="E71" s="2300"/>
      <c r="F71" s="2300"/>
      <c r="G71" s="2300"/>
      <c r="H71" s="2300"/>
      <c r="I71" s="2300"/>
      <c r="J71" s="2300"/>
      <c r="K71" s="2300"/>
      <c r="P71" s="153"/>
      <c r="Q71" s="153"/>
      <c r="R71" s="153"/>
      <c r="S71" s="153"/>
      <c r="T71" s="153"/>
      <c r="U71" s="153"/>
      <c r="V71" s="153"/>
      <c r="W71" s="153"/>
      <c r="X71" s="153"/>
      <c r="AF71" s="2322" t="s">
        <v>1020</v>
      </c>
      <c r="AG71" s="2322"/>
      <c r="AH71" s="2322"/>
      <c r="AI71" s="2322"/>
      <c r="AJ71" s="2322"/>
      <c r="AK71" s="2322"/>
      <c r="AL71" s="2322"/>
      <c r="AN71" s="439"/>
      <c r="AP71" s="46" t="s">
        <v>134</v>
      </c>
    </row>
    <row r="72" spans="1:42" s="46" customFormat="1" ht="12.75" customHeight="1">
      <c r="B72" s="2474" t="s">
        <v>1426</v>
      </c>
      <c r="C72" s="2474"/>
      <c r="D72" s="2474"/>
      <c r="E72" s="2474"/>
      <c r="F72" s="2474"/>
      <c r="G72" s="2474"/>
      <c r="H72" s="2474"/>
      <c r="I72" s="2474"/>
      <c r="J72" s="2474"/>
      <c r="K72" s="2474"/>
      <c r="L72" s="2474"/>
      <c r="M72" s="2474"/>
      <c r="N72" s="2474"/>
      <c r="O72" s="2474"/>
      <c r="P72" s="2474"/>
      <c r="Q72" s="2474"/>
      <c r="R72" s="2474"/>
      <c r="S72" s="2474"/>
      <c r="T72" s="2300" t="s">
        <v>134</v>
      </c>
      <c r="U72" s="2300"/>
      <c r="V72" s="2300"/>
      <c r="W72" s="2300"/>
      <c r="X72" s="2300"/>
      <c r="Y72" s="2300"/>
      <c r="Z72" s="2300"/>
      <c r="AA72" s="2300"/>
      <c r="AB72" s="2300"/>
      <c r="AC72" s="2300"/>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9">
        <f>VLOOKUP($B$71,$AP$45:$AR$50,2,FALSE)</f>
        <v>10</v>
      </c>
      <c r="AL73" s="2320"/>
      <c r="AM73" s="2320"/>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1059</v>
      </c>
      <c r="AF78" s="2374"/>
      <c r="AG78" s="2374"/>
      <c r="AH78" s="2374"/>
      <c r="AI78" s="2374"/>
      <c r="AJ78" s="2374"/>
      <c r="AK78" s="237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2" t="s">
        <v>2011</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252"/>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252"/>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252"/>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252"/>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252"/>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252"/>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252"/>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252"/>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252"/>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252"/>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2" t="s">
        <v>928</v>
      </c>
      <c r="AG95" s="2322"/>
      <c r="AH95" s="2322"/>
      <c r="AI95" s="2322"/>
      <c r="AJ95" s="2322"/>
      <c r="AK95" s="2322"/>
      <c r="AL95" s="2322"/>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2" t="s">
        <v>62</v>
      </c>
      <c r="AG100" s="2322"/>
      <c r="AH100" s="2322"/>
      <c r="AI100" s="2322"/>
      <c r="AJ100" s="2322"/>
      <c r="AK100" s="2322"/>
      <c r="AL100" s="2322"/>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2" t="s">
        <v>63</v>
      </c>
      <c r="AG105" s="2322"/>
      <c r="AH105" s="2322"/>
      <c r="AI105" s="2322"/>
      <c r="AJ105" s="2322"/>
      <c r="AK105" s="2322"/>
      <c r="AL105" s="2322"/>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2" t="s">
        <v>64</v>
      </c>
      <c r="AG110" s="2322"/>
      <c r="AH110" s="2322"/>
      <c r="AI110" s="2322"/>
      <c r="AJ110" s="2322"/>
      <c r="AK110" s="2322"/>
      <c r="AL110" s="2322"/>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2" t="s">
        <v>65</v>
      </c>
      <c r="AG114" s="2322"/>
      <c r="AH114" s="2322"/>
      <c r="AI114" s="2322"/>
      <c r="AJ114" s="2322"/>
      <c r="AK114" s="2322"/>
      <c r="AL114" s="2322"/>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31" t="s">
        <v>637</v>
      </c>
      <c r="I117" s="2331"/>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161</v>
      </c>
      <c r="F123" s="190"/>
      <c r="G123" s="190"/>
      <c r="H123" s="2478" t="s">
        <v>134</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134</v>
      </c>
      <c r="C125" s="1850"/>
      <c r="D125" s="436"/>
      <c r="E125" s="2332" t="s">
        <v>1937</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249"/>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249"/>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249"/>
      <c r="AN127" s="439"/>
    </row>
    <row r="128" spans="1:47" s="46" customFormat="1" ht="12.75" customHeight="1">
      <c r="A128" s="28"/>
      <c r="B128" s="161"/>
      <c r="C128" s="187"/>
      <c r="D128" s="461"/>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9">
        <f>VLOOKUP($H$117,$AO$101:$AP$106,2,FALSE)+VLOOKUP($H$123,$AO$121:$AP$123,2,FALSE)</f>
        <v>7</v>
      </c>
      <c r="AK129" s="23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6" t="s">
        <v>2016</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2" t="s">
        <v>65</v>
      </c>
      <c r="AG133" s="2322"/>
      <c r="AH133" s="2322"/>
      <c r="AI133" s="2322"/>
      <c r="AJ133" s="2322"/>
      <c r="AK133" s="2322"/>
      <c r="AL133" s="2322"/>
      <c r="AM133" s="153"/>
      <c r="AN133" s="459"/>
    </row>
    <row r="134" spans="1:42" s="46" customFormat="1" ht="12.75"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75"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75"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3.1"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79" t="s">
        <v>134</v>
      </c>
      <c r="T138" s="247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2" t="s">
        <v>113</v>
      </c>
      <c r="AG140" s="2322"/>
      <c r="AH140" s="2322"/>
      <c r="AI140" s="2322"/>
      <c r="AJ140" s="2322"/>
      <c r="AK140" s="2322"/>
      <c r="AL140" s="2322"/>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31" t="s">
        <v>134</v>
      </c>
      <c r="I142" s="2331"/>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9">
        <f>VLOOKUP($H$142,$AO$116:$AP$118,2,FALSE)</f>
        <v>0</v>
      </c>
      <c r="AK144" s="2321"/>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2" t="s">
        <v>65</v>
      </c>
      <c r="AG148" s="2322"/>
      <c r="AH148" s="2322"/>
      <c r="AI148" s="2322"/>
      <c r="AJ148" s="2322"/>
      <c r="AK148" s="2322"/>
      <c r="AL148" s="2322"/>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2" t="s">
        <v>113</v>
      </c>
      <c r="AG151" s="2322"/>
      <c r="AH151" s="2322"/>
      <c r="AI151" s="2322"/>
      <c r="AJ151" s="2322"/>
      <c r="AK151" s="2322"/>
      <c r="AL151" s="2322"/>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31" t="s">
        <v>637</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9">
        <f>VLOOKUP(H154,AT116:AU118,2,FALSE)</f>
        <v>3</v>
      </c>
      <c r="AK156" s="2321"/>
      <c r="AL156" s="25"/>
      <c r="AN156" s="1089"/>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2" t="s">
        <v>808</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22" t="s">
        <v>63</v>
      </c>
      <c r="AG161" s="2322"/>
      <c r="AH161" s="2322"/>
      <c r="AI161" s="2322"/>
      <c r="AJ161" s="2322"/>
      <c r="AK161" s="2322"/>
      <c r="AL161" s="2322"/>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2" t="s">
        <v>1876</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22" t="s">
        <v>64</v>
      </c>
      <c r="AG165" s="2322"/>
      <c r="AH165" s="2322"/>
      <c r="AI165" s="2322"/>
      <c r="AJ165" s="2322"/>
      <c r="AK165" s="2322"/>
      <c r="AL165" s="2322"/>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2" t="s">
        <v>1877</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22" t="s">
        <v>65</v>
      </c>
      <c r="AG169" s="2322"/>
      <c r="AH169" s="2322"/>
      <c r="AI169" s="2322"/>
      <c r="AJ169" s="2322"/>
      <c r="AK169" s="2322"/>
      <c r="AL169" s="2322"/>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22"/>
      <c r="AF170" s="2322"/>
      <c r="AG170" s="2322"/>
      <c r="AH170" s="2322"/>
      <c r="AI170" s="2322"/>
      <c r="AJ170" s="2322"/>
      <c r="AK170" s="2322"/>
      <c r="AL170" s="1253"/>
      <c r="AM170" s="153"/>
      <c r="AN170" s="439"/>
      <c r="AO170" s="46" t="s">
        <v>134</v>
      </c>
      <c r="AP170" s="730">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32" t="s">
        <v>1878</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22" t="s">
        <v>64</v>
      </c>
      <c r="AG173" s="2322"/>
      <c r="AH173" s="2322"/>
      <c r="AI173" s="2322"/>
      <c r="AJ173" s="2322"/>
      <c r="AK173" s="2322"/>
      <c r="AL173" s="2322"/>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253"/>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2" t="s">
        <v>1879</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22" t="s">
        <v>65</v>
      </c>
      <c r="AG177" s="2322"/>
      <c r="AH177" s="2322"/>
      <c r="AI177" s="2322"/>
      <c r="AJ177" s="2322"/>
      <c r="AK177" s="2322"/>
      <c r="AL177" s="2322"/>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32" t="s">
        <v>1608</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22" t="s">
        <v>113</v>
      </c>
      <c r="AG181" s="2322"/>
      <c r="AH181" s="2322"/>
      <c r="AI181" s="2322"/>
      <c r="AJ181" s="2322"/>
      <c r="AK181" s="2322"/>
      <c r="AL181" s="2322"/>
      <c r="AM181" s="203"/>
      <c r="AN181" s="439"/>
    </row>
    <row r="182" spans="1:42" s="46" customFormat="1" ht="23.1"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2" t="s">
        <v>1609</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22" t="s">
        <v>352</v>
      </c>
      <c r="AG184" s="2322"/>
      <c r="AH184" s="2322"/>
      <c r="AI184" s="2322"/>
      <c r="AJ184" s="2322"/>
      <c r="AK184" s="2322"/>
      <c r="AL184" s="2322"/>
      <c r="AM184" s="203"/>
      <c r="AN184" s="439"/>
      <c r="AO184" s="144" t="s">
        <v>637</v>
      </c>
      <c r="AP184" s="46">
        <v>3</v>
      </c>
    </row>
    <row r="185" spans="1:42" s="46" customFormat="1" ht="23.1"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31" t="s">
        <v>970</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9">
        <f>VLOOKUP($H$187,$AO$137:$AP$144,2,FALSE)</f>
        <v>3</v>
      </c>
      <c r="AK189" s="23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2" t="s">
        <v>2159</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22" t="s">
        <v>65</v>
      </c>
      <c r="AG193" s="2322"/>
      <c r="AH193" s="2322"/>
      <c r="AI193" s="2322"/>
      <c r="AJ193" s="2322"/>
      <c r="AK193" s="2322"/>
      <c r="AL193" s="2322"/>
      <c r="AM193" s="153"/>
      <c r="AN193" s="1089"/>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089"/>
      <c r="AO194" s="2550"/>
      <c r="AP194" s="2550"/>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2" t="s">
        <v>2160</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22" t="s">
        <v>113</v>
      </c>
      <c r="AG198" s="2322"/>
      <c r="AH198" s="2322"/>
      <c r="AI198" s="2322"/>
      <c r="AJ198" s="2322"/>
      <c r="AK198" s="2322"/>
      <c r="AL198" s="2322"/>
      <c r="AM198" s="153"/>
      <c r="AN198" s="439"/>
      <c r="AO198" s="144" t="s">
        <v>212</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4" t="s">
        <v>2161</v>
      </c>
      <c r="F203" s="2294"/>
      <c r="G203" s="2294"/>
      <c r="H203" s="2294"/>
      <c r="I203" s="2294"/>
      <c r="J203" s="2294"/>
      <c r="K203" s="2294"/>
      <c r="L203" s="2294"/>
      <c r="M203" s="2294"/>
      <c r="N203" s="2294"/>
      <c r="O203" s="2294"/>
      <c r="P203" s="2294"/>
      <c r="Q203" s="2294"/>
      <c r="R203" s="2294"/>
      <c r="S203" s="2294"/>
      <c r="T203" s="2294"/>
      <c r="U203" s="2294"/>
      <c r="V203" s="2294"/>
      <c r="W203" s="2294"/>
      <c r="X203" s="2294"/>
      <c r="Y203" s="2294"/>
      <c r="Z203" s="2294"/>
      <c r="AA203" s="2294"/>
      <c r="AB203" s="229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4"/>
      <c r="F205" s="2294"/>
      <c r="G205" s="2294"/>
      <c r="H205" s="2294"/>
      <c r="I205" s="2294"/>
      <c r="J205" s="2294"/>
      <c r="K205" s="2294"/>
      <c r="L205" s="2294"/>
      <c r="M205" s="2294"/>
      <c r="N205" s="2294"/>
      <c r="O205" s="2294"/>
      <c r="P205" s="2294"/>
      <c r="Q205" s="2294"/>
      <c r="R205" s="2294"/>
      <c r="S205" s="2294"/>
      <c r="T205" s="2294"/>
      <c r="U205" s="2294"/>
      <c r="V205" s="2294"/>
      <c r="W205" s="2294"/>
      <c r="X205" s="2294"/>
      <c r="Y205" s="2294"/>
      <c r="Z205" s="2294"/>
      <c r="AA205" s="2294"/>
      <c r="AB205" s="2294"/>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1" t="s">
        <v>637</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19">
        <f>VLOOKUP($H$206,$AO$156:$AP$158,2,FALSE)</f>
        <v>3</v>
      </c>
      <c r="AK208" s="2321"/>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0" t="s">
        <v>1355</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2" t="s">
        <v>65</v>
      </c>
      <c r="AG212" s="2322"/>
      <c r="AH212" s="2322"/>
      <c r="AI212" s="2322"/>
      <c r="AJ212" s="2322"/>
      <c r="AK212" s="2322"/>
      <c r="AL212" s="2322"/>
      <c r="AM212" s="153"/>
      <c r="AN212" s="317"/>
      <c r="AP212" s="50" t="s">
        <v>108</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105</v>
      </c>
    </row>
    <row r="214" spans="1:52" s="16" customFormat="1" ht="14.1"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106</v>
      </c>
    </row>
    <row r="215" spans="1:52" s="16" customFormat="1" ht="14.1" customHeight="1">
      <c r="A215" s="28"/>
      <c r="B215" s="74"/>
      <c r="C215" s="77"/>
      <c r="D215" s="144" t="s">
        <v>212</v>
      </c>
      <c r="E215" s="2339" t="s">
        <v>1356</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2" t="s">
        <v>113</v>
      </c>
      <c r="AG215" s="2322"/>
      <c r="AH215" s="2322"/>
      <c r="AI215" s="2322"/>
      <c r="AJ215" s="2322"/>
      <c r="AK215" s="2322"/>
      <c r="AL215" s="2322"/>
      <c r="AM215" s="153"/>
      <c r="AN215" s="1091"/>
      <c r="AP215" s="482" t="s">
        <v>385</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134</v>
      </c>
      <c r="AQ216" s="730">
        <v>0</v>
      </c>
    </row>
    <row r="217" spans="1:52" s="16" customFormat="1" ht="14.1"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637</v>
      </c>
      <c r="AQ217" s="46">
        <v>2</v>
      </c>
    </row>
    <row r="218" spans="1:52" s="16" customFormat="1" ht="14.1" customHeight="1">
      <c r="A218" s="28"/>
      <c r="B218" s="161"/>
      <c r="C218" s="187"/>
      <c r="D218" s="28" t="s">
        <v>161</v>
      </c>
      <c r="E218" s="190"/>
      <c r="F218" s="190"/>
      <c r="G218" s="190"/>
      <c r="H218" s="2331" t="s">
        <v>134</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19">
        <f>VLOOKUP($H$218,$AO$156:$AP$158,2,FALSE)</f>
        <v>0</v>
      </c>
      <c r="AK220" s="2321"/>
      <c r="AL220" s="25"/>
      <c r="AM220" s="137"/>
      <c r="AN220" s="1092"/>
      <c r="AP220" s="2319"/>
      <c r="AQ220" s="23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2" t="s">
        <v>1626</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22" t="s">
        <v>65</v>
      </c>
      <c r="AG224" s="2322"/>
      <c r="AH224" s="2322"/>
      <c r="AI224" s="2322"/>
      <c r="AJ224" s="2322"/>
      <c r="AK224" s="2322"/>
      <c r="AL224" s="2322"/>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2" t="s">
        <v>959</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22" t="s">
        <v>113</v>
      </c>
      <c r="AG227" s="2322"/>
      <c r="AH227" s="2322"/>
      <c r="AI227" s="2322"/>
      <c r="AJ227" s="2322"/>
      <c r="AK227" s="2322"/>
      <c r="AL227" s="2322"/>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1" t="s">
        <v>134</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19">
        <f>VLOOKUP($H$230,$AO$170:$AP$172,2,FALSE)</f>
        <v>0</v>
      </c>
      <c r="AK232" s="23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2" t="s">
        <v>1213</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22" t="s">
        <v>65</v>
      </c>
      <c r="AG236" s="2322"/>
      <c r="AH236" s="2322"/>
      <c r="AI236" s="2322"/>
      <c r="AJ236" s="2322"/>
      <c r="AK236" s="2322"/>
      <c r="AL236" s="2322"/>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2" t="s">
        <v>1214</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22"/>
      <c r="AC240" s="46"/>
      <c r="AD240" s="46"/>
      <c r="AF240" s="2322" t="s">
        <v>113</v>
      </c>
      <c r="AG240" s="2322"/>
      <c r="AH240" s="2322"/>
      <c r="AI240" s="2322"/>
      <c r="AJ240" s="2322"/>
      <c r="AK240" s="2322"/>
      <c r="AL240" s="2322"/>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1" t="s">
        <v>637</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19">
        <f>VLOOKUP($H$244,$AO$183:$AP$185,2,FALSE)</f>
        <v>3</v>
      </c>
      <c r="AK246" s="2321"/>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2" t="s">
        <v>351</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22" t="s">
        <v>113</v>
      </c>
      <c r="AG250" s="2322"/>
      <c r="AH250" s="2322"/>
      <c r="AI250" s="2322"/>
      <c r="AJ250" s="2322"/>
      <c r="AK250" s="2322"/>
      <c r="AL250" s="232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2" t="s">
        <v>1357</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22" t="s">
        <v>352</v>
      </c>
      <c r="AG253" s="2322"/>
      <c r="AH253" s="2322"/>
      <c r="AI253" s="2322"/>
      <c r="AJ253" s="2322"/>
      <c r="AK253" s="2322"/>
      <c r="AL253" s="232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1" t="s">
        <v>637</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19">
        <f>VLOOKUP($H$256,$AO$196:$AP$198,2,FALSE)</f>
        <v>2</v>
      </c>
      <c r="AK258" s="2321"/>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32" t="s">
        <v>2157</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22" t="s">
        <v>113</v>
      </c>
      <c r="AG262" s="2322"/>
      <c r="AH262" s="2322"/>
      <c r="AI262" s="2322"/>
      <c r="AJ262" s="2322"/>
      <c r="AK262" s="2322"/>
      <c r="AL262" s="2322"/>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48" t="s">
        <v>2158</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2" t="s">
        <v>65</v>
      </c>
      <c r="AG266" s="2322"/>
      <c r="AH266" s="2322"/>
      <c r="AI266" s="2322"/>
      <c r="AJ266" s="2322"/>
      <c r="AK266" s="2322"/>
      <c r="AL266" s="2322"/>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253"/>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253"/>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1" t="s">
        <v>134</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19">
        <f>VLOOKUP($H$271,$AP$216:$AQ$218,2,FALSE)</f>
        <v>0</v>
      </c>
      <c r="AK273" s="23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32" t="s">
        <v>2156</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22" t="s">
        <v>1786</v>
      </c>
      <c r="AG277" s="2322"/>
      <c r="AH277" s="2322"/>
      <c r="AI277" s="2322"/>
      <c r="AJ277" s="2322"/>
      <c r="AK277" s="2322"/>
      <c r="AL277" s="2322"/>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31" t="s">
        <v>134</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19">
        <f>VLOOKUP($H$281,$AO$276:$AP$277,2,FALSE)</f>
        <v>0</v>
      </c>
      <c r="AK283" s="2321"/>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9">
        <f>$AJ$129+$AJ$144+$AJ$156+$AJ$189+$AJ$208+$AJ$220+$AJ$232+$AJ$246+$AJ$258+$AJ$273+AJ283</f>
        <v>21</v>
      </c>
      <c r="AL285" s="2320"/>
      <c r="AM285" s="23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59" t="s">
        <v>2478</v>
      </c>
      <c r="I289" s="1662"/>
      <c r="J289" s="1662"/>
      <c r="K289" s="1662"/>
      <c r="L289" s="1662"/>
      <c r="M289" s="1662"/>
      <c r="N289" s="1662"/>
      <c r="O289" s="1662"/>
      <c r="P289" s="1662"/>
      <c r="Q289" s="1662"/>
      <c r="R289" s="1662"/>
      <c r="S289" s="16"/>
      <c r="T289" s="72" t="s">
        <v>99</v>
      </c>
      <c r="U289" s="16"/>
      <c r="V289" s="72"/>
      <c r="W289" s="72"/>
      <c r="X289" s="72"/>
      <c r="Y289" s="72"/>
      <c r="Z289" s="16"/>
      <c r="AA289" s="1662"/>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760</v>
      </c>
      <c r="C290" s="72"/>
      <c r="D290" s="72"/>
      <c r="E290" s="72"/>
      <c r="F290" s="72"/>
      <c r="G290" s="16"/>
      <c r="H290" s="1663" t="s">
        <v>2479</v>
      </c>
      <c r="I290" s="1654"/>
      <c r="J290" s="1654"/>
      <c r="K290" s="1654"/>
      <c r="L290" s="1654"/>
      <c r="M290" s="1654"/>
      <c r="N290" s="1654"/>
      <c r="O290" s="1654"/>
      <c r="P290" s="1654"/>
      <c r="Q290" s="1654"/>
      <c r="R290" s="1654"/>
      <c r="S290" s="16"/>
      <c r="T290" s="72" t="s">
        <v>760</v>
      </c>
      <c r="U290" s="16"/>
      <c r="V290" s="72"/>
      <c r="W290" s="72"/>
      <c r="X290" s="72"/>
      <c r="Y290" s="72"/>
      <c r="Z290" s="16"/>
      <c r="AA290" s="1654"/>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109</v>
      </c>
      <c r="C291" s="72"/>
      <c r="D291" s="72"/>
      <c r="E291" s="72"/>
      <c r="F291" s="72"/>
      <c r="G291" s="16"/>
      <c r="H291" s="1663" t="s">
        <v>2461</v>
      </c>
      <c r="I291" s="1654"/>
      <c r="J291" s="1654"/>
      <c r="K291" s="1654"/>
      <c r="L291" s="1654"/>
      <c r="M291" s="1654"/>
      <c r="N291" s="1654"/>
      <c r="O291" s="1654"/>
      <c r="P291" s="1654"/>
      <c r="Q291" s="1654"/>
      <c r="R291" s="1654"/>
      <c r="S291" s="16"/>
      <c r="T291" s="72" t="s">
        <v>109</v>
      </c>
      <c r="U291" s="16"/>
      <c r="V291" s="72"/>
      <c r="W291" s="72"/>
      <c r="X291" s="72"/>
      <c r="Y291" s="72"/>
      <c r="Z291" s="16"/>
      <c r="AA291" s="1654"/>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414</v>
      </c>
      <c r="C292" s="72"/>
      <c r="D292" s="72"/>
      <c r="E292" s="72"/>
      <c r="F292" s="72"/>
      <c r="G292" s="16"/>
      <c r="H292" s="1663" t="s">
        <v>2484</v>
      </c>
      <c r="I292" s="1654"/>
      <c r="J292" s="1654"/>
      <c r="K292" s="1654"/>
      <c r="L292" s="1654"/>
      <c r="M292" s="1654"/>
      <c r="N292" s="1654"/>
      <c r="O292" s="1654"/>
      <c r="P292" s="1654"/>
      <c r="Q292" s="1654"/>
      <c r="R292" s="1654"/>
      <c r="S292" s="16"/>
      <c r="T292" s="72" t="s">
        <v>414</v>
      </c>
      <c r="U292" s="16"/>
      <c r="V292" s="72"/>
      <c r="W292" s="72"/>
      <c r="X292" s="72"/>
      <c r="Y292" s="72"/>
      <c r="Z292" s="16"/>
      <c r="AA292" s="1654"/>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415</v>
      </c>
      <c r="C293" s="72"/>
      <c r="D293" s="72"/>
      <c r="E293" s="72"/>
      <c r="F293" s="72"/>
      <c r="G293" s="72"/>
      <c r="H293" s="1664" t="s">
        <v>2485</v>
      </c>
      <c r="I293" s="1655"/>
      <c r="J293" s="1655"/>
      <c r="K293" s="1655"/>
      <c r="L293" s="1655"/>
      <c r="M293" s="1655"/>
      <c r="N293" s="8" t="s">
        <v>891</v>
      </c>
      <c r="O293" s="8"/>
      <c r="P293" s="1660"/>
      <c r="Q293" s="1660"/>
      <c r="R293" s="1660"/>
      <c r="S293" s="72"/>
      <c r="T293" s="72" t="s">
        <v>415</v>
      </c>
      <c r="U293" s="16"/>
      <c r="V293" s="72"/>
      <c r="W293" s="72"/>
      <c r="X293" s="72"/>
      <c r="Y293" s="72"/>
      <c r="Z293" s="16"/>
      <c r="AA293" s="1664"/>
      <c r="AB293" s="1664"/>
      <c r="AC293" s="1664"/>
      <c r="AD293" s="1664"/>
      <c r="AE293" s="1664"/>
      <c r="AF293" s="1664"/>
      <c r="AG293" s="8" t="s">
        <v>891</v>
      </c>
      <c r="AH293" s="8"/>
      <c r="AI293" s="1660"/>
      <c r="AJ293" s="1660"/>
      <c r="AK293" s="1660"/>
      <c r="AL293" s="25"/>
      <c r="AM293" s="137"/>
      <c r="AN293" s="439"/>
      <c r="AO293" s="331"/>
    </row>
    <row r="294" spans="1:41" s="46" customFormat="1" ht="12.75" customHeight="1">
      <c r="A294" s="153"/>
      <c r="B294" s="72" t="s">
        <v>98</v>
      </c>
      <c r="C294" s="72"/>
      <c r="D294" s="72"/>
      <c r="E294" s="72"/>
      <c r="F294" s="72"/>
      <c r="G294" s="72"/>
      <c r="H294" s="1654" t="s">
        <v>101</v>
      </c>
      <c r="I294" s="1654"/>
      <c r="J294" s="1654"/>
      <c r="K294" s="1654"/>
      <c r="L294" s="1654"/>
      <c r="M294" s="1654"/>
      <c r="N294" s="1654"/>
      <c r="O294" s="1654"/>
      <c r="P294" s="1654"/>
      <c r="Q294" s="1654"/>
      <c r="R294" s="1654"/>
      <c r="S294" s="72"/>
      <c r="T294" s="72" t="s">
        <v>98</v>
      </c>
      <c r="U294" s="16"/>
      <c r="V294" s="72"/>
      <c r="W294" s="72"/>
      <c r="X294" s="72"/>
      <c r="Y294" s="72"/>
      <c r="Z294" s="16"/>
      <c r="AA294" s="1654"/>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100</v>
      </c>
      <c r="C295" s="72"/>
      <c r="D295" s="72"/>
      <c r="E295" s="72"/>
      <c r="F295" s="72"/>
      <c r="G295" s="72"/>
      <c r="H295" s="1654" t="s">
        <v>2480</v>
      </c>
      <c r="I295" s="1654"/>
      <c r="J295" s="1654"/>
      <c r="K295" s="1654"/>
      <c r="L295" s="1654"/>
      <c r="M295" s="1654"/>
      <c r="N295" s="1654"/>
      <c r="O295" s="1654"/>
      <c r="P295" s="1654"/>
      <c r="Q295" s="1654"/>
      <c r="R295" s="1654"/>
      <c r="S295" s="72"/>
      <c r="T295" s="72" t="s">
        <v>100</v>
      </c>
      <c r="U295" s="16"/>
      <c r="V295" s="72"/>
      <c r="W295" s="72"/>
      <c r="X295" s="72"/>
      <c r="Y295" s="72"/>
      <c r="Z295" s="16"/>
      <c r="AA295" s="1654"/>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111</v>
      </c>
      <c r="C296" s="72"/>
      <c r="D296" s="72"/>
      <c r="E296" s="72"/>
      <c r="F296" s="72"/>
      <c r="G296" s="72"/>
      <c r="H296" s="2373">
        <v>0.11</v>
      </c>
      <c r="I296" s="2373"/>
      <c r="J296" s="2373"/>
      <c r="K296" s="2373"/>
      <c r="L296" s="2373"/>
      <c r="M296" s="2373"/>
      <c r="N296" s="2373"/>
      <c r="O296" s="2373"/>
      <c r="P296" s="2373"/>
      <c r="Q296" s="2373"/>
      <c r="R296" s="2373"/>
      <c r="S296" s="72"/>
      <c r="T296" s="72" t="s">
        <v>111</v>
      </c>
      <c r="U296" s="72"/>
      <c r="V296" s="72"/>
      <c r="W296" s="72"/>
      <c r="X296" s="72"/>
      <c r="Y296" s="72"/>
      <c r="Z296" s="18"/>
      <c r="AA296" s="2373"/>
      <c r="AB296" s="2373"/>
      <c r="AC296" s="2373"/>
      <c r="AD296" s="2373"/>
      <c r="AE296" s="2373"/>
      <c r="AF296" s="2373"/>
      <c r="AG296" s="2373"/>
      <c r="AH296" s="2373"/>
      <c r="AI296" s="2373"/>
      <c r="AJ296" s="2373"/>
      <c r="AK296" s="237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2" t="s">
        <v>2441</v>
      </c>
      <c r="I298" s="1662"/>
      <c r="J298" s="1662"/>
      <c r="K298" s="1662"/>
      <c r="L298" s="1662"/>
      <c r="M298" s="1662"/>
      <c r="N298" s="1662"/>
      <c r="O298" s="1662"/>
      <c r="P298" s="1662"/>
      <c r="Q298" s="1662"/>
      <c r="R298" s="1662"/>
      <c r="S298" s="16"/>
      <c r="T298" s="72" t="s">
        <v>99</v>
      </c>
      <c r="U298" s="16"/>
      <c r="V298" s="72"/>
      <c r="W298" s="72"/>
      <c r="X298" s="72"/>
      <c r="Y298" s="72"/>
      <c r="Z298" s="16"/>
      <c r="AA298" s="1659" t="s">
        <v>2457</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760</v>
      </c>
      <c r="C299" s="72"/>
      <c r="D299" s="72"/>
      <c r="E299" s="72"/>
      <c r="F299" s="72"/>
      <c r="G299" s="16"/>
      <c r="H299" s="1654" t="s">
        <v>2442</v>
      </c>
      <c r="I299" s="1654"/>
      <c r="J299" s="1654"/>
      <c r="K299" s="1654"/>
      <c r="L299" s="1654"/>
      <c r="M299" s="1654"/>
      <c r="N299" s="1654"/>
      <c r="O299" s="1654"/>
      <c r="P299" s="1654"/>
      <c r="Q299" s="1654"/>
      <c r="R299" s="1654"/>
      <c r="S299" s="16"/>
      <c r="T299" s="72" t="s">
        <v>760</v>
      </c>
      <c r="U299" s="16"/>
      <c r="V299" s="72"/>
      <c r="W299" s="72"/>
      <c r="X299" s="72"/>
      <c r="Y299" s="72"/>
      <c r="Z299" s="16"/>
      <c r="AA299" s="1654" t="s">
        <v>2445</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109</v>
      </c>
      <c r="C300" s="72"/>
      <c r="D300" s="72"/>
      <c r="E300" s="72"/>
      <c r="F300" s="72"/>
      <c r="G300" s="16"/>
      <c r="H300" s="1654" t="s">
        <v>2443</v>
      </c>
      <c r="I300" s="1654"/>
      <c r="J300" s="1654"/>
      <c r="K300" s="1654"/>
      <c r="L300" s="1654"/>
      <c r="M300" s="1654"/>
      <c r="N300" s="1654"/>
      <c r="O300" s="1654"/>
      <c r="P300" s="1654"/>
      <c r="Q300" s="1654"/>
      <c r="R300" s="1654"/>
      <c r="S300" s="16"/>
      <c r="T300" s="72" t="s">
        <v>109</v>
      </c>
      <c r="U300" s="16"/>
      <c r="V300" s="72"/>
      <c r="W300" s="72"/>
      <c r="X300" s="72"/>
      <c r="Y300" s="72"/>
      <c r="Z300" s="16"/>
      <c r="AA300" s="1654" t="s">
        <v>2443</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414</v>
      </c>
      <c r="C301" s="72"/>
      <c r="D301" s="72"/>
      <c r="E301" s="72"/>
      <c r="F301" s="72"/>
      <c r="G301" s="16"/>
      <c r="H301" s="1663" t="s">
        <v>2486</v>
      </c>
      <c r="I301" s="1654"/>
      <c r="J301" s="1654"/>
      <c r="K301" s="1654"/>
      <c r="L301" s="1654"/>
      <c r="M301" s="1654"/>
      <c r="N301" s="1654"/>
      <c r="O301" s="1654"/>
      <c r="P301" s="1654"/>
      <c r="Q301" s="1654"/>
      <c r="R301" s="1654"/>
      <c r="S301" s="16"/>
      <c r="T301" s="72" t="s">
        <v>414</v>
      </c>
      <c r="U301" s="16"/>
      <c r="V301" s="72"/>
      <c r="W301" s="72"/>
      <c r="X301" s="72"/>
      <c r="Y301" s="72"/>
      <c r="Z301" s="16"/>
      <c r="AA301" s="1663" t="s">
        <v>2491</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415</v>
      </c>
      <c r="C302" s="72"/>
      <c r="D302" s="72"/>
      <c r="E302" s="72"/>
      <c r="F302" s="72"/>
      <c r="G302" s="72"/>
      <c r="H302" s="1664">
        <v>6619485029</v>
      </c>
      <c r="I302" s="1664"/>
      <c r="J302" s="1664"/>
      <c r="K302" s="1664"/>
      <c r="L302" s="1664"/>
      <c r="M302" s="1664"/>
      <c r="N302" s="8" t="s">
        <v>891</v>
      </c>
      <c r="O302" s="8"/>
      <c r="P302" s="1660"/>
      <c r="Q302" s="1660"/>
      <c r="R302" s="1660"/>
      <c r="S302" s="72"/>
      <c r="T302" s="72" t="s">
        <v>415</v>
      </c>
      <c r="U302" s="16"/>
      <c r="V302" s="72"/>
      <c r="W302" s="72"/>
      <c r="X302" s="72"/>
      <c r="Y302" s="72"/>
      <c r="Z302" s="16"/>
      <c r="AA302" s="1664">
        <v>6619510223</v>
      </c>
      <c r="AB302" s="1664"/>
      <c r="AC302" s="1664"/>
      <c r="AD302" s="1664"/>
      <c r="AE302" s="1664"/>
      <c r="AF302" s="1664"/>
      <c r="AG302" s="8" t="s">
        <v>891</v>
      </c>
      <c r="AH302" s="8"/>
      <c r="AI302" s="1660"/>
      <c r="AJ302" s="1660"/>
      <c r="AK302" s="1660"/>
      <c r="AL302" s="25"/>
      <c r="AM302" s="137"/>
      <c r="AN302" s="439"/>
    </row>
    <row r="303" spans="1:41" s="46" customFormat="1" ht="12.75" customHeight="1">
      <c r="A303" s="153"/>
      <c r="B303" s="72" t="s">
        <v>98</v>
      </c>
      <c r="C303" s="72"/>
      <c r="D303" s="72"/>
      <c r="E303" s="72"/>
      <c r="F303" s="72"/>
      <c r="G303" s="72"/>
      <c r="H303" s="1654" t="s">
        <v>103</v>
      </c>
      <c r="I303" s="1654"/>
      <c r="J303" s="1654"/>
      <c r="K303" s="1654"/>
      <c r="L303" s="1654"/>
      <c r="M303" s="1654"/>
      <c r="N303" s="1654"/>
      <c r="O303" s="1654"/>
      <c r="P303" s="1654"/>
      <c r="Q303" s="1654"/>
      <c r="R303" s="1654"/>
      <c r="S303" s="72"/>
      <c r="T303" s="72" t="s">
        <v>98</v>
      </c>
      <c r="U303" s="16"/>
      <c r="V303" s="72"/>
      <c r="W303" s="72"/>
      <c r="X303" s="72"/>
      <c r="Y303" s="72"/>
      <c r="Z303" s="16"/>
      <c r="AA303" s="1654" t="s">
        <v>384</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100</v>
      </c>
      <c r="C304" s="72"/>
      <c r="D304" s="72"/>
      <c r="E304" s="72"/>
      <c r="F304" s="72"/>
      <c r="G304" s="72"/>
      <c r="H304" s="1654" t="s">
        <v>2444</v>
      </c>
      <c r="I304" s="1654"/>
      <c r="J304" s="1654"/>
      <c r="K304" s="1654"/>
      <c r="L304" s="1654"/>
      <c r="M304" s="1654"/>
      <c r="N304" s="1654"/>
      <c r="O304" s="1654"/>
      <c r="P304" s="1654"/>
      <c r="Q304" s="1654"/>
      <c r="R304" s="1654"/>
      <c r="S304" s="72"/>
      <c r="T304" s="72" t="s">
        <v>100</v>
      </c>
      <c r="U304" s="16"/>
      <c r="V304" s="72"/>
      <c r="W304" s="72"/>
      <c r="X304" s="72"/>
      <c r="Y304" s="72"/>
      <c r="Z304" s="16"/>
      <c r="AA304" s="1663" t="s">
        <v>2481</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111</v>
      </c>
      <c r="C305" s="72"/>
      <c r="D305" s="72"/>
      <c r="E305" s="72"/>
      <c r="F305" s="72"/>
      <c r="G305" s="72"/>
      <c r="H305" s="2373">
        <v>0.33</v>
      </c>
      <c r="I305" s="2373"/>
      <c r="J305" s="2373"/>
      <c r="K305" s="2373"/>
      <c r="L305" s="2373"/>
      <c r="M305" s="2373"/>
      <c r="N305" s="2373"/>
      <c r="O305" s="2373"/>
      <c r="P305" s="2373"/>
      <c r="Q305" s="2373"/>
      <c r="R305" s="2373"/>
      <c r="S305" s="72"/>
      <c r="T305" s="72" t="s">
        <v>111</v>
      </c>
      <c r="U305" s="72"/>
      <c r="V305" s="72"/>
      <c r="W305" s="72"/>
      <c r="X305" s="72"/>
      <c r="Y305" s="72"/>
      <c r="Z305" s="18"/>
      <c r="AA305" s="2373">
        <v>1.1499999999999999</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59" t="s">
        <v>2458</v>
      </c>
      <c r="I307" s="1662"/>
      <c r="J307" s="1662"/>
      <c r="K307" s="1662"/>
      <c r="L307" s="1662"/>
      <c r="M307" s="1662"/>
      <c r="N307" s="1662"/>
      <c r="O307" s="1662"/>
      <c r="P307" s="1662"/>
      <c r="Q307" s="1662"/>
      <c r="R307" s="1662"/>
      <c r="S307" s="16"/>
      <c r="T307" s="72" t="s">
        <v>99</v>
      </c>
      <c r="U307" s="16"/>
      <c r="V307" s="72"/>
      <c r="W307" s="72"/>
      <c r="X307" s="72"/>
      <c r="Y307" s="72"/>
      <c r="Z307" s="16"/>
      <c r="AA307" s="1662" t="s">
        <v>2449</v>
      </c>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760</v>
      </c>
      <c r="C308" s="72"/>
      <c r="D308" s="72"/>
      <c r="E308" s="72"/>
      <c r="F308" s="72"/>
      <c r="G308" s="16"/>
      <c r="H308" s="1654" t="s">
        <v>2446</v>
      </c>
      <c r="I308" s="1654"/>
      <c r="J308" s="1654"/>
      <c r="K308" s="1654"/>
      <c r="L308" s="1654"/>
      <c r="M308" s="1654"/>
      <c r="N308" s="1654"/>
      <c r="O308" s="1654"/>
      <c r="P308" s="1654"/>
      <c r="Q308" s="1654"/>
      <c r="R308" s="1654"/>
      <c r="S308" s="16"/>
      <c r="T308" s="72" t="s">
        <v>760</v>
      </c>
      <c r="U308" s="16"/>
      <c r="V308" s="72"/>
      <c r="W308" s="72"/>
      <c r="X308" s="72"/>
      <c r="Y308" s="72"/>
      <c r="Z308" s="16"/>
      <c r="AA308" s="1654" t="s">
        <v>2450</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109</v>
      </c>
      <c r="C309" s="72"/>
      <c r="D309" s="72"/>
      <c r="E309" s="72"/>
      <c r="F309" s="72"/>
      <c r="G309" s="16"/>
      <c r="H309" s="1654" t="s">
        <v>2447</v>
      </c>
      <c r="I309" s="1654"/>
      <c r="J309" s="1654"/>
      <c r="K309" s="1654"/>
      <c r="L309" s="1654"/>
      <c r="M309" s="1654"/>
      <c r="N309" s="1654"/>
      <c r="O309" s="1654"/>
      <c r="P309" s="1654"/>
      <c r="Q309" s="1654"/>
      <c r="R309" s="1654"/>
      <c r="S309" s="16"/>
      <c r="T309" s="72" t="s">
        <v>109</v>
      </c>
      <c r="U309" s="16"/>
      <c r="V309" s="72"/>
      <c r="W309" s="72"/>
      <c r="X309" s="72"/>
      <c r="Y309" s="72"/>
      <c r="Z309" s="16"/>
      <c r="AA309" s="1654" t="s">
        <v>2443</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414</v>
      </c>
      <c r="C310" s="72"/>
      <c r="D310" s="72"/>
      <c r="E310" s="72"/>
      <c r="F310" s="72"/>
      <c r="G310" s="16"/>
      <c r="H310" s="1663" t="s">
        <v>2487</v>
      </c>
      <c r="I310" s="1654"/>
      <c r="J310" s="1654"/>
      <c r="K310" s="1654"/>
      <c r="L310" s="1654"/>
      <c r="M310" s="1654"/>
      <c r="N310" s="1654"/>
      <c r="O310" s="1654"/>
      <c r="P310" s="1654"/>
      <c r="Q310" s="1654"/>
      <c r="R310" s="1654"/>
      <c r="S310" s="16"/>
      <c r="T310" s="72" t="s">
        <v>414</v>
      </c>
      <c r="U310" s="16"/>
      <c r="V310" s="72"/>
      <c r="W310" s="72"/>
      <c r="X310" s="72"/>
      <c r="Y310" s="72"/>
      <c r="Z310" s="16"/>
      <c r="AA310" s="1663" t="s">
        <v>2490</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415</v>
      </c>
      <c r="C311" s="72"/>
      <c r="D311" s="72"/>
      <c r="E311" s="72"/>
      <c r="F311" s="72"/>
      <c r="G311" s="72"/>
      <c r="H311" s="1664">
        <v>6619488552</v>
      </c>
      <c r="I311" s="1664"/>
      <c r="J311" s="1664"/>
      <c r="K311" s="1664"/>
      <c r="L311" s="1664"/>
      <c r="M311" s="1664"/>
      <c r="N311" s="8" t="s">
        <v>891</v>
      </c>
      <c r="O311" s="8"/>
      <c r="P311" s="1660"/>
      <c r="Q311" s="1660"/>
      <c r="R311" s="1660"/>
      <c r="S311" s="72"/>
      <c r="T311" s="72" t="s">
        <v>415</v>
      </c>
      <c r="U311" s="16"/>
      <c r="V311" s="72"/>
      <c r="W311" s="72"/>
      <c r="X311" s="72"/>
      <c r="Y311" s="72"/>
      <c r="Z311" s="16"/>
      <c r="AA311" s="1664">
        <v>6617264400</v>
      </c>
      <c r="AB311" s="1664"/>
      <c r="AC311" s="1664"/>
      <c r="AD311" s="1664"/>
      <c r="AE311" s="1664"/>
      <c r="AF311" s="1664"/>
      <c r="AG311" s="8" t="s">
        <v>891</v>
      </c>
      <c r="AH311" s="8"/>
      <c r="AI311" s="1660"/>
      <c r="AJ311" s="1660"/>
      <c r="AK311" s="1660"/>
      <c r="AL311" s="25"/>
      <c r="AM311" s="137"/>
      <c r="AN311" s="439"/>
    </row>
    <row r="312" spans="1:40" s="46" customFormat="1" ht="12.75" customHeight="1">
      <c r="A312" s="153"/>
      <c r="B312" s="72" t="s">
        <v>98</v>
      </c>
      <c r="C312" s="72"/>
      <c r="D312" s="72"/>
      <c r="E312" s="72"/>
      <c r="F312" s="72"/>
      <c r="G312" s="72"/>
      <c r="H312" s="1654" t="s">
        <v>110</v>
      </c>
      <c r="I312" s="1654"/>
      <c r="J312" s="1654"/>
      <c r="K312" s="1654"/>
      <c r="L312" s="1654"/>
      <c r="M312" s="1654"/>
      <c r="N312" s="1654"/>
      <c r="O312" s="1654"/>
      <c r="P312" s="1654"/>
      <c r="Q312" s="1654"/>
      <c r="R312" s="1654"/>
      <c r="S312" s="72"/>
      <c r="T312" s="72" t="s">
        <v>98</v>
      </c>
      <c r="U312" s="16"/>
      <c r="V312" s="72"/>
      <c r="W312" s="72"/>
      <c r="X312" s="72"/>
      <c r="Y312" s="72"/>
      <c r="Z312" s="16"/>
      <c r="AA312" s="1654" t="s">
        <v>107</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100</v>
      </c>
      <c r="C313" s="72"/>
      <c r="D313" s="72"/>
      <c r="E313" s="72"/>
      <c r="F313" s="72"/>
      <c r="G313" s="72"/>
      <c r="H313" s="1654" t="s">
        <v>2448</v>
      </c>
      <c r="I313" s="1654"/>
      <c r="J313" s="1654"/>
      <c r="K313" s="1654"/>
      <c r="L313" s="1654"/>
      <c r="M313" s="1654"/>
      <c r="N313" s="1654"/>
      <c r="O313" s="1654"/>
      <c r="P313" s="1654"/>
      <c r="Q313" s="1654"/>
      <c r="R313" s="1654"/>
      <c r="S313" s="72"/>
      <c r="T313" s="72" t="s">
        <v>100</v>
      </c>
      <c r="U313" s="16"/>
      <c r="V313" s="72"/>
      <c r="W313" s="72"/>
      <c r="X313" s="72"/>
      <c r="Y313" s="72"/>
      <c r="Z313" s="16"/>
      <c r="AA313" s="1654" t="s">
        <v>2482</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111</v>
      </c>
      <c r="C314" s="72"/>
      <c r="D314" s="72"/>
      <c r="E314" s="72"/>
      <c r="F314" s="72"/>
      <c r="G314" s="72"/>
      <c r="H314" s="2373">
        <v>0.5</v>
      </c>
      <c r="I314" s="2373"/>
      <c r="J314" s="2373"/>
      <c r="K314" s="2373"/>
      <c r="L314" s="2373"/>
      <c r="M314" s="2373"/>
      <c r="N314" s="2373"/>
      <c r="O314" s="2373"/>
      <c r="P314" s="2373"/>
      <c r="Q314" s="2373"/>
      <c r="R314" s="2373"/>
      <c r="S314" s="72"/>
      <c r="T314" s="72" t="s">
        <v>111</v>
      </c>
      <c r="U314" s="72"/>
      <c r="V314" s="72"/>
      <c r="W314" s="72"/>
      <c r="X314" s="72"/>
      <c r="Y314" s="72"/>
      <c r="Z314" s="18"/>
      <c r="AA314" s="2373">
        <v>0.18</v>
      </c>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2" t="s">
        <v>2451</v>
      </c>
      <c r="I316" s="1662"/>
      <c r="J316" s="1662"/>
      <c r="K316" s="1662"/>
      <c r="L316" s="1662"/>
      <c r="M316" s="1662"/>
      <c r="N316" s="1662"/>
      <c r="O316" s="1662"/>
      <c r="P316" s="1662"/>
      <c r="Q316" s="1662"/>
      <c r="R316" s="1662"/>
      <c r="S316" s="16"/>
      <c r="T316" s="72" t="s">
        <v>99</v>
      </c>
      <c r="U316" s="16"/>
      <c r="V316" s="72"/>
      <c r="W316" s="72"/>
      <c r="X316" s="72"/>
      <c r="Y316" s="72"/>
      <c r="Z316" s="16"/>
      <c r="AA316" s="1659" t="s">
        <v>2459</v>
      </c>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760</v>
      </c>
      <c r="C317" s="72"/>
      <c r="D317" s="72"/>
      <c r="E317" s="72"/>
      <c r="F317" s="72"/>
      <c r="G317" s="16"/>
      <c r="H317" s="1654" t="s">
        <v>2452</v>
      </c>
      <c r="I317" s="1654"/>
      <c r="J317" s="1654"/>
      <c r="K317" s="1654"/>
      <c r="L317" s="1654"/>
      <c r="M317" s="1654"/>
      <c r="N317" s="1654"/>
      <c r="O317" s="1654"/>
      <c r="P317" s="1654"/>
      <c r="Q317" s="1654"/>
      <c r="R317" s="1654"/>
      <c r="S317" s="16"/>
      <c r="T317" s="72" t="s">
        <v>760</v>
      </c>
      <c r="U317" s="16"/>
      <c r="V317" s="72"/>
      <c r="W317" s="72"/>
      <c r="X317" s="72"/>
      <c r="Y317" s="72"/>
      <c r="Z317" s="16"/>
      <c r="AA317" s="1654" t="s">
        <v>2454</v>
      </c>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109</v>
      </c>
      <c r="C318" s="72"/>
      <c r="D318" s="72"/>
      <c r="E318" s="72"/>
      <c r="F318" s="72"/>
      <c r="G318" s="16"/>
      <c r="H318" s="1654" t="s">
        <v>2443</v>
      </c>
      <c r="I318" s="1654"/>
      <c r="J318" s="1654"/>
      <c r="K318" s="1654"/>
      <c r="L318" s="1654"/>
      <c r="M318" s="1654"/>
      <c r="N318" s="1654"/>
      <c r="O318" s="1654"/>
      <c r="P318" s="1654"/>
      <c r="Q318" s="1654"/>
      <c r="R318" s="1654"/>
      <c r="S318" s="16"/>
      <c r="T318" s="72" t="s">
        <v>109</v>
      </c>
      <c r="U318" s="16"/>
      <c r="V318" s="72"/>
      <c r="W318" s="72"/>
      <c r="X318" s="72"/>
      <c r="Y318" s="72"/>
      <c r="Z318" s="16"/>
      <c r="AA318" s="1654" t="s">
        <v>2455</v>
      </c>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414</v>
      </c>
      <c r="C319" s="72"/>
      <c r="D319" s="72"/>
      <c r="E319" s="72"/>
      <c r="F319" s="72"/>
      <c r="G319" s="16"/>
      <c r="H319" s="1663" t="s">
        <v>2488</v>
      </c>
      <c r="I319" s="1654"/>
      <c r="J319" s="1654"/>
      <c r="K319" s="1654"/>
      <c r="L319" s="1654"/>
      <c r="M319" s="1654"/>
      <c r="N319" s="1654"/>
      <c r="O319" s="1654"/>
      <c r="P319" s="1654"/>
      <c r="Q319" s="1654"/>
      <c r="R319" s="1654"/>
      <c r="S319" s="16"/>
      <c r="T319" s="72" t="s">
        <v>414</v>
      </c>
      <c r="U319" s="16"/>
      <c r="V319" s="72"/>
      <c r="W319" s="72"/>
      <c r="X319" s="72"/>
      <c r="Y319" s="72"/>
      <c r="Z319" s="16"/>
      <c r="AA319" s="1663" t="s">
        <v>2489</v>
      </c>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415</v>
      </c>
      <c r="C320" s="72"/>
      <c r="D320" s="72"/>
      <c r="E320" s="72"/>
      <c r="F320" s="72"/>
      <c r="G320" s="72"/>
      <c r="H320" s="1664">
        <v>6619422391</v>
      </c>
      <c r="I320" s="1664"/>
      <c r="J320" s="1664"/>
      <c r="K320" s="1664"/>
      <c r="L320" s="1664"/>
      <c r="M320" s="1664"/>
      <c r="N320" s="8" t="s">
        <v>891</v>
      </c>
      <c r="O320" s="8"/>
      <c r="P320" s="1660"/>
      <c r="Q320" s="1660"/>
      <c r="R320" s="1660"/>
      <c r="S320" s="72"/>
      <c r="T320" s="72" t="s">
        <v>415</v>
      </c>
      <c r="U320" s="16"/>
      <c r="V320" s="72"/>
      <c r="W320" s="72"/>
      <c r="X320" s="72"/>
      <c r="Y320" s="72"/>
      <c r="Z320" s="16"/>
      <c r="AA320" s="1664">
        <v>6619421461</v>
      </c>
      <c r="AB320" s="1664"/>
      <c r="AC320" s="1664"/>
      <c r="AD320" s="1664"/>
      <c r="AE320" s="1664"/>
      <c r="AF320" s="1664"/>
      <c r="AG320" s="8" t="s">
        <v>891</v>
      </c>
      <c r="AH320" s="8"/>
      <c r="AI320" s="1660"/>
      <c r="AJ320" s="1660"/>
      <c r="AK320" s="1660"/>
      <c r="AL320" s="25"/>
      <c r="AM320" s="137"/>
      <c r="AN320" s="439"/>
    </row>
    <row r="321" spans="1:76" s="46" customFormat="1" ht="12.75" customHeight="1">
      <c r="A321" s="153"/>
      <c r="B321" s="72" t="s">
        <v>98</v>
      </c>
      <c r="C321" s="72"/>
      <c r="D321" s="72"/>
      <c r="E321" s="72"/>
      <c r="F321" s="72"/>
      <c r="G321" s="72"/>
      <c r="H321" s="1654" t="s">
        <v>105</v>
      </c>
      <c r="I321" s="1654"/>
      <c r="J321" s="1654"/>
      <c r="K321" s="1654"/>
      <c r="L321" s="1654"/>
      <c r="M321" s="1654"/>
      <c r="N321" s="1654"/>
      <c r="O321" s="1654"/>
      <c r="P321" s="1654"/>
      <c r="Q321" s="1654"/>
      <c r="R321" s="1654"/>
      <c r="S321" s="72"/>
      <c r="T321" s="72" t="s">
        <v>98</v>
      </c>
      <c r="U321" s="16"/>
      <c r="V321" s="72"/>
      <c r="W321" s="72"/>
      <c r="X321" s="72"/>
      <c r="Y321" s="72"/>
      <c r="Z321" s="16"/>
      <c r="AA321" s="1654" t="s">
        <v>106</v>
      </c>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100</v>
      </c>
      <c r="C322" s="72"/>
      <c r="D322" s="72"/>
      <c r="E322" s="72"/>
      <c r="F322" s="72"/>
      <c r="G322" s="72"/>
      <c r="H322" s="1654" t="s">
        <v>2453</v>
      </c>
      <c r="I322" s="1654"/>
      <c r="J322" s="1654"/>
      <c r="K322" s="1654"/>
      <c r="L322" s="1654"/>
      <c r="M322" s="1654"/>
      <c r="N322" s="1654"/>
      <c r="O322" s="1654"/>
      <c r="P322" s="1654"/>
      <c r="Q322" s="1654"/>
      <c r="R322" s="1654"/>
      <c r="S322" s="72"/>
      <c r="T322" s="72" t="s">
        <v>100</v>
      </c>
      <c r="U322" s="16"/>
      <c r="V322" s="72"/>
      <c r="W322" s="72"/>
      <c r="X322" s="72"/>
      <c r="Y322" s="72"/>
      <c r="Z322" s="16"/>
      <c r="AA322" s="1654" t="s">
        <v>2456</v>
      </c>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111</v>
      </c>
      <c r="C323" s="72"/>
      <c r="D323" s="72"/>
      <c r="E323" s="72"/>
      <c r="F323" s="72"/>
      <c r="G323" s="72"/>
      <c r="H323" s="2373">
        <v>0.28000000000000003</v>
      </c>
      <c r="I323" s="2373"/>
      <c r="J323" s="2373"/>
      <c r="K323" s="2373"/>
      <c r="L323" s="2373"/>
      <c r="M323" s="2373"/>
      <c r="N323" s="2373"/>
      <c r="O323" s="2373"/>
      <c r="P323" s="2373"/>
      <c r="Q323" s="2373"/>
      <c r="R323" s="2373"/>
      <c r="S323" s="72"/>
      <c r="T323" s="72" t="s">
        <v>111</v>
      </c>
      <c r="U323" s="72"/>
      <c r="V323" s="72"/>
      <c r="W323" s="72"/>
      <c r="X323" s="72"/>
      <c r="Y323" s="72"/>
      <c r="Z323" s="18"/>
      <c r="AA323" s="2373">
        <v>0.5</v>
      </c>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2"/>
      <c r="I325" s="1662"/>
      <c r="J325" s="1662"/>
      <c r="K325" s="1662"/>
      <c r="L325" s="1662"/>
      <c r="M325" s="1662"/>
      <c r="N325" s="1662"/>
      <c r="O325" s="1662"/>
      <c r="P325" s="1662"/>
      <c r="Q325" s="1662"/>
      <c r="R325" s="1662"/>
      <c r="S325" s="16"/>
      <c r="T325" s="72" t="s">
        <v>99</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760</v>
      </c>
      <c r="C326" s="72"/>
      <c r="D326" s="72"/>
      <c r="E326" s="72"/>
      <c r="F326" s="72"/>
      <c r="G326" s="16"/>
      <c r="H326" s="1654"/>
      <c r="I326" s="1654"/>
      <c r="J326" s="1654"/>
      <c r="K326" s="1654"/>
      <c r="L326" s="1654"/>
      <c r="M326" s="1654"/>
      <c r="N326" s="1654"/>
      <c r="O326" s="1654"/>
      <c r="P326" s="1654"/>
      <c r="Q326" s="1654"/>
      <c r="R326" s="1654"/>
      <c r="S326" s="16"/>
      <c r="T326" s="72" t="s">
        <v>760</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109</v>
      </c>
      <c r="C327" s="72"/>
      <c r="D327" s="72"/>
      <c r="E327" s="72"/>
      <c r="F327" s="72"/>
      <c r="G327" s="16"/>
      <c r="H327" s="1654"/>
      <c r="I327" s="1654"/>
      <c r="J327" s="1654"/>
      <c r="K327" s="1654"/>
      <c r="L327" s="1654"/>
      <c r="M327" s="1654"/>
      <c r="N327" s="1654"/>
      <c r="O327" s="1654"/>
      <c r="P327" s="1654"/>
      <c r="Q327" s="1654"/>
      <c r="R327" s="1654"/>
      <c r="S327" s="16"/>
      <c r="T327" s="72" t="s">
        <v>109</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414</v>
      </c>
      <c r="C328" s="72"/>
      <c r="D328" s="72"/>
      <c r="E328" s="72"/>
      <c r="F328" s="72"/>
      <c r="G328" s="16"/>
      <c r="H328" s="1654"/>
      <c r="I328" s="1654"/>
      <c r="J328" s="1654"/>
      <c r="K328" s="1654"/>
      <c r="L328" s="1654"/>
      <c r="M328" s="1654"/>
      <c r="N328" s="1654"/>
      <c r="O328" s="1654"/>
      <c r="P328" s="1654"/>
      <c r="Q328" s="1654"/>
      <c r="R328" s="1654"/>
      <c r="S328" s="16"/>
      <c r="T328" s="72" t="s">
        <v>414</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415</v>
      </c>
      <c r="C329" s="72"/>
      <c r="D329" s="72"/>
      <c r="E329" s="72"/>
      <c r="F329" s="72"/>
      <c r="G329" s="72"/>
      <c r="H329" s="1655"/>
      <c r="I329" s="1655"/>
      <c r="J329" s="1655"/>
      <c r="K329" s="1655"/>
      <c r="L329" s="1655"/>
      <c r="M329" s="1655"/>
      <c r="N329" s="8" t="s">
        <v>891</v>
      </c>
      <c r="O329" s="8"/>
      <c r="P329" s="1660"/>
      <c r="Q329" s="1660"/>
      <c r="R329" s="1660"/>
      <c r="S329" s="72"/>
      <c r="T329" s="72" t="s">
        <v>415</v>
      </c>
      <c r="U329" s="16"/>
      <c r="V329" s="72"/>
      <c r="W329" s="72"/>
      <c r="X329" s="72"/>
      <c r="Y329" s="72"/>
      <c r="Z329" s="16"/>
      <c r="AA329" s="1655"/>
      <c r="AB329" s="1655"/>
      <c r="AC329" s="1655"/>
      <c r="AD329" s="1655"/>
      <c r="AE329" s="1655"/>
      <c r="AF329" s="1655"/>
      <c r="AG329" s="8" t="s">
        <v>891</v>
      </c>
      <c r="AH329" s="8"/>
      <c r="AI329" s="1660"/>
      <c r="AJ329" s="1660"/>
      <c r="AK329" s="1660"/>
      <c r="AL329" s="327"/>
      <c r="AM329" s="137"/>
      <c r="AN329" s="439"/>
    </row>
    <row r="330" spans="1:76" s="137" customFormat="1" ht="12.75" customHeight="1">
      <c r="A330" s="153"/>
      <c r="B330" s="72" t="s">
        <v>98</v>
      </c>
      <c r="C330" s="72"/>
      <c r="D330" s="72"/>
      <c r="E330" s="72"/>
      <c r="F330" s="72"/>
      <c r="G330" s="72"/>
      <c r="H330" s="1654"/>
      <c r="I330" s="1654"/>
      <c r="J330" s="1654"/>
      <c r="K330" s="1654"/>
      <c r="L330" s="1654"/>
      <c r="M330" s="1654"/>
      <c r="N330" s="1654"/>
      <c r="O330" s="1654"/>
      <c r="P330" s="1654"/>
      <c r="Q330" s="1654"/>
      <c r="R330" s="1654"/>
      <c r="S330" s="72"/>
      <c r="T330" s="72" t="s">
        <v>98</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100</v>
      </c>
      <c r="C331" s="72"/>
      <c r="D331" s="72"/>
      <c r="E331" s="72"/>
      <c r="F331" s="72"/>
      <c r="G331" s="72"/>
      <c r="H331" s="1654"/>
      <c r="I331" s="1654"/>
      <c r="J331" s="1654"/>
      <c r="K331" s="1654"/>
      <c r="L331" s="1654"/>
      <c r="M331" s="1654"/>
      <c r="N331" s="1654"/>
      <c r="O331" s="1654"/>
      <c r="P331" s="1654"/>
      <c r="Q331" s="1654"/>
      <c r="R331" s="1654"/>
      <c r="S331" s="72"/>
      <c r="T331" s="72" t="s">
        <v>100</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111</v>
      </c>
      <c r="C332" s="72"/>
      <c r="D332" s="72"/>
      <c r="E332" s="72"/>
      <c r="F332" s="72"/>
      <c r="G332" s="72"/>
      <c r="H332" s="2373"/>
      <c r="I332" s="2373"/>
      <c r="J332" s="2373"/>
      <c r="K332" s="2373"/>
      <c r="L332" s="2373"/>
      <c r="M332" s="2373"/>
      <c r="N332" s="2373"/>
      <c r="O332" s="2373"/>
      <c r="P332" s="2373"/>
      <c r="Q332" s="2373"/>
      <c r="R332" s="2373"/>
      <c r="S332" s="72"/>
      <c r="T332" s="72" t="s">
        <v>111</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404</v>
      </c>
      <c r="AF335" s="2374"/>
      <c r="AG335" s="2374"/>
      <c r="AH335" s="2374"/>
      <c r="AI335" s="2374"/>
      <c r="AJ335" s="2374"/>
      <c r="AK335" s="2374"/>
      <c r="AL335" s="152"/>
      <c r="AM335" s="1371"/>
      <c r="AN335" s="152"/>
    </row>
    <row r="336" spans="1:76" s="46" customFormat="1" ht="12.75" customHeight="1">
      <c r="A336" s="152"/>
      <c r="B336" s="161"/>
      <c r="C336" s="2375" t="s">
        <v>2017</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2018</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6"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2019</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2020</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3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18" t="s">
        <v>982</v>
      </c>
      <c r="AP356" s="1119">
        <f>IF(C381="Yes",5,0)</f>
        <v>5</v>
      </c>
      <c r="AQ356" s="137"/>
      <c r="AR356" s="137"/>
      <c r="AS356" s="63" t="s">
        <v>1945</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18"/>
      <c r="AP357" s="1119"/>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18" t="s">
        <v>983</v>
      </c>
      <c r="AP358" s="1119">
        <f>IF(C391="Yes",5,0)</f>
        <v>0</v>
      </c>
      <c r="AS358" s="63" t="s">
        <v>1979</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18"/>
      <c r="AP359" s="1119"/>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18" t="s">
        <v>989</v>
      </c>
      <c r="AP360" s="1119">
        <f>IF(C401="Yes",7,0)</f>
        <v>0</v>
      </c>
      <c r="AQ360" s="137"/>
      <c r="AR360" s="137"/>
    </row>
    <row r="361" spans="1:46" s="46" customFormat="1" ht="12.75" customHeight="1">
      <c r="A361" s="163"/>
      <c r="B361" s="144"/>
      <c r="C361" s="2375" t="s">
        <v>2021</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19">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19"/>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18" t="s">
        <v>476</v>
      </c>
      <c r="AP363" s="1119">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19">
        <f>IF(C413="Yes",3,0)</f>
        <v>0</v>
      </c>
    </row>
    <row r="365" spans="1:46" s="46" customFormat="1" ht="12.6"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19"/>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18" t="s">
        <v>186</v>
      </c>
      <c r="AP366" s="1119">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18" t="s">
        <v>479</v>
      </c>
      <c r="AP367" s="1119">
        <f>IF(C425="Yes",5,0)</f>
        <v>5</v>
      </c>
    </row>
    <row r="368" spans="1:46" s="46" customFormat="1" ht="12.75" customHeight="1">
      <c r="A368" s="163"/>
      <c r="B368" s="144"/>
      <c r="C368" s="2375" t="s">
        <v>2022</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19">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20"/>
      <c r="AP369" s="1121"/>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22" t="s">
        <v>671</v>
      </c>
      <c r="AP370" s="1123">
        <f>SUM(AP356:AP369)</f>
        <v>10</v>
      </c>
      <c r="AQ370" s="2361">
        <f>IF(AP370&gt;0,AP370,0)</f>
        <v>10</v>
      </c>
      <c r="AR370" s="2361"/>
    </row>
    <row r="371" spans="1:153" s="46" customFormat="1" ht="12.6"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370">
        <f>Application!CQ650-U373</f>
        <v>199</v>
      </c>
      <c r="V372" s="2370"/>
      <c r="W372" s="237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71">
        <f>Application!AG734</f>
        <v>0</v>
      </c>
      <c r="V373" s="2371"/>
      <c r="W373" s="2371"/>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6" t="s">
        <v>1954</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118</v>
      </c>
      <c r="D381" s="1658"/>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2" t="s">
        <v>353</v>
      </c>
      <c r="AG381" s="2362"/>
      <c r="AH381" s="2362"/>
      <c r="AI381" s="2362"/>
      <c r="AJ381" s="2362"/>
      <c r="AK381" s="2362"/>
      <c r="AL381" s="2363"/>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61">
        <f>IF(AP383&gt;0,AP383,0)</f>
        <v>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6" t="s">
        <v>1953</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134</v>
      </c>
      <c r="D391" s="1658"/>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2" t="s">
        <v>353</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6"/>
      <c r="AG393" s="2396"/>
      <c r="AH393" s="2396"/>
      <c r="AI393" s="2396"/>
      <c r="AJ393" s="2396"/>
      <c r="AK393" s="2396"/>
      <c r="AL393" s="239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560" t="s">
        <v>2155</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134</v>
      </c>
      <c r="D401" s="1658"/>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2" t="s">
        <v>1045</v>
      </c>
      <c r="AG401" s="2362"/>
      <c r="AH401" s="2362"/>
      <c r="AI401" s="2362"/>
      <c r="AJ401" s="2362"/>
      <c r="AK401" s="2362"/>
      <c r="AL401" s="2363"/>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134</v>
      </c>
      <c r="D403" s="1658"/>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2" t="s">
        <v>353</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6" t="s">
        <v>1952</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134</v>
      </c>
      <c r="D411" s="1658"/>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2" t="s">
        <v>353</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134</v>
      </c>
      <c r="D413" s="165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2" t="s">
        <v>1044</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134</v>
      </c>
      <c r="D416" s="1658"/>
      <c r="E416" s="1137" t="s">
        <v>208</v>
      </c>
      <c r="F416" s="2346" t="s">
        <v>1956</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4" t="s">
        <v>353</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66" t="s">
        <v>1958</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158"/>
      <c r="AG421" s="1158"/>
      <c r="AH421" s="1158"/>
      <c r="AI421" s="1158"/>
      <c r="AJ421" s="1158"/>
      <c r="AK421" s="1158"/>
      <c r="AL421" s="1159"/>
      <c r="AM421" s="16"/>
    </row>
    <row r="422" spans="1:153">
      <c r="A422" s="8"/>
      <c r="C422" s="1143"/>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44"/>
      <c r="AM422" s="16"/>
    </row>
    <row r="423" spans="1:153" s="46" customFormat="1" ht="12.75" customHeight="1">
      <c r="A423" s="8"/>
      <c r="B423" s="65"/>
      <c r="C423" s="1143"/>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44"/>
      <c r="AM423" s="16"/>
      <c r="AN423" s="439"/>
    </row>
    <row r="424" spans="1:153" s="46" customFormat="1" ht="12.75" customHeight="1">
      <c r="A424" s="8"/>
      <c r="B424" s="65"/>
      <c r="C424" s="1147"/>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44"/>
      <c r="AM424" s="16"/>
      <c r="AN424" s="439"/>
    </row>
    <row r="425" spans="1:153" s="46" customFormat="1" ht="12.75" customHeight="1">
      <c r="A425" s="8"/>
      <c r="B425" s="65"/>
      <c r="C425" s="2349" t="s">
        <v>118</v>
      </c>
      <c r="D425" s="1658"/>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4" t="s">
        <v>353</v>
      </c>
      <c r="AG425" s="2364"/>
      <c r="AH425" s="2364"/>
      <c r="AI425" s="2364"/>
      <c r="AJ425" s="2364"/>
      <c r="AK425" s="2364"/>
      <c r="AL425" s="236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9" t="s">
        <v>134</v>
      </c>
      <c r="D427" s="165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4" t="s">
        <v>1044</v>
      </c>
      <c r="AG427" s="2364"/>
      <c r="AH427" s="2364"/>
      <c r="AI427" s="2364"/>
      <c r="AJ427" s="2364"/>
      <c r="AK427" s="2364"/>
      <c r="AL427" s="236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6" t="s">
        <v>1959</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4"/>
      <c r="AM433" s="16"/>
      <c r="AN433" s="439"/>
      <c r="AO433" s="162"/>
      <c r="AP433" s="162"/>
    </row>
    <row r="434" spans="1:60" s="46" customFormat="1" ht="12.75" customHeight="1">
      <c r="A434" s="8"/>
      <c r="B434" s="118"/>
      <c r="C434" s="2349" t="s">
        <v>134</v>
      </c>
      <c r="D434" s="1658"/>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4" t="s">
        <v>353</v>
      </c>
      <c r="AG434" s="2364"/>
      <c r="AH434" s="2364"/>
      <c r="AI434" s="2364"/>
      <c r="AJ434" s="2364"/>
      <c r="AK434" s="2364"/>
      <c r="AL434" s="2365"/>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728</v>
      </c>
      <c r="F437" s="2346" t="s">
        <v>1960</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5"/>
      <c r="AG442" s="1265"/>
      <c r="AH442" s="1265"/>
      <c r="AI442" s="1265"/>
      <c r="AJ442" s="1265"/>
      <c r="AK442" s="1265"/>
      <c r="AL442" s="1272"/>
      <c r="AM442" s="16"/>
      <c r="AN442" s="439"/>
    </row>
    <row r="443" spans="1:60" s="46" customFormat="1" ht="12.75" customHeight="1">
      <c r="A443" s="8"/>
      <c r="B443" s="118"/>
      <c r="C443" s="1273"/>
      <c r="D443" s="1266"/>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5"/>
      <c r="AG443" s="1265"/>
      <c r="AH443" s="1265"/>
      <c r="AI443" s="1265"/>
      <c r="AJ443" s="1265"/>
      <c r="AK443" s="1265"/>
      <c r="AL443" s="1272"/>
      <c r="AM443" s="16"/>
      <c r="AN443" s="439"/>
    </row>
    <row r="444" spans="1:60" s="46" customFormat="1" ht="12.75" customHeight="1">
      <c r="A444" s="8"/>
      <c r="B444" s="118"/>
      <c r="C444" s="1273"/>
      <c r="D444" s="1266"/>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5"/>
      <c r="AG444" s="1265"/>
      <c r="AH444" s="1265"/>
      <c r="AI444" s="1265"/>
      <c r="AJ444" s="1265"/>
      <c r="AK444" s="1265"/>
      <c r="AL444" s="1272"/>
      <c r="AM444" s="16"/>
      <c r="AN444" s="439"/>
    </row>
    <row r="445" spans="1:60" s="46" customFormat="1" ht="17.25" customHeight="1">
      <c r="A445" s="8"/>
      <c r="B445" s="118"/>
      <c r="C445" s="1273"/>
      <c r="D445" s="1266"/>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4"/>
      <c r="AM445" s="16"/>
      <c r="AN445" s="439"/>
    </row>
    <row r="446" spans="1:60" s="46" customFormat="1" ht="12.75" customHeight="1">
      <c r="A446" s="8"/>
      <c r="B446" s="65"/>
      <c r="C446" s="2349" t="s">
        <v>134</v>
      </c>
      <c r="D446" s="165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353</v>
      </c>
      <c r="AG446" s="2364"/>
      <c r="AH446" s="2364"/>
      <c r="AI446" s="2364"/>
      <c r="AJ446" s="2364"/>
      <c r="AK446" s="2364"/>
      <c r="AL446" s="236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6" t="s">
        <v>1963</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6"/>
      <c r="AG449" s="1136"/>
      <c r="AH449" s="1136"/>
      <c r="AI449" s="1136"/>
      <c r="AJ449" s="1136"/>
      <c r="AK449" s="1136"/>
      <c r="AL449" s="1164"/>
      <c r="AM449" s="16"/>
      <c r="AN449" s="439"/>
    </row>
    <row r="450" spans="1:49" s="46" customFormat="1" ht="12.75" customHeight="1">
      <c r="A450" s="8"/>
      <c r="B450" s="118"/>
      <c r="C450" s="1273"/>
      <c r="D450" s="1266"/>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7"/>
      <c r="AG450" s="1267"/>
      <c r="AH450" s="1267"/>
      <c r="AI450" s="1267"/>
      <c r="AJ450" s="1267"/>
      <c r="AK450" s="1267"/>
      <c r="AL450" s="1268"/>
      <c r="AM450" s="16"/>
      <c r="AN450" s="439"/>
    </row>
    <row r="451" spans="1:49" s="46" customFormat="1" ht="12.75" customHeight="1">
      <c r="A451" s="8"/>
      <c r="B451" s="118"/>
      <c r="C451" s="1273"/>
      <c r="D451" s="1266"/>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7"/>
      <c r="AG451" s="1267"/>
      <c r="AH451" s="1267"/>
      <c r="AI451" s="1267"/>
      <c r="AJ451" s="1267"/>
      <c r="AK451" s="1267"/>
      <c r="AL451" s="1268"/>
      <c r="AM451" s="16"/>
      <c r="AN451" s="439"/>
    </row>
    <row r="452" spans="1:49" s="46" customFormat="1" ht="12.75" customHeight="1">
      <c r="A452" s="8"/>
      <c r="B452" s="118"/>
      <c r="C452" s="1273"/>
      <c r="D452" s="1266"/>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4"/>
      <c r="AM452" s="16"/>
      <c r="AN452" s="439"/>
    </row>
    <row r="453" spans="1:49" s="162" customFormat="1" ht="12.75" customHeight="1">
      <c r="A453" s="8"/>
      <c r="B453" s="118"/>
      <c r="C453" s="2349" t="s">
        <v>134</v>
      </c>
      <c r="D453" s="1658"/>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4" t="s">
        <v>353</v>
      </c>
      <c r="AG453" s="2364"/>
      <c r="AH453" s="2364"/>
      <c r="AI453" s="2364"/>
      <c r="AJ453" s="2364"/>
      <c r="AK453" s="2364"/>
      <c r="AL453" s="236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7" t="s">
        <v>134</v>
      </c>
      <c r="D457" s="2358"/>
      <c r="E457" s="1137" t="s">
        <v>1049</v>
      </c>
      <c r="F457" s="2346" t="s">
        <v>1051</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8" t="s">
        <v>353</v>
      </c>
      <c r="AG457" s="2368"/>
      <c r="AH457" s="2368"/>
      <c r="AI457" s="2368"/>
      <c r="AJ457" s="2368"/>
      <c r="AK457" s="2368"/>
      <c r="AL457" s="2369"/>
      <c r="AM457" s="16"/>
      <c r="AN457" s="1094"/>
      <c r="AO457" s="162"/>
      <c r="AP457" s="162"/>
      <c r="AQ457" s="249"/>
    </row>
    <row r="458" spans="1:49" s="137" customFormat="1" ht="12.75" customHeight="1">
      <c r="A458" s="8"/>
      <c r="B458" s="118"/>
      <c r="C458" s="1273"/>
      <c r="D458" s="1266"/>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7"/>
      <c r="AG458" s="1267"/>
      <c r="AH458" s="1267"/>
      <c r="AI458" s="1267"/>
      <c r="AJ458" s="1267"/>
      <c r="AK458" s="1267"/>
      <c r="AL458" s="1268"/>
      <c r="AM458" s="16"/>
      <c r="AN458" s="1095"/>
      <c r="AO458" s="46" t="s">
        <v>134</v>
      </c>
      <c r="AP458" s="162">
        <v>0</v>
      </c>
      <c r="AQ458" s="249"/>
    </row>
    <row r="459" spans="1:49" s="46" customFormat="1" ht="17.850000000000001" customHeight="1">
      <c r="A459" s="8"/>
      <c r="B459" s="118"/>
      <c r="C459" s="1139"/>
      <c r="D459" s="1140"/>
      <c r="E459" s="1141"/>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57" t="s">
        <v>134</v>
      </c>
      <c r="D461" s="2358"/>
      <c r="E461" s="1137" t="s">
        <v>1050</v>
      </c>
      <c r="F461" s="2346" t="s">
        <v>2004</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8" t="s">
        <v>353</v>
      </c>
      <c r="AG461" s="2368"/>
      <c r="AH461" s="2368"/>
      <c r="AI461" s="2368"/>
      <c r="AJ461" s="2368"/>
      <c r="AK461" s="2368"/>
      <c r="AL461" s="2369"/>
      <c r="AM461" s="16"/>
      <c r="AN461" s="1097"/>
      <c r="AO461" s="46" t="s">
        <v>1442</v>
      </c>
      <c r="AP461" s="46">
        <v>5</v>
      </c>
      <c r="AQ461" s="251"/>
    </row>
    <row r="462" spans="1:49" s="46" customFormat="1" ht="12.75" customHeight="1">
      <c r="A462" s="8"/>
      <c r="B462" s="65"/>
      <c r="C462" s="1143"/>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66" t="s">
        <v>2005</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9" t="s">
        <v>134</v>
      </c>
      <c r="D470" s="1658"/>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2" t="s">
        <v>353</v>
      </c>
      <c r="AG470" s="2362"/>
      <c r="AH470" s="2362"/>
      <c r="AI470" s="2362"/>
      <c r="AJ470" s="2362"/>
      <c r="AK470" s="2362"/>
      <c r="AL470" s="2363"/>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19">
        <f>IF(AS359=0,AS357,AS359)</f>
        <v>10</v>
      </c>
      <c r="AL476" s="2320"/>
      <c r="AM476" s="23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1358</v>
      </c>
      <c r="AF479" s="2396"/>
      <c r="AG479" s="2396"/>
      <c r="AH479" s="2396"/>
      <c r="AI479" s="2396"/>
      <c r="AJ479" s="2396"/>
      <c r="AK479" s="2396"/>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5" t="s">
        <v>134</v>
      </c>
      <c r="D485" s="2296"/>
      <c r="E485" s="1203" t="s">
        <v>210</v>
      </c>
      <c r="F485" s="2326" t="s">
        <v>1054</v>
      </c>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c r="AA485" s="2326"/>
      <c r="AB485" s="2326"/>
      <c r="AC485" s="2326"/>
      <c r="AD485" s="2326"/>
      <c r="AE485" s="2326"/>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327"/>
      <c r="G486" s="2327"/>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300" t="s">
        <v>134</v>
      </c>
      <c r="G487" s="2300"/>
      <c r="H487" s="2300"/>
      <c r="I487" s="2300"/>
      <c r="J487" s="2300"/>
      <c r="K487" s="2300"/>
      <c r="L487" s="2300"/>
      <c r="M487" s="2300"/>
      <c r="N487" s="2300"/>
      <c r="O487" s="2300"/>
      <c r="P487" s="2300"/>
      <c r="Q487" s="2300"/>
      <c r="R487" s="2300"/>
      <c r="S487" s="2300"/>
      <c r="T487" s="2300"/>
      <c r="U487" s="2300"/>
      <c r="V487" s="2300"/>
      <c r="W487" s="2300"/>
      <c r="X487" s="2300"/>
      <c r="Y487" s="2300"/>
      <c r="Z487" s="2300"/>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7" t="s">
        <v>118</v>
      </c>
      <c r="D489" s="2358"/>
      <c r="E489" s="1203" t="s">
        <v>334</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297" t="s">
        <v>134</v>
      </c>
      <c r="W492" s="2297"/>
      <c r="X492" s="2297"/>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297" t="s">
        <v>134</v>
      </c>
      <c r="W494" s="2297"/>
      <c r="X494" s="2297"/>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297" t="s">
        <v>134</v>
      </c>
      <c r="W499" s="2297"/>
      <c r="X499" s="2297"/>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2077"/>
      <c r="E502" s="2077"/>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297" t="s">
        <v>134</v>
      </c>
      <c r="W503" s="2297"/>
      <c r="X503" s="2297"/>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297" t="s">
        <v>134</v>
      </c>
      <c r="W505" s="2297"/>
      <c r="X505" s="2297"/>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2" t="s">
        <v>718</v>
      </c>
      <c r="AV506" s="2563"/>
      <c r="AW506" s="2563"/>
      <c r="AX506" s="2563"/>
      <c r="AY506" s="2563"/>
      <c r="AZ506" s="2563"/>
      <c r="BA506" s="2563"/>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5" t="s">
        <v>134</v>
      </c>
      <c r="D508" s="2296"/>
      <c r="E508" s="1190" t="s">
        <v>210</v>
      </c>
      <c r="F508" s="2326" t="s">
        <v>1054</v>
      </c>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c r="AA508" s="2326"/>
      <c r="AB508" s="2326"/>
      <c r="AC508" s="2326"/>
      <c r="AD508" s="2326"/>
      <c r="AE508" s="232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7"/>
      <c r="G509" s="2327"/>
      <c r="H509" s="2327"/>
      <c r="I509" s="2327"/>
      <c r="J509" s="2327"/>
      <c r="K509" s="2327"/>
      <c r="L509" s="2327"/>
      <c r="M509" s="2327"/>
      <c r="N509" s="2327"/>
      <c r="O509" s="2327"/>
      <c r="P509" s="2327"/>
      <c r="Q509" s="2327"/>
      <c r="R509" s="2327"/>
      <c r="S509" s="2327"/>
      <c r="T509" s="2327"/>
      <c r="U509" s="2327"/>
      <c r="V509" s="2327"/>
      <c r="W509" s="2327"/>
      <c r="X509" s="2327"/>
      <c r="Y509" s="2327"/>
      <c r="Z509" s="2327"/>
      <c r="AA509" s="2327"/>
      <c r="AB509" s="2327"/>
      <c r="AC509" s="2327"/>
      <c r="AD509" s="2327"/>
      <c r="AE509" s="2327"/>
      <c r="AF509" s="162"/>
      <c r="AG509" s="27"/>
      <c r="AH509" s="27"/>
      <c r="AI509" s="27"/>
      <c r="AJ509" s="27"/>
      <c r="AK509" s="1144"/>
      <c r="AL509" s="162"/>
      <c r="AM509" s="46"/>
      <c r="AN509" s="1084"/>
      <c r="AO509" s="132"/>
      <c r="AP509" s="2531" t="s">
        <v>1635</v>
      </c>
      <c r="AQ509" s="2532"/>
      <c r="AR509" s="2533"/>
      <c r="AS509" s="951">
        <v>80</v>
      </c>
      <c r="AT509" s="46">
        <v>0</v>
      </c>
      <c r="AU509" s="243">
        <v>10</v>
      </c>
      <c r="AV509" s="243">
        <v>25</v>
      </c>
      <c r="AW509" s="243">
        <v>37.5</v>
      </c>
      <c r="AX509" s="243">
        <v>35</v>
      </c>
      <c r="AY509" s="243">
        <v>37.5</v>
      </c>
      <c r="AZ509" s="243">
        <v>50</v>
      </c>
      <c r="BA509" s="243">
        <v>50</v>
      </c>
      <c r="BB509" s="65"/>
      <c r="BC509" s="65"/>
      <c r="BE509" s="2531" t="s">
        <v>1635</v>
      </c>
      <c r="BF509" s="2532"/>
      <c r="BG509" s="253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4" t="s">
        <v>134</v>
      </c>
      <c r="G510" s="2324"/>
      <c r="H510" s="2324"/>
      <c r="I510" s="2324"/>
      <c r="J510" s="2324"/>
      <c r="K510" s="2324"/>
      <c r="L510" s="2324"/>
      <c r="M510" s="2324"/>
      <c r="N510" s="2324"/>
      <c r="O510" s="2324"/>
      <c r="P510" s="2324"/>
      <c r="Q510" s="2324"/>
      <c r="R510" s="2324"/>
      <c r="S510" s="2324"/>
      <c r="T510" s="2324"/>
      <c r="U510" s="2324"/>
      <c r="V510" s="2324"/>
      <c r="W510" s="2324"/>
      <c r="X510" s="2324"/>
      <c r="Y510" s="2324"/>
      <c r="Z510" s="2324"/>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50"/>
      <c r="AQ510" s="2351"/>
      <c r="AR510" s="2352"/>
      <c r="AS510" s="951">
        <v>75</v>
      </c>
      <c r="AT510" s="46">
        <v>0</v>
      </c>
      <c r="AU510" s="243">
        <v>10</v>
      </c>
      <c r="AV510" s="243">
        <v>25</v>
      </c>
      <c r="AW510" s="243">
        <v>37.5</v>
      </c>
      <c r="AX510" s="243">
        <v>35</v>
      </c>
      <c r="AY510" s="243">
        <v>37.5</v>
      </c>
      <c r="AZ510" s="243">
        <v>50</v>
      </c>
      <c r="BA510" s="243">
        <v>50</v>
      </c>
      <c r="BB510" s="65"/>
      <c r="BC510" s="65"/>
      <c r="BE510" s="2350"/>
      <c r="BF510" s="2351"/>
      <c r="BG510" s="235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0"/>
      <c r="AQ511" s="2351"/>
      <c r="AR511" s="2352"/>
      <c r="AS511" s="951">
        <v>70</v>
      </c>
      <c r="AT511" s="46">
        <v>0</v>
      </c>
      <c r="AU511" s="243">
        <v>10</v>
      </c>
      <c r="AV511" s="243">
        <v>25</v>
      </c>
      <c r="AW511" s="243">
        <v>37.5</v>
      </c>
      <c r="AX511" s="243">
        <v>35</v>
      </c>
      <c r="AY511" s="243">
        <v>37.5</v>
      </c>
      <c r="AZ511" s="243">
        <v>50</v>
      </c>
      <c r="BA511" s="243">
        <v>50</v>
      </c>
      <c r="BB511" s="65"/>
      <c r="BC511" s="65"/>
      <c r="BE511" s="2350"/>
      <c r="BF511" s="2351"/>
      <c r="BG511" s="235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5" t="s">
        <v>134</v>
      </c>
      <c r="D512" s="2296"/>
      <c r="E512" s="1190" t="s">
        <v>334</v>
      </c>
      <c r="F512" s="2359" t="s">
        <v>1252</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36"/>
      <c r="AG512" s="1180"/>
      <c r="AH512" s="1180"/>
      <c r="AI512" s="1180"/>
      <c r="AJ512" s="1180"/>
      <c r="AK512" s="1164"/>
      <c r="AL512" s="162"/>
      <c r="AM512" s="46"/>
      <c r="AN512" s="1084"/>
      <c r="AO512" s="132"/>
      <c r="AP512" s="2350"/>
      <c r="AQ512" s="2351"/>
      <c r="AR512" s="2352"/>
      <c r="AS512" s="951">
        <v>65</v>
      </c>
      <c r="AT512" s="46">
        <v>0</v>
      </c>
      <c r="AU512" s="243">
        <v>10</v>
      </c>
      <c r="AV512" s="243">
        <v>25</v>
      </c>
      <c r="AW512" s="243">
        <v>37.5</v>
      </c>
      <c r="AX512" s="243">
        <v>35</v>
      </c>
      <c r="AY512" s="243">
        <v>37.5</v>
      </c>
      <c r="AZ512" s="243">
        <v>50</v>
      </c>
      <c r="BA512" s="243">
        <v>50</v>
      </c>
      <c r="BB512" s="65"/>
      <c r="BC512" s="65"/>
      <c r="BE512" s="2350"/>
      <c r="BF512" s="2351"/>
      <c r="BG512" s="235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44"/>
      <c r="AL513" s="162"/>
      <c r="AM513" s="46"/>
      <c r="AN513" s="1084"/>
      <c r="AO513" s="132"/>
      <c r="AP513" s="2350"/>
      <c r="AQ513" s="2351"/>
      <c r="AR513" s="2352"/>
      <c r="AS513" s="951">
        <v>60</v>
      </c>
      <c r="AT513" s="46">
        <v>0</v>
      </c>
      <c r="AU513" s="243">
        <v>10</v>
      </c>
      <c r="AV513" s="243">
        <v>25</v>
      </c>
      <c r="AW513" s="243">
        <v>37.5</v>
      </c>
      <c r="AX513" s="243">
        <v>35</v>
      </c>
      <c r="AY513" s="243">
        <v>37.5</v>
      </c>
      <c r="AZ513" s="243">
        <v>50</v>
      </c>
      <c r="BA513" s="243">
        <v>50</v>
      </c>
      <c r="BB513" s="65"/>
      <c r="BC513" s="65"/>
      <c r="BE513" s="2350"/>
      <c r="BF513" s="2351"/>
      <c r="BG513" s="235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0"/>
      <c r="AQ514" s="2351"/>
      <c r="AR514" s="2352"/>
      <c r="AS514" s="951">
        <v>55</v>
      </c>
      <c r="AT514" s="46">
        <v>0</v>
      </c>
      <c r="AU514" s="243">
        <v>10</v>
      </c>
      <c r="AV514" s="243">
        <v>25</v>
      </c>
      <c r="AW514" s="243">
        <v>37.5</v>
      </c>
      <c r="AX514" s="243">
        <v>35</v>
      </c>
      <c r="AY514" s="243">
        <v>37.5</v>
      </c>
      <c r="AZ514" s="243">
        <v>50</v>
      </c>
      <c r="BA514" s="243">
        <v>50</v>
      </c>
      <c r="BE514" s="2350"/>
      <c r="BF514" s="2351"/>
      <c r="BG514" s="235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5" t="s">
        <v>134</v>
      </c>
      <c r="G515" s="2325"/>
      <c r="H515" s="232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5" t="s">
        <v>134</v>
      </c>
      <c r="D517" s="2296"/>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77"/>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4" t="s">
        <v>134</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44"/>
      <c r="AL520" s="162"/>
      <c r="AM520" s="46"/>
      <c r="AN520" s="1084"/>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134</v>
      </c>
      <c r="D522" s="2566"/>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5" t="s">
        <v>134</v>
      </c>
      <c r="D526" s="2566"/>
      <c r="E526" s="162"/>
      <c r="F526" s="767" t="s">
        <v>951</v>
      </c>
      <c r="G526" s="2332" t="s">
        <v>1065</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559">
        <f>BJ530</f>
        <v>112</v>
      </c>
      <c r="BE526" s="2559"/>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559">
        <f>SUM(E583:J591)</f>
        <v>112</v>
      </c>
      <c r="BE527" s="2559"/>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1">
        <v>0</v>
      </c>
      <c r="BK528" s="255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1">
        <f>Application!AG431</f>
        <v>0</v>
      </c>
      <c r="BK529" s="255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9" t="s">
        <v>134</v>
      </c>
      <c r="D530" s="1658"/>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51">
        <f>Application!AG433</f>
        <v>112</v>
      </c>
      <c r="BK530" s="2552"/>
      <c r="BM530" s="2409"/>
      <c r="BN530" s="2410"/>
      <c r="BO530" s="2409"/>
      <c r="BP530" s="2410"/>
      <c r="BQ530" s="2424"/>
      <c r="BR530" s="2426"/>
      <c r="BS530" s="2424"/>
      <c r="BT530" s="2426"/>
      <c r="BU530" s="2409">
        <f>IF(T610&gt;0,1,0)</f>
        <v>1</v>
      </c>
      <c r="BV530" s="2410"/>
      <c r="BW530" s="2409">
        <f>IF(Y610&gt;=0.1,1,0)</f>
        <v>1</v>
      </c>
      <c r="BX530" s="2410"/>
      <c r="BY530" s="2424"/>
      <c r="BZ530" s="2426"/>
      <c r="CA530" s="2424"/>
      <c r="CB530" s="2426"/>
      <c r="CC530" s="2409"/>
      <c r="CD530" s="2410"/>
      <c r="CE530" s="2409"/>
      <c r="CF530" s="2410"/>
      <c r="CG530" s="16"/>
      <c r="CH530" s="16"/>
      <c r="CI530" s="16"/>
      <c r="CJ530" s="16"/>
    </row>
    <row r="531" spans="1:101" s="46" customFormat="1" ht="12.75" hidden="1" customHeight="1">
      <c r="A531" s="28"/>
      <c r="C531" s="1198"/>
      <c r="D531" s="153"/>
      <c r="E531" s="225"/>
      <c r="F531" s="1972" t="s">
        <v>134</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9"/>
      <c r="BN531" s="2410"/>
      <c r="BO531" s="2409"/>
      <c r="BP531" s="2410"/>
      <c r="BQ531" s="2424"/>
      <c r="BR531" s="2426"/>
      <c r="BS531" s="2424"/>
      <c r="BT531" s="2426"/>
      <c r="BU531" s="2409"/>
      <c r="BV531" s="2410"/>
      <c r="BW531" s="2409"/>
      <c r="BX531" s="2410"/>
      <c r="BY531" s="2460">
        <f>IF(T611&gt;0,1,0)</f>
        <v>1</v>
      </c>
      <c r="BZ531" s="2462"/>
      <c r="CA531" s="2460">
        <f>IF(Y611&gt;=0.1,1,0)</f>
        <v>1</v>
      </c>
      <c r="CB531" s="2462"/>
      <c r="CC531" s="2409"/>
      <c r="CD531" s="2410"/>
      <c r="CE531" s="2409"/>
      <c r="CF531" s="2410"/>
      <c r="CG531" s="16"/>
      <c r="CH531" s="16"/>
      <c r="CI531" s="16"/>
      <c r="CJ531" s="16"/>
      <c r="CW531" s="16"/>
    </row>
    <row r="532" spans="1:101" s="46" customFormat="1" ht="12.75" hidden="1" customHeight="1">
      <c r="A532" s="28"/>
      <c r="C532" s="1199"/>
      <c r="D532" s="1154"/>
      <c r="E532" s="1174"/>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176"/>
      <c r="AH532" s="1176"/>
      <c r="AI532" s="1176"/>
      <c r="AJ532" s="1176"/>
      <c r="AK532" s="1155"/>
      <c r="AL532" s="162"/>
      <c r="AN532" s="439"/>
      <c r="BM532" s="2409"/>
      <c r="BN532" s="2410"/>
      <c r="BO532" s="2409"/>
      <c r="BP532" s="2410"/>
      <c r="BQ532" s="2424"/>
      <c r="BR532" s="2426"/>
      <c r="BS532" s="2424"/>
      <c r="BT532" s="2426"/>
      <c r="BU532" s="2409"/>
      <c r="BV532" s="2410"/>
      <c r="BW532" s="2409"/>
      <c r="BX532" s="2410"/>
      <c r="BY532" s="2424"/>
      <c r="BZ532" s="2426"/>
      <c r="CA532" s="2424"/>
      <c r="CB532" s="2426"/>
      <c r="CC532" s="2409">
        <f>IF(T612&gt;0,1,0)</f>
        <v>0</v>
      </c>
      <c r="CD532" s="2410"/>
      <c r="CE532" s="2409">
        <f>IF(Y612&gt;=0.1,1,0)</f>
        <v>0</v>
      </c>
      <c r="CF532" s="241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1</v>
      </c>
      <c r="BR533" s="2410"/>
      <c r="BS533" s="2409">
        <f>SUM(BS528:BT532)</f>
        <v>1</v>
      </c>
      <c r="BT533" s="2410"/>
      <c r="BU533" s="2409">
        <f>SUM(BU528:BV532)</f>
        <v>1</v>
      </c>
      <c r="BV533" s="2410"/>
      <c r="BW533" s="2409">
        <f>SUM(BW528:BX532)</f>
        <v>1</v>
      </c>
      <c r="BX533" s="2410"/>
      <c r="BY533" s="2409">
        <f>SUM(BY528:BZ532)</f>
        <v>1</v>
      </c>
      <c r="BZ533" s="2410"/>
      <c r="CA533" s="2409">
        <f>SUM(CA528:CB532)</f>
        <v>1</v>
      </c>
      <c r="CB533" s="2410"/>
      <c r="CC533" s="2409">
        <f>SUM(CC528:CD532)</f>
        <v>0</v>
      </c>
      <c r="CD533" s="2410"/>
      <c r="CE533" s="2409">
        <f>SUM(CE528:CF532)</f>
        <v>0</v>
      </c>
      <c r="CF533" s="2410"/>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500</v>
      </c>
      <c r="AQ534" s="2557"/>
      <c r="AR534" s="2557"/>
      <c r="AS534" s="2557"/>
      <c r="AT534" s="2558"/>
      <c r="AU534" s="2556" t="s">
        <v>501</v>
      </c>
      <c r="AV534" s="2557"/>
      <c r="AW534" s="2557"/>
      <c r="AX534" s="2557"/>
      <c r="AY534" s="2558"/>
      <c r="BM534" s="2424">
        <f>SUM(BM533:BP533)</f>
        <v>0</v>
      </c>
      <c r="BN534" s="2425"/>
      <c r="BO534" s="2425"/>
      <c r="BP534" s="2426"/>
      <c r="BQ534" s="2424">
        <f>SUM(BQ533:BT533)</f>
        <v>2</v>
      </c>
      <c r="BR534" s="2425"/>
      <c r="BS534" s="2425"/>
      <c r="BT534" s="2426"/>
      <c r="BU534" s="2424">
        <f>SUM(BU533:BX533)</f>
        <v>2</v>
      </c>
      <c r="BV534" s="2425"/>
      <c r="BW534" s="2425"/>
      <c r="BX534" s="2426"/>
      <c r="BY534" s="2424">
        <f>SUM(BY533:CB533)</f>
        <v>2</v>
      </c>
      <c r="BZ534" s="2425"/>
      <c r="CA534" s="2425"/>
      <c r="CB534" s="2426"/>
      <c r="CC534" s="2424">
        <f>SUM(CC533:CF533)</f>
        <v>0</v>
      </c>
      <c r="CD534" s="2425"/>
      <c r="CE534" s="2425"/>
      <c r="CF534" s="2426"/>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25"/>
      <c r="BO535" s="2425"/>
      <c r="BP535" s="2426"/>
      <c r="BQ535" s="2424">
        <f>IF(AND(BQ534=2,BM534=1),1,0)</f>
        <v>0</v>
      </c>
      <c r="BR535" s="2425"/>
      <c r="BS535" s="2425"/>
      <c r="BT535" s="2426"/>
      <c r="BU535" s="2424">
        <f>IF(AND(BU534=2,BQ534=1),1,0)</f>
        <v>0</v>
      </c>
      <c r="BV535" s="2425"/>
      <c r="BW535" s="2425"/>
      <c r="BX535" s="2426"/>
      <c r="BY535" s="2424">
        <f>IF(AND(BY534=2,BU534=1),1,0)</f>
        <v>0</v>
      </c>
      <c r="BZ535" s="2425"/>
      <c r="CA535" s="2425"/>
      <c r="CB535" s="2426"/>
      <c r="CC535" s="2424">
        <f>IF(AND(CC534=2,BU534=1),1,0)</f>
        <v>0</v>
      </c>
      <c r="CD535" s="2425"/>
      <c r="CE535" s="2425"/>
      <c r="CF535" s="2426"/>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3</v>
      </c>
      <c r="AQ536" s="2554"/>
      <c r="AR536" s="2554"/>
      <c r="AS536" s="2554"/>
      <c r="AT536" s="2555"/>
      <c r="AU536" s="2553">
        <f>RANK(Y609,$Y$608:$AC$612,0)+COUNTIF($Y$608:$AC$612,Y609)-1</f>
        <v>3</v>
      </c>
      <c r="AV536" s="2554"/>
      <c r="AW536" s="2554"/>
      <c r="AX536" s="2554"/>
      <c r="AY536" s="2555"/>
      <c r="BM536" s="2424"/>
      <c r="BN536" s="2425"/>
      <c r="BO536" s="2425"/>
      <c r="BP536" s="2426"/>
      <c r="BQ536" s="2424"/>
      <c r="BR536" s="2425"/>
      <c r="BS536" s="2425"/>
      <c r="BT536" s="2426"/>
      <c r="BU536" s="2424">
        <f>IF(AND(BU534=2,BM534=1),1,0)</f>
        <v>0</v>
      </c>
      <c r="BV536" s="2425"/>
      <c r="BW536" s="2425"/>
      <c r="BX536" s="2426"/>
      <c r="BY536" s="2424">
        <f>IF(AND(BY534=2,BQ534=1),1,0)</f>
        <v>0</v>
      </c>
      <c r="BZ536" s="2425"/>
      <c r="CA536" s="2425"/>
      <c r="CB536" s="2426"/>
      <c r="CC536" s="2424">
        <f>IF(AND(CC535=2,BY535=1),1,0)</f>
        <v>0</v>
      </c>
      <c r="CD536" s="2425"/>
      <c r="CE536" s="2425"/>
      <c r="CF536" s="2426"/>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3</v>
      </c>
      <c r="AQ537" s="2554"/>
      <c r="AR537" s="2554"/>
      <c r="AS537" s="2554"/>
      <c r="AT537" s="2555"/>
      <c r="AU537" s="2553">
        <f>RANK(Y610,$Y$608:$AC$612,0)+COUNTIF($Y$608:$AC$612,Y610)-1</f>
        <v>3</v>
      </c>
      <c r="AV537" s="2554"/>
      <c r="AW537" s="2554"/>
      <c r="AX537" s="2554"/>
      <c r="AY537" s="2555"/>
      <c r="BM537" s="2424"/>
      <c r="BN537" s="2425"/>
      <c r="BO537" s="2425"/>
      <c r="BP537" s="2426"/>
      <c r="BQ537" s="2424"/>
      <c r="BR537" s="2425"/>
      <c r="BS537" s="2425"/>
      <c r="BT537" s="2426"/>
      <c r="BU537" s="2424"/>
      <c r="BV537" s="2425"/>
      <c r="BW537" s="2425"/>
      <c r="BX537" s="2426"/>
      <c r="BY537" s="2424">
        <f>IF(AND(BY534=2,BM534=1),1,0)</f>
        <v>0</v>
      </c>
      <c r="BZ537" s="2425"/>
      <c r="CA537" s="2425"/>
      <c r="CB537" s="2426"/>
      <c r="CC537" s="2424">
        <f>IF(AND(CC534=2,BQ534=1),1,0)</f>
        <v>0</v>
      </c>
      <c r="CD537" s="2425"/>
      <c r="CE537" s="2425"/>
      <c r="CF537" s="2426"/>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1</v>
      </c>
      <c r="AQ538" s="2554"/>
      <c r="AR538" s="2554"/>
      <c r="AS538" s="2554"/>
      <c r="AT538" s="2555"/>
      <c r="AU538" s="2553">
        <f>RANK(Y611,$Y$608:$AC$612,0)+COUNTIF($Y$608:$AC$612,Y611)-1</f>
        <v>1</v>
      </c>
      <c r="AV538" s="2554"/>
      <c r="AW538" s="2554"/>
      <c r="AX538" s="2554"/>
      <c r="AY538" s="2555"/>
      <c r="BM538" s="2424"/>
      <c r="BN538" s="2425"/>
      <c r="BO538" s="2425"/>
      <c r="BP538" s="2426"/>
      <c r="BQ538" s="2424"/>
      <c r="BR538" s="2425"/>
      <c r="BS538" s="2425"/>
      <c r="BT538" s="2426"/>
      <c r="BU538" s="2424"/>
      <c r="BV538" s="2425"/>
      <c r="BW538" s="2425"/>
      <c r="BX538" s="2426"/>
      <c r="BY538" s="2424"/>
      <c r="BZ538" s="2425"/>
      <c r="CA538" s="2425"/>
      <c r="CB538" s="2426"/>
      <c r="CC538" s="2424">
        <f>IF(AND(CC534=2,BM534=1),1,0)</f>
        <v>0</v>
      </c>
      <c r="CD538" s="2425"/>
      <c r="CE538" s="2425"/>
      <c r="CF538" s="2426"/>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5</v>
      </c>
      <c r="AQ539" s="2554"/>
      <c r="AR539" s="2554"/>
      <c r="AS539" s="2554"/>
      <c r="AT539" s="2555"/>
      <c r="AU539" s="2553">
        <f>RANK(Y612,$Y$608:$AC$612,0)+COUNTIF($Y$608:$AC$612,Y612)-1</f>
        <v>5</v>
      </c>
      <c r="AV539" s="2554"/>
      <c r="AW539" s="2554"/>
      <c r="AX539" s="2554"/>
      <c r="AY539" s="2555"/>
      <c r="BM539" s="2424">
        <f>SUM(BM535:BP538)</f>
        <v>0</v>
      </c>
      <c r="BN539" s="2425"/>
      <c r="BO539" s="2425"/>
      <c r="BP539" s="2426"/>
      <c r="BQ539" s="2424">
        <f>SUM(BQ535:BT538)</f>
        <v>0</v>
      </c>
      <c r="BR539" s="2425"/>
      <c r="BS539" s="2425"/>
      <c r="BT539" s="2426"/>
      <c r="BU539" s="2424">
        <f>SUM(BU535:BX538)</f>
        <v>0</v>
      </c>
      <c r="BV539" s="2425"/>
      <c r="BW539" s="2425"/>
      <c r="BX539" s="2426"/>
      <c r="BY539" s="2424">
        <f>SUM(BY535:CB538)</f>
        <v>0</v>
      </c>
      <c r="BZ539" s="2425"/>
      <c r="CA539" s="2425"/>
      <c r="CB539" s="2426"/>
      <c r="CC539" s="2424">
        <f>SUM(CC535:CF538)</f>
        <v>0</v>
      </c>
      <c r="CD539" s="2425"/>
      <c r="CE539" s="2425"/>
      <c r="CF539" s="2426"/>
      <c r="CG539" s="2424">
        <f>SUM(BM539:CF539)</f>
        <v>0</v>
      </c>
      <c r="CH539" s="2425"/>
      <c r="CI539" s="2425"/>
      <c r="CJ539" s="2426"/>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19">
        <f>SUM(AG486:AG531)</f>
        <v>0</v>
      </c>
      <c r="AL542" s="2320"/>
      <c r="AM542" s="2321"/>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9">
        <f>SUM(O608:S612)</f>
        <v>112</v>
      </c>
      <c r="AZ543" s="2410"/>
      <c r="CG543" s="35"/>
      <c r="CH543" s="2459" t="s">
        <v>839</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9" t="str">
        <f>IF(AY543=BK570,"passed","failed")</f>
        <v>passed</v>
      </c>
      <c r="AT544" s="2415"/>
      <c r="AU544" s="2410"/>
      <c r="AV544" s="233"/>
      <c r="AW544" s="233"/>
      <c r="AX544" s="233"/>
      <c r="AY544" s="233"/>
      <c r="AZ544" s="234"/>
      <c r="CG544" s="35"/>
      <c r="CH544" s="2133"/>
      <c r="CI544" s="2134"/>
      <c r="CJ544" s="2134"/>
      <c r="CK544" s="2135"/>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405</v>
      </c>
      <c r="AF545" s="2374"/>
      <c r="AG545" s="2374"/>
      <c r="AH545" s="2374"/>
      <c r="AI545" s="2374"/>
      <c r="AJ545" s="2374"/>
      <c r="AK545" s="2374"/>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2" t="s">
        <v>197</v>
      </c>
      <c r="AH546" s="2322"/>
      <c r="AI546" s="2322"/>
      <c r="AJ546" s="2322"/>
      <c r="AK546" s="26"/>
      <c r="AL546" s="1250"/>
      <c r="AM546" s="65"/>
      <c r="AN546" s="439"/>
      <c r="BE546" s="2424" t="s">
        <v>247</v>
      </c>
      <c r="BF546" s="2425"/>
      <c r="BG546" s="2425"/>
      <c r="BH546" s="2426"/>
      <c r="BI546" s="2424" t="s">
        <v>777</v>
      </c>
      <c r="BJ546" s="2425"/>
      <c r="BK546" s="2425"/>
      <c r="BL546" s="2426"/>
      <c r="BM546" s="2424" t="s">
        <v>778</v>
      </c>
      <c r="BN546" s="2425"/>
      <c r="BO546" s="2425"/>
      <c r="BP546" s="2426"/>
      <c r="BQ546" s="2424" t="s">
        <v>779</v>
      </c>
      <c r="BR546" s="2425"/>
      <c r="BS546" s="2425"/>
      <c r="BT546" s="2426"/>
      <c r="BU546" s="2424" t="s">
        <v>780</v>
      </c>
      <c r="BV546" s="2425"/>
      <c r="BW546" s="2425"/>
      <c r="BX546" s="2426"/>
      <c r="BY546" s="2424" t="s">
        <v>248</v>
      </c>
      <c r="BZ546" s="2425"/>
      <c r="CA546" s="2425"/>
      <c r="CB546" s="2426"/>
      <c r="CC546" s="16"/>
      <c r="CG546" s="16"/>
      <c r="CH546" s="2133"/>
      <c r="CI546" s="2134"/>
      <c r="CJ546" s="2134"/>
      <c r="CK546" s="2135"/>
    </row>
    <row r="547" spans="1:89" s="46" customFormat="1" ht="12.75" customHeight="1">
      <c r="A547" s="152"/>
      <c r="B547" s="2534" t="s">
        <v>1882</v>
      </c>
      <c r="C547" s="2534"/>
      <c r="D547" s="2534"/>
      <c r="E547" s="2534"/>
      <c r="F547" s="2534"/>
      <c r="G547" s="2534"/>
      <c r="H547" s="2534"/>
      <c r="I547" s="2534"/>
      <c r="J547" s="2534"/>
      <c r="K547" s="2534"/>
      <c r="L547" s="2534"/>
      <c r="M547" s="2534"/>
      <c r="N547" s="2534"/>
      <c r="O547" s="2534"/>
      <c r="P547" s="2534"/>
      <c r="Q547" s="2534"/>
      <c r="R547" s="2534"/>
      <c r="S547" s="2534"/>
      <c r="T547" s="2534"/>
      <c r="U547" s="2534"/>
      <c r="V547" s="2534"/>
      <c r="W547" s="2534"/>
      <c r="X547" s="2534"/>
      <c r="Y547" s="2534"/>
      <c r="Z547" s="2534"/>
      <c r="AA547" s="2534"/>
      <c r="AB547" s="2534"/>
      <c r="AC547" s="2534"/>
      <c r="AD547" s="2534"/>
      <c r="AE547" s="2534"/>
      <c r="AF547" s="2534"/>
      <c r="AG547" s="2534"/>
      <c r="AK547" s="65"/>
      <c r="AL547" s="65"/>
      <c r="AM547" s="153"/>
      <c r="AN547" s="439"/>
      <c r="AP547" s="668" t="s">
        <v>674</v>
      </c>
      <c r="AQ547" s="669"/>
      <c r="AR547" s="669"/>
      <c r="AS547" s="669"/>
      <c r="AT547" s="669"/>
      <c r="AU547" s="669"/>
      <c r="AV547" s="670"/>
      <c r="AW547" s="669"/>
      <c r="AX547" s="669"/>
      <c r="AY547" s="670"/>
      <c r="BE547" s="2409">
        <f>IF(CH548=1,0,1)</f>
        <v>0</v>
      </c>
      <c r="BF547" s="2415"/>
      <c r="BG547" s="2415"/>
      <c r="BH547" s="2410"/>
      <c r="BI547" s="2409"/>
      <c r="BJ547" s="2415"/>
      <c r="BK547" s="2415"/>
      <c r="BL547" s="2410"/>
      <c r="BM547" s="2409"/>
      <c r="BN547" s="2415"/>
      <c r="BO547" s="2415"/>
      <c r="BP547" s="2410"/>
      <c r="BQ547" s="2409"/>
      <c r="BR547" s="2415"/>
      <c r="BS547" s="2415"/>
      <c r="BT547" s="2410"/>
      <c r="BU547" s="2460"/>
      <c r="BV547" s="2461"/>
      <c r="BW547" s="2461"/>
      <c r="BX547" s="2462"/>
      <c r="BY547" s="2460"/>
      <c r="BZ547" s="2461"/>
      <c r="CA547" s="2461"/>
      <c r="CB547" s="2462"/>
      <c r="CC547" s="16"/>
      <c r="CG547" s="16"/>
      <c r="CH547" s="2142"/>
      <c r="CI547" s="2143"/>
      <c r="CJ547" s="2143"/>
      <c r="CK547" s="2144"/>
    </row>
    <row r="548" spans="1:89" s="46" customFormat="1" ht="12.75" customHeight="1">
      <c r="A548" s="29"/>
      <c r="B548" s="2534"/>
      <c r="C548" s="2534"/>
      <c r="D548" s="2534"/>
      <c r="E548" s="2534"/>
      <c r="F548" s="2534"/>
      <c r="G548" s="2534"/>
      <c r="H548" s="2534"/>
      <c r="I548" s="2534"/>
      <c r="J548" s="2534"/>
      <c r="K548" s="2534"/>
      <c r="L548" s="2534"/>
      <c r="M548" s="2534"/>
      <c r="N548" s="2534"/>
      <c r="O548" s="2534"/>
      <c r="P548" s="2534"/>
      <c r="Q548" s="2534"/>
      <c r="R548" s="2534"/>
      <c r="S548" s="2534"/>
      <c r="T548" s="2534"/>
      <c r="U548" s="2534"/>
      <c r="V548" s="2534"/>
      <c r="W548" s="2534"/>
      <c r="X548" s="2534"/>
      <c r="Y548" s="2534"/>
      <c r="Z548" s="2534"/>
      <c r="AA548" s="2534"/>
      <c r="AB548" s="2534"/>
      <c r="AC548" s="2534"/>
      <c r="AD548" s="2534"/>
      <c r="AE548" s="2534"/>
      <c r="AF548" s="2534"/>
      <c r="AG548" s="2534"/>
      <c r="AK548" s="246"/>
      <c r="AL548" s="246"/>
      <c r="AM548" s="246"/>
      <c r="AN548" s="439"/>
      <c r="AP548" s="671" t="s">
        <v>672</v>
      </c>
      <c r="AQ548" s="672"/>
      <c r="AR548" s="672"/>
      <c r="AS548" s="672"/>
      <c r="AT548" s="672"/>
      <c r="AU548" s="2449">
        <f>ROUNDUP(BK570*0.1,0)</f>
        <v>12</v>
      </c>
      <c r="AV548" s="2451"/>
      <c r="AW548" s="672"/>
      <c r="AX548" s="672">
        <f>AU548-AP550</f>
        <v>-14</v>
      </c>
      <c r="AY548" s="673"/>
      <c r="BE548" s="2409"/>
      <c r="BF548" s="2415"/>
      <c r="BG548" s="2415"/>
      <c r="BH548" s="2410"/>
      <c r="BI548" s="2409">
        <f>IF(AND(CH549=1,BE547=0),0,1)</f>
        <v>0</v>
      </c>
      <c r="BJ548" s="2415"/>
      <c r="BK548" s="2415"/>
      <c r="BL548" s="2410"/>
      <c r="BM548" s="2409"/>
      <c r="BN548" s="2415"/>
      <c r="BO548" s="2415"/>
      <c r="BP548" s="2410"/>
      <c r="BQ548" s="2409"/>
      <c r="BR548" s="2415"/>
      <c r="BS548" s="2415"/>
      <c r="BT548" s="2410"/>
      <c r="BU548" s="2460"/>
      <c r="BV548" s="2461"/>
      <c r="BW548" s="2461"/>
      <c r="BX548" s="2462"/>
      <c r="BY548" s="2460"/>
      <c r="BZ548" s="2461"/>
      <c r="CA548" s="2461"/>
      <c r="CB548" s="2462"/>
      <c r="CC548" s="16"/>
      <c r="CG548" s="16"/>
      <c r="CH548" s="2424">
        <f>IF(OR(Y608=0,Y608&gt;=0.1),1,0)</f>
        <v>1</v>
      </c>
      <c r="CI548" s="2425"/>
      <c r="CJ548" s="2425"/>
      <c r="CK548" s="2426"/>
    </row>
    <row r="549" spans="1:89" s="46" customFormat="1" ht="12.75" customHeight="1">
      <c r="A549" s="28"/>
      <c r="B549" s="2534"/>
      <c r="C549" s="2534"/>
      <c r="D549" s="2534"/>
      <c r="E549" s="2534"/>
      <c r="F549" s="2534"/>
      <c r="G549" s="2534"/>
      <c r="H549" s="2534"/>
      <c r="I549" s="2534"/>
      <c r="J549" s="2534"/>
      <c r="K549" s="2534"/>
      <c r="L549" s="2534"/>
      <c r="M549" s="2534"/>
      <c r="N549" s="2534"/>
      <c r="O549" s="2534"/>
      <c r="P549" s="2534"/>
      <c r="Q549" s="2534"/>
      <c r="R549" s="2534"/>
      <c r="S549" s="2534"/>
      <c r="T549" s="2534"/>
      <c r="U549" s="2534"/>
      <c r="V549" s="2534"/>
      <c r="W549" s="2534"/>
      <c r="X549" s="2534"/>
      <c r="Y549" s="2534"/>
      <c r="Z549" s="2534"/>
      <c r="AA549" s="2534"/>
      <c r="AB549" s="2534"/>
      <c r="AC549" s="2534"/>
      <c r="AD549" s="2534"/>
      <c r="AE549" s="2534"/>
      <c r="AF549" s="2534"/>
      <c r="AG549" s="2534"/>
      <c r="AH549" s="245"/>
      <c r="AI549" s="245"/>
      <c r="AJ549" s="245"/>
      <c r="AK549" s="246"/>
      <c r="AL549" s="246"/>
      <c r="AM549" s="246"/>
      <c r="AN549" s="439"/>
      <c r="AP549" s="671"/>
      <c r="AQ549" s="672"/>
      <c r="AR549" s="672"/>
      <c r="AS549" s="672"/>
      <c r="AT549" s="672"/>
      <c r="AU549" s="672"/>
      <c r="AV549" s="673"/>
      <c r="AW549" s="672"/>
      <c r="AX549" s="672"/>
      <c r="AY549" s="673"/>
      <c r="BE549" s="2409"/>
      <c r="BF549" s="2415"/>
      <c r="BG549" s="2415"/>
      <c r="BH549" s="2410"/>
      <c r="BI549" s="2409"/>
      <c r="BJ549" s="2415"/>
      <c r="BK549" s="2415"/>
      <c r="BL549" s="2410"/>
      <c r="BM549" s="2409">
        <f>IF(AND(AND(CH550=1,BI548=0,BE547=0)),0,1)</f>
        <v>0</v>
      </c>
      <c r="BN549" s="2415"/>
      <c r="BO549" s="2415"/>
      <c r="BP549" s="2410"/>
      <c r="BQ549" s="2409"/>
      <c r="BR549" s="2415"/>
      <c r="BS549" s="2415"/>
      <c r="BT549" s="2410"/>
      <c r="BU549" s="2460"/>
      <c r="BV549" s="2461"/>
      <c r="BW549" s="2461"/>
      <c r="BX549" s="2462"/>
      <c r="BY549" s="2460"/>
      <c r="BZ549" s="2461"/>
      <c r="CA549" s="2461"/>
      <c r="CB549" s="2462"/>
      <c r="CC549" s="16"/>
      <c r="CG549" s="16"/>
      <c r="CH549" s="2424">
        <f>IF(OR(Y609=0,Y609&gt;=0.1),1,0)</f>
        <v>1</v>
      </c>
      <c r="CI549" s="2425"/>
      <c r="CJ549" s="2425"/>
      <c r="CK549" s="2426"/>
    </row>
    <row r="550" spans="1:89" s="46" customFormat="1" ht="12.75" customHeight="1">
      <c r="A550" s="28"/>
      <c r="B550" s="2534"/>
      <c r="C550" s="2534"/>
      <c r="D550" s="2534"/>
      <c r="E550" s="2534"/>
      <c r="F550" s="2534"/>
      <c r="G550" s="2534"/>
      <c r="H550" s="2534"/>
      <c r="I550" s="2534"/>
      <c r="J550" s="2534"/>
      <c r="K550" s="2534"/>
      <c r="L550" s="2534"/>
      <c r="M550" s="2534"/>
      <c r="N550" s="2534"/>
      <c r="O550" s="2534"/>
      <c r="P550" s="2534"/>
      <c r="Q550" s="2534"/>
      <c r="R550" s="2534"/>
      <c r="S550" s="2534"/>
      <c r="T550" s="2534"/>
      <c r="U550" s="2534"/>
      <c r="V550" s="2534"/>
      <c r="W550" s="2534"/>
      <c r="X550" s="2534"/>
      <c r="Y550" s="2534"/>
      <c r="Z550" s="2534"/>
      <c r="AA550" s="2534"/>
      <c r="AB550" s="2534"/>
      <c r="AC550" s="2534"/>
      <c r="AD550" s="2534"/>
      <c r="AE550" s="2534"/>
      <c r="AF550" s="2534"/>
      <c r="AG550" s="2534"/>
      <c r="AH550" s="245"/>
      <c r="AI550" s="245"/>
      <c r="AJ550" s="245"/>
      <c r="AK550" s="246"/>
      <c r="AL550" s="246"/>
      <c r="AM550" s="246"/>
      <c r="AN550" s="439"/>
      <c r="AP550" s="2536">
        <f>SUM(T608:X612)</f>
        <v>26</v>
      </c>
      <c r="AQ550" s="2537"/>
      <c r="AR550" s="2537"/>
      <c r="AS550" s="2537"/>
      <c r="AT550" s="2538"/>
      <c r="AU550" s="672"/>
      <c r="AV550" s="673"/>
      <c r="AW550" s="672"/>
      <c r="AX550" s="672"/>
      <c r="AY550" s="673"/>
      <c r="BE550" s="2409"/>
      <c r="BF550" s="2415"/>
      <c r="BG550" s="2415"/>
      <c r="BH550" s="2410"/>
      <c r="BI550" s="2409"/>
      <c r="BJ550" s="2415"/>
      <c r="BK550" s="2415"/>
      <c r="BL550" s="2410"/>
      <c r="BM550" s="2409"/>
      <c r="BN550" s="2415"/>
      <c r="BO550" s="2415"/>
      <c r="BP550" s="2410"/>
      <c r="BQ550" s="2409">
        <f>IF(AND(AND(AND(CH551=1,BM549=0,BI548=0,BE547=0))),0,1)</f>
        <v>0</v>
      </c>
      <c r="BR550" s="2415"/>
      <c r="BS550" s="2415"/>
      <c r="BT550" s="2410"/>
      <c r="BU550" s="2460"/>
      <c r="BV550" s="2461"/>
      <c r="BW550" s="2461"/>
      <c r="BX550" s="2462"/>
      <c r="BY550" s="2460"/>
      <c r="BZ550" s="2461"/>
      <c r="CA550" s="2461"/>
      <c r="CB550" s="2462"/>
      <c r="CC550" s="16"/>
      <c r="CG550" s="16"/>
      <c r="CH550" s="2424">
        <f>IF(OR(Y610=0,Y610&gt;=0.1),1,0)</f>
        <v>1</v>
      </c>
      <c r="CI550" s="2425"/>
      <c r="CJ550" s="2425"/>
      <c r="CK550" s="2426"/>
    </row>
    <row r="551" spans="1:89" s="46" customFormat="1" ht="12.75" customHeight="1">
      <c r="A551" s="28"/>
      <c r="B551" s="2534"/>
      <c r="C551" s="2534"/>
      <c r="D551" s="2534"/>
      <c r="E551" s="2534"/>
      <c r="F551" s="2534"/>
      <c r="G551" s="2534"/>
      <c r="H551" s="2534"/>
      <c r="I551" s="2534"/>
      <c r="J551" s="2534"/>
      <c r="K551" s="2534"/>
      <c r="L551" s="2534"/>
      <c r="M551" s="2534"/>
      <c r="N551" s="2534"/>
      <c r="O551" s="2534"/>
      <c r="P551" s="2534"/>
      <c r="Q551" s="2534"/>
      <c r="R551" s="2534"/>
      <c r="S551" s="2534"/>
      <c r="T551" s="2534"/>
      <c r="U551" s="2534"/>
      <c r="V551" s="2534"/>
      <c r="W551" s="2534"/>
      <c r="X551" s="2534"/>
      <c r="Y551" s="2534"/>
      <c r="Z551" s="2534"/>
      <c r="AA551" s="2534"/>
      <c r="AB551" s="2534"/>
      <c r="AC551" s="2534"/>
      <c r="AD551" s="2534"/>
      <c r="AE551" s="2534"/>
      <c r="AF551" s="2534"/>
      <c r="AG551" s="2534"/>
      <c r="AH551" s="245"/>
      <c r="AI551" s="245"/>
      <c r="AJ551" s="245"/>
      <c r="AK551" s="246"/>
      <c r="AL551" s="246"/>
      <c r="AM551" s="246"/>
      <c r="AN551" s="439"/>
      <c r="AP551" s="674"/>
      <c r="AQ551" s="675"/>
      <c r="AR551" s="675"/>
      <c r="AS551" s="675"/>
      <c r="AT551" s="676" t="s">
        <v>667</v>
      </c>
      <c r="AU551" s="2449" t="str">
        <f>IF(AP550&gt;=AU548,"passed","failed")</f>
        <v>passed</v>
      </c>
      <c r="AV551" s="2450"/>
      <c r="AW551" s="2451"/>
      <c r="AX551" s="677"/>
      <c r="AY551" s="678"/>
      <c r="BE551" s="2409"/>
      <c r="BF551" s="2415"/>
      <c r="BG551" s="2415"/>
      <c r="BH551" s="2410"/>
      <c r="BI551" s="2409"/>
      <c r="BJ551" s="2415"/>
      <c r="BK551" s="2415"/>
      <c r="BL551" s="2410"/>
      <c r="BM551" s="2409"/>
      <c r="BN551" s="2415"/>
      <c r="BO551" s="2415"/>
      <c r="BP551" s="2410"/>
      <c r="BQ551" s="2409"/>
      <c r="BR551" s="2415"/>
      <c r="BS551" s="2415"/>
      <c r="BT551" s="2410"/>
      <c r="BU551" s="2409">
        <f>IF(AND(AND(AND(AND(CH552=1,BQ550=0,BM549=0,BI548=0,BE547=0)))),0,1)</f>
        <v>0</v>
      </c>
      <c r="BV551" s="2415"/>
      <c r="BW551" s="2415"/>
      <c r="BX551" s="2410"/>
      <c r="BY551" s="2460"/>
      <c r="BZ551" s="2461"/>
      <c r="CA551" s="2461"/>
      <c r="CB551" s="2462"/>
      <c r="CC551" s="16"/>
      <c r="CD551" s="16"/>
      <c r="CE551" s="16"/>
      <c r="CF551" s="16"/>
      <c r="CG551" s="16"/>
      <c r="CH551" s="2424">
        <f>IF(OR(Y611=0,Y611&gt;=0.1),1,0)</f>
        <v>1</v>
      </c>
      <c r="CI551" s="2425"/>
      <c r="CJ551" s="2425"/>
      <c r="CK551" s="2426"/>
    </row>
    <row r="552" spans="1:89" s="46" customFormat="1" ht="13.7" customHeight="1">
      <c r="A552" s="28"/>
      <c r="B552" s="2534"/>
      <c r="C552" s="2534"/>
      <c r="D552" s="2534"/>
      <c r="E552" s="2534"/>
      <c r="F552" s="2534"/>
      <c r="G552" s="2534"/>
      <c r="H552" s="2534"/>
      <c r="I552" s="2534"/>
      <c r="J552" s="2534"/>
      <c r="K552" s="2534"/>
      <c r="L552" s="2534"/>
      <c r="M552" s="2534"/>
      <c r="N552" s="2534"/>
      <c r="O552" s="2534"/>
      <c r="P552" s="2534"/>
      <c r="Q552" s="2534"/>
      <c r="R552" s="2534"/>
      <c r="S552" s="2534"/>
      <c r="T552" s="2534"/>
      <c r="U552" s="2534"/>
      <c r="V552" s="2534"/>
      <c r="W552" s="2534"/>
      <c r="X552" s="2534"/>
      <c r="Y552" s="2534"/>
      <c r="Z552" s="2534"/>
      <c r="AA552" s="2534"/>
      <c r="AB552" s="2534"/>
      <c r="AC552" s="2534"/>
      <c r="AD552" s="2534"/>
      <c r="AE552" s="2534"/>
      <c r="AF552" s="2534"/>
      <c r="AG552" s="2534"/>
      <c r="AH552" s="245"/>
      <c r="AI552" s="245"/>
      <c r="AJ552" s="245"/>
      <c r="AK552" s="246"/>
      <c r="AL552" s="246"/>
      <c r="AM552" s="246"/>
      <c r="AN552" s="1089"/>
      <c r="BE552" s="2409">
        <f>SUM(BE547:BH551)</f>
        <v>0</v>
      </c>
      <c r="BF552" s="2415"/>
      <c r="BG552" s="2415"/>
      <c r="BH552" s="2410"/>
      <c r="BI552" s="2409">
        <f>SUM(BI547:BL551)</f>
        <v>0</v>
      </c>
      <c r="BJ552" s="2415"/>
      <c r="BK552" s="2415"/>
      <c r="BL552" s="2410"/>
      <c r="BM552" s="2409">
        <f>SUM(BM547:BP551)</f>
        <v>0</v>
      </c>
      <c r="BN552" s="2415"/>
      <c r="BO552" s="2415"/>
      <c r="BP552" s="2410"/>
      <c r="BQ552" s="2409">
        <f>SUM(BQ547:BT551)</f>
        <v>0</v>
      </c>
      <c r="BR552" s="2415"/>
      <c r="BS552" s="2415"/>
      <c r="BT552" s="2410"/>
      <c r="BU552" s="2409">
        <f>SUM(BU547:BX551)</f>
        <v>0</v>
      </c>
      <c r="BV552" s="2415"/>
      <c r="BW552" s="2415"/>
      <c r="BX552" s="2410"/>
      <c r="BY552" s="2409">
        <f>SUM(BY547:CB551)</f>
        <v>0</v>
      </c>
      <c r="BZ552" s="2415"/>
      <c r="CA552" s="2415"/>
      <c r="CB552" s="2410"/>
      <c r="CC552" s="2424">
        <f>IF(AND(CH548=1,T608&gt;0),0,SUM(BE552:CB552))</f>
        <v>0</v>
      </c>
      <c r="CD552" s="2425"/>
      <c r="CE552" s="2425"/>
      <c r="CF552" s="2426"/>
      <c r="CG552" s="16"/>
      <c r="CH552" s="2424">
        <f>IF(OR(Y612=0,Y612&gt;=0.1),1,0)</f>
        <v>1</v>
      </c>
      <c r="CI552" s="2425"/>
      <c r="CJ552" s="2425"/>
      <c r="CK552" s="2426"/>
    </row>
    <row r="553" spans="1:89" s="137" customFormat="1" ht="12.6" customHeight="1">
      <c r="A553" s="28"/>
      <c r="B553" s="2427" t="s">
        <v>1636</v>
      </c>
      <c r="C553" s="2427"/>
      <c r="D553" s="2427"/>
      <c r="E553" s="2427"/>
      <c r="F553" s="2427"/>
      <c r="G553" s="2427"/>
      <c r="H553" s="2427"/>
      <c r="I553" s="2427"/>
      <c r="J553" s="2427"/>
      <c r="K553" s="2427"/>
      <c r="L553" s="2427"/>
      <c r="M553" s="2427"/>
      <c r="N553" s="2427"/>
      <c r="O553" s="2427"/>
      <c r="P553" s="2427"/>
      <c r="Q553" s="2427"/>
      <c r="R553" s="2427"/>
      <c r="S553" s="2427"/>
      <c r="T553" s="2427"/>
      <c r="U553" s="2427"/>
      <c r="V553" s="2427"/>
      <c r="W553" s="2427"/>
      <c r="X553" s="2427"/>
      <c r="Y553" s="2427"/>
      <c r="Z553" s="2427"/>
      <c r="AA553" s="2427"/>
      <c r="AB553" s="2427"/>
      <c r="AC553" s="2427"/>
      <c r="AD553" s="2427"/>
      <c r="AE553" s="2427"/>
      <c r="AF553" s="2427"/>
      <c r="AG553" s="2427"/>
      <c r="AH553" s="245"/>
      <c r="AI553" s="245"/>
      <c r="AJ553" s="245"/>
      <c r="AK553" s="246"/>
      <c r="AL553" s="246"/>
      <c r="AM553" s="246"/>
      <c r="AN553" s="439"/>
    </row>
    <row r="554" spans="1:89" s="46" customFormat="1" ht="21" customHeight="1">
      <c r="A554" s="28"/>
      <c r="B554" s="2427"/>
      <c r="C554" s="2427"/>
      <c r="D554" s="2427"/>
      <c r="E554" s="2427"/>
      <c r="F554" s="2427"/>
      <c r="G554" s="2427"/>
      <c r="H554" s="2427"/>
      <c r="I554" s="2427"/>
      <c r="J554" s="2427"/>
      <c r="K554" s="2427"/>
      <c r="L554" s="2427"/>
      <c r="M554" s="2427"/>
      <c r="N554" s="2427"/>
      <c r="O554" s="2427"/>
      <c r="P554" s="2427"/>
      <c r="Q554" s="2427"/>
      <c r="R554" s="2427"/>
      <c r="S554" s="2427"/>
      <c r="T554" s="2427"/>
      <c r="U554" s="2427"/>
      <c r="V554" s="2427"/>
      <c r="W554" s="2427"/>
      <c r="X554" s="2427"/>
      <c r="Y554" s="2427"/>
      <c r="Z554" s="2427"/>
      <c r="AA554" s="2427"/>
      <c r="AB554" s="2427"/>
      <c r="AC554" s="2427"/>
      <c r="AD554" s="2427"/>
      <c r="AE554" s="2427"/>
      <c r="AF554" s="2427"/>
      <c r="AG554" s="2427"/>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7" t="s">
        <v>1929</v>
      </c>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7"/>
      <c r="C556" s="2427"/>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7"/>
      <c r="AE556" s="2427"/>
      <c r="AF556" s="2427"/>
      <c r="AG556" s="245"/>
      <c r="AH556" s="245"/>
      <c r="AI556" s="245"/>
      <c r="AJ556" s="245"/>
      <c r="AK556" s="246"/>
      <c r="AL556" s="246"/>
      <c r="AM556" s="246"/>
      <c r="AN556" s="439"/>
      <c r="AP556" s="232"/>
      <c r="AQ556" s="233"/>
      <c r="AR556" s="233"/>
      <c r="AS556" s="233"/>
      <c r="AT556" s="239" t="s">
        <v>667</v>
      </c>
      <c r="AU556" s="233"/>
      <c r="AV556" s="2409" t="str">
        <f>IF(BJ592&gt;0,"failed","passed")</f>
        <v>failed</v>
      </c>
      <c r="AW556" s="2415"/>
      <c r="AX556" s="2415"/>
      <c r="AY556" s="2410"/>
    </row>
    <row r="557" spans="1:89" s="46" customFormat="1" ht="12.6"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5" t="s">
        <v>1637</v>
      </c>
      <c r="R559" s="2535"/>
      <c r="S559" s="2535"/>
      <c r="T559" s="2535"/>
      <c r="U559" s="2535"/>
      <c r="V559" s="2535"/>
      <c r="W559" s="2535"/>
      <c r="X559" s="2535"/>
      <c r="Y559" s="2535"/>
      <c r="Z559" s="2535"/>
      <c r="AA559" s="2535"/>
      <c r="AB559" s="2535"/>
      <c r="AC559" s="2535"/>
      <c r="AD559" s="2535"/>
      <c r="AE559" s="2535"/>
      <c r="AF559" s="2535"/>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5"/>
      <c r="R560" s="2535"/>
      <c r="S560" s="2535"/>
      <c r="T560" s="2535"/>
      <c r="U560" s="2535"/>
      <c r="V560" s="2535"/>
      <c r="W560" s="2535"/>
      <c r="X560" s="2535"/>
      <c r="Y560" s="2535"/>
      <c r="Z560" s="2535"/>
      <c r="AA560" s="2535"/>
      <c r="AB560" s="2535"/>
      <c r="AC560" s="2535"/>
      <c r="AD560" s="2535"/>
      <c r="AE560" s="2535"/>
      <c r="AF560" s="2535"/>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7" t="s">
        <v>1928</v>
      </c>
      <c r="R561" s="2338"/>
      <c r="S561" s="2547" t="s">
        <v>225</v>
      </c>
      <c r="T561" s="2547"/>
      <c r="U561" s="2337">
        <v>0.5</v>
      </c>
      <c r="V561" s="2338"/>
      <c r="W561" s="2337">
        <v>0.45</v>
      </c>
      <c r="X561" s="2338"/>
      <c r="Y561" s="2337">
        <v>0.4</v>
      </c>
      <c r="Z561" s="2338"/>
      <c r="AA561" s="2337">
        <v>0.35</v>
      </c>
      <c r="AB561" s="2338"/>
      <c r="AC561" s="2447">
        <v>0.3</v>
      </c>
      <c r="AD561" s="2448"/>
      <c r="AE561" s="2337">
        <v>0.2</v>
      </c>
      <c r="AF561" s="233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8"/>
      <c r="P562" s="2299"/>
      <c r="Q562" s="2336"/>
      <c r="R562" s="2323"/>
      <c r="S562" s="2428"/>
      <c r="T562" s="2428"/>
      <c r="U562" s="2323"/>
      <c r="V562" s="2323"/>
      <c r="W562" s="2323"/>
      <c r="X562" s="2323"/>
      <c r="Y562" s="2323"/>
      <c r="Z562" s="2323"/>
      <c r="AA562" s="2416"/>
      <c r="AB562" s="2416"/>
      <c r="AC562" s="2323"/>
      <c r="AD562" s="2323"/>
      <c r="AE562" s="2445"/>
      <c r="AF562" s="2446"/>
      <c r="AN562" s="439"/>
      <c r="AP562" s="226" t="s">
        <v>774</v>
      </c>
      <c r="AQ562" s="91"/>
      <c r="AR562" s="91"/>
      <c r="AS562" s="91"/>
      <c r="AT562" s="2424" t="str">
        <f>IF(OR(AV556="passed",BD560="passed"),"passed","failed")</f>
        <v>passed</v>
      </c>
      <c r="AU562" s="2425"/>
      <c r="AV562" s="2425"/>
      <c r="AW562" s="2425"/>
      <c r="AX562" s="2426"/>
    </row>
    <row r="563" spans="1:96" s="46" customFormat="1" ht="12.75" customHeight="1">
      <c r="A563" s="28"/>
      <c r="B563" s="106"/>
      <c r="C563" s="28"/>
      <c r="I563" s="345"/>
      <c r="J563" s="245"/>
      <c r="K563" s="162"/>
      <c r="L563" s="162"/>
      <c r="M563" s="162"/>
      <c r="N563" s="71"/>
      <c r="O563" s="2298"/>
      <c r="P563" s="2299"/>
      <c r="Q563" s="2311"/>
      <c r="R563" s="2312"/>
      <c r="S563" s="2312"/>
      <c r="T563" s="2312"/>
      <c r="U563" s="2312"/>
      <c r="V563" s="2312"/>
      <c r="W563" s="2312"/>
      <c r="X563" s="2312"/>
      <c r="Y563" s="2310"/>
      <c r="Z563" s="2310"/>
      <c r="AA563" s="2312"/>
      <c r="AB563" s="2312"/>
      <c r="AC563" s="2310"/>
      <c r="AD563" s="2310"/>
      <c r="AE563" s="2313"/>
      <c r="AF563" s="231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8"/>
      <c r="P564" s="2299"/>
      <c r="Q564" s="2311"/>
      <c r="R564" s="2312"/>
      <c r="S564" s="2312"/>
      <c r="T564" s="2312"/>
      <c r="U564" s="2312"/>
      <c r="V564" s="2312"/>
      <c r="W564" s="2312"/>
      <c r="X564" s="2312"/>
      <c r="Y564" s="2312"/>
      <c r="Z564" s="2312"/>
      <c r="AA564" s="2310"/>
      <c r="AB564" s="2310"/>
      <c r="AC564" s="2312"/>
      <c r="AD564" s="2312"/>
      <c r="AE564" s="2455"/>
      <c r="AF564" s="2456"/>
      <c r="AN564" s="439"/>
      <c r="AP564" s="235" t="s">
        <v>668</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8"/>
      <c r="P565" s="2299"/>
      <c r="Q565" s="2311"/>
      <c r="R565" s="2312"/>
      <c r="S565" s="2312"/>
      <c r="T565" s="2312"/>
      <c r="U565" s="2312"/>
      <c r="V565" s="2312"/>
      <c r="W565" s="2312"/>
      <c r="X565" s="2312"/>
      <c r="Y565" s="2310"/>
      <c r="Z565" s="2310"/>
      <c r="AA565" s="2312"/>
      <c r="AB565" s="2312"/>
      <c r="AC565" s="2310"/>
      <c r="AD565" s="2310"/>
      <c r="AE565" s="2313"/>
      <c r="AF565" s="2314"/>
      <c r="AN565" s="439"/>
    </row>
    <row r="566" spans="1:96" s="46" customFormat="1" ht="12.75" customHeight="1">
      <c r="A566" s="28"/>
      <c r="B566" s="106"/>
      <c r="C566" s="28"/>
      <c r="I566" s="345"/>
      <c r="J566" s="245"/>
      <c r="K566" s="162"/>
      <c r="L566" s="162"/>
      <c r="M566" s="162"/>
      <c r="N566" s="71"/>
      <c r="O566" s="2298"/>
      <c r="P566" s="2299"/>
      <c r="Q566" s="2311"/>
      <c r="R566" s="2312"/>
      <c r="S566" s="2312"/>
      <c r="T566" s="2312"/>
      <c r="U566" s="2312"/>
      <c r="V566" s="2312"/>
      <c r="W566" s="2310"/>
      <c r="X566" s="2310"/>
      <c r="Y566" s="2312"/>
      <c r="Z566" s="2312"/>
      <c r="AA566" s="2310"/>
      <c r="AB566" s="2310"/>
      <c r="AC566" s="2312"/>
      <c r="AD566" s="2312"/>
      <c r="AE566" s="2455"/>
      <c r="AF566" s="2456"/>
      <c r="AN566" s="439"/>
    </row>
    <row r="567" spans="1:96" s="46" customFormat="1" ht="12.75" customHeight="1">
      <c r="A567" s="28"/>
      <c r="B567" s="106"/>
      <c r="C567" s="28"/>
      <c r="I567" s="345"/>
      <c r="J567" s="245"/>
      <c r="K567" s="162"/>
      <c r="L567" s="162"/>
      <c r="M567" s="162"/>
      <c r="N567" s="71"/>
      <c r="O567" s="2298"/>
      <c r="P567" s="2299"/>
      <c r="Q567" s="2311"/>
      <c r="R567" s="2312"/>
      <c r="S567" s="2312"/>
      <c r="T567" s="2312"/>
      <c r="U567" s="2312"/>
      <c r="V567" s="2312"/>
      <c r="W567" s="2312"/>
      <c r="X567" s="2312"/>
      <c r="Y567" s="2310"/>
      <c r="Z567" s="2310"/>
      <c r="AA567" s="2312"/>
      <c r="AB567" s="2312"/>
      <c r="AC567" s="2310"/>
      <c r="AD567" s="2310"/>
      <c r="AE567" s="2313"/>
      <c r="AF567" s="2314"/>
      <c r="AN567" s="439"/>
      <c r="AU567" s="65"/>
      <c r="AV567" s="65"/>
      <c r="AW567" s="90"/>
      <c r="AX567" s="91"/>
      <c r="AY567" s="91"/>
      <c r="AZ567" s="100" t="s">
        <v>1216</v>
      </c>
      <c r="BA567" s="2463" t="s">
        <v>775</v>
      </c>
      <c r="BB567" s="2464"/>
      <c r="BC567" s="2464"/>
      <c r="BD567" s="2464"/>
      <c r="BE567" s="2465"/>
      <c r="BF567" s="2420">
        <f>SUM(O608:S612)</f>
        <v>112</v>
      </c>
      <c r="BG567" s="2421"/>
      <c r="BH567" s="2421"/>
      <c r="BI567" s="2421"/>
      <c r="BJ567" s="2422"/>
      <c r="BK567" s="2301">
        <f>SUM(T608:X612)</f>
        <v>26</v>
      </c>
      <c r="BL567" s="2302"/>
      <c r="BM567" s="2302"/>
      <c r="BN567" s="2302"/>
      <c r="BO567" s="2303"/>
    </row>
    <row r="568" spans="1:96" s="46" customFormat="1" ht="12.75" customHeight="1">
      <c r="A568" s="28"/>
      <c r="B568" s="57"/>
      <c r="C568" s="28"/>
      <c r="I568" s="2350" t="s">
        <v>1635</v>
      </c>
      <c r="J568" s="2351"/>
      <c r="K568" s="2351"/>
      <c r="L568" s="2351"/>
      <c r="M568" s="2351"/>
      <c r="N568" s="2352"/>
      <c r="O568" s="2298">
        <v>0.5</v>
      </c>
      <c r="P568" s="2299"/>
      <c r="Q568" s="2329"/>
      <c r="R568" s="2330"/>
      <c r="S568" s="2312"/>
      <c r="T568" s="2312"/>
      <c r="U568" s="2549" t="s">
        <v>1639</v>
      </c>
      <c r="V568" s="2549"/>
      <c r="W568" s="2328">
        <v>37.5</v>
      </c>
      <c r="X568" s="2328"/>
      <c r="Y568" s="2330"/>
      <c r="Z568" s="2330"/>
      <c r="AA568" s="2328"/>
      <c r="AB568" s="2328"/>
      <c r="AC568" s="2330"/>
      <c r="AD568" s="2330"/>
      <c r="AE568" s="2457"/>
      <c r="AF568" s="2458"/>
      <c r="AN568" s="439"/>
      <c r="CL568" s="16"/>
      <c r="CM568" s="16"/>
    </row>
    <row r="569" spans="1:96" s="46" customFormat="1" ht="12.75" customHeight="1">
      <c r="A569" s="28"/>
      <c r="B569" s="195"/>
      <c r="C569" s="101"/>
      <c r="D569" s="28"/>
      <c r="E569" s="28"/>
      <c r="I569" s="2350"/>
      <c r="J569" s="2351"/>
      <c r="K569" s="2351"/>
      <c r="L569" s="2351"/>
      <c r="M569" s="2351"/>
      <c r="N569" s="2352"/>
      <c r="O569" s="2298">
        <v>0.45</v>
      </c>
      <c r="P569" s="2299"/>
      <c r="Q569" s="2311"/>
      <c r="R569" s="2312"/>
      <c r="S569" s="2312"/>
      <c r="T569" s="2312"/>
      <c r="U569" s="2318" t="s">
        <v>143</v>
      </c>
      <c r="V569" s="2318"/>
      <c r="W569" s="2310">
        <v>33.799999999999997</v>
      </c>
      <c r="X569" s="2310"/>
      <c r="Y569" s="2310"/>
      <c r="Z569" s="2310"/>
      <c r="AA569" s="2312"/>
      <c r="AB569" s="2312"/>
      <c r="AC569" s="2310"/>
      <c r="AD569" s="2310"/>
      <c r="AE569" s="2313"/>
      <c r="AF569" s="2314"/>
      <c r="AN569" s="439"/>
      <c r="CL569" s="16"/>
      <c r="CM569" s="16"/>
    </row>
    <row r="570" spans="1:96" s="46" customFormat="1" ht="12.75" customHeight="1">
      <c r="A570" s="28"/>
      <c r="B570" s="8"/>
      <c r="C570" s="8"/>
      <c r="D570" s="8"/>
      <c r="E570" s="8"/>
      <c r="I570" s="2350"/>
      <c r="J570" s="2351"/>
      <c r="K570" s="2351"/>
      <c r="L570" s="2351"/>
      <c r="M570" s="2351"/>
      <c r="N570" s="2352"/>
      <c r="O570" s="2298">
        <v>0.4</v>
      </c>
      <c r="P570" s="2299"/>
      <c r="Q570" s="2311"/>
      <c r="R570" s="2312"/>
      <c r="S570" s="2318" t="s">
        <v>1638</v>
      </c>
      <c r="T570" s="2318"/>
      <c r="U570" s="2310">
        <v>20</v>
      </c>
      <c r="V570" s="2310"/>
      <c r="W570" s="2310">
        <v>30</v>
      </c>
      <c r="X570" s="2310"/>
      <c r="Y570" s="2310"/>
      <c r="Z570" s="2310"/>
      <c r="AA570" s="2310"/>
      <c r="AB570" s="2310"/>
      <c r="AC570" s="2310"/>
      <c r="AD570" s="2310"/>
      <c r="AE570" s="2313"/>
      <c r="AF570" s="2314"/>
      <c r="AN570" s="439"/>
      <c r="AP570" s="2466" t="s">
        <v>226</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112</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298">
        <v>0.35</v>
      </c>
      <c r="P571" s="2299"/>
      <c r="Q571" s="2311"/>
      <c r="R571" s="2312"/>
      <c r="S571" s="2318" t="s">
        <v>1930</v>
      </c>
      <c r="T571" s="2318"/>
      <c r="U571" s="2310">
        <v>17.5</v>
      </c>
      <c r="V571" s="2310"/>
      <c r="W571" s="2310">
        <v>26.3</v>
      </c>
      <c r="X571" s="2310"/>
      <c r="Y571" s="2310">
        <v>35</v>
      </c>
      <c r="Z571" s="2310"/>
      <c r="AA571" s="2310"/>
      <c r="AB571" s="2310"/>
      <c r="AC571" s="2310">
        <v>50</v>
      </c>
      <c r="AD571" s="2310"/>
      <c r="AE571" s="2313"/>
      <c r="AF571" s="2314"/>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298">
        <v>0.3</v>
      </c>
      <c r="P572" s="2299"/>
      <c r="Q572" s="2311"/>
      <c r="R572" s="2312"/>
      <c r="S572" s="2318" t="s">
        <v>1931</v>
      </c>
      <c r="T572" s="2318"/>
      <c r="U572" s="2310">
        <v>15</v>
      </c>
      <c r="V572" s="2310"/>
      <c r="W572" s="2310">
        <v>22.5</v>
      </c>
      <c r="X572" s="2310"/>
      <c r="Y572" s="2310">
        <v>30</v>
      </c>
      <c r="Z572" s="2310"/>
      <c r="AA572" s="2310">
        <v>37.5</v>
      </c>
      <c r="AB572" s="2310"/>
      <c r="AC572" s="2310">
        <v>45</v>
      </c>
      <c r="AD572" s="2310"/>
      <c r="AE572" s="2313"/>
      <c r="AF572" s="231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3"/>
      <c r="BL572" s="2423"/>
      <c r="BM572" s="2423"/>
      <c r="BN572" s="1892"/>
      <c r="BO572" s="1891">
        <v>4</v>
      </c>
      <c r="BP572" s="2423"/>
      <c r="BQ572" s="2423"/>
      <c r="BR572" s="2423"/>
      <c r="BS572" s="1892"/>
      <c r="BT572" s="1891">
        <v>3</v>
      </c>
      <c r="BU572" s="2423"/>
      <c r="BV572" s="2423"/>
      <c r="BW572" s="2423"/>
      <c r="BX572" s="1892"/>
      <c r="BY572" s="1891">
        <v>2</v>
      </c>
      <c r="BZ572" s="2423"/>
      <c r="CA572" s="2423"/>
      <c r="CB572" s="2423"/>
      <c r="CC572" s="1892"/>
      <c r="CD572" s="1891">
        <v>1</v>
      </c>
      <c r="CE572" s="2423"/>
      <c r="CF572" s="2423"/>
      <c r="CG572" s="2423"/>
      <c r="CH572" s="1892"/>
      <c r="CI572" s="1891">
        <v>0</v>
      </c>
      <c r="CJ572" s="2423"/>
      <c r="CK572" s="2423"/>
      <c r="CL572" s="2423"/>
      <c r="CM572" s="1892"/>
      <c r="CN572" s="65"/>
      <c r="CO572" s="65"/>
      <c r="CP572" s="65"/>
      <c r="CQ572" s="65"/>
      <c r="CR572" s="65"/>
    </row>
    <row r="573" spans="1:96" s="46" customFormat="1" ht="12.75" customHeight="1">
      <c r="A573" s="28"/>
      <c r="B573" s="8"/>
      <c r="C573" s="8"/>
      <c r="D573" s="8"/>
      <c r="E573" s="8"/>
      <c r="I573" s="2350"/>
      <c r="J573" s="2351"/>
      <c r="K573" s="2351"/>
      <c r="L573" s="2351"/>
      <c r="M573" s="2351"/>
      <c r="N573" s="2352"/>
      <c r="O573" s="2298">
        <v>0.25</v>
      </c>
      <c r="P573" s="2299"/>
      <c r="Q573" s="2311"/>
      <c r="R573" s="2312"/>
      <c r="S573" s="2318" t="s">
        <v>1932</v>
      </c>
      <c r="T573" s="2318"/>
      <c r="U573" s="2310">
        <v>12.5</v>
      </c>
      <c r="V573" s="2310"/>
      <c r="W573" s="2310">
        <v>18.8</v>
      </c>
      <c r="X573" s="2310"/>
      <c r="Y573" s="2310">
        <v>25</v>
      </c>
      <c r="Z573" s="2310"/>
      <c r="AA573" s="2310">
        <v>31.3</v>
      </c>
      <c r="AB573" s="2310"/>
      <c r="AC573" s="2310">
        <v>37.5</v>
      </c>
      <c r="AD573" s="2310"/>
      <c r="AE573" s="2313">
        <v>50</v>
      </c>
      <c r="AF573" s="2314"/>
      <c r="AN573" s="439"/>
      <c r="AP573" s="2417" t="str">
        <f t="shared" ref="AP573:AP579" si="0">J607</f>
        <v>5 BR</v>
      </c>
      <c r="AQ573" s="2418"/>
      <c r="AR573" s="2418"/>
      <c r="AS573" s="2418"/>
      <c r="AT573" s="2419"/>
      <c r="AU573" s="2412">
        <f t="shared" ref="AU573:AU578" si="1">O607</f>
        <v>0</v>
      </c>
      <c r="AV573" s="2413"/>
      <c r="AW573" s="2413"/>
      <c r="AX573" s="2413"/>
      <c r="AY573" s="2414"/>
      <c r="AZ573" s="2412">
        <f t="shared" ref="AZ573:AZ578" si="2">T607</f>
        <v>0</v>
      </c>
      <c r="BA573" s="2413"/>
      <c r="BB573" s="2413"/>
      <c r="BC573" s="2413"/>
      <c r="BD573" s="2414"/>
      <c r="BE573" s="1877">
        <f t="shared" ref="BE573:BE578" si="3">Y607</f>
        <v>0</v>
      </c>
      <c r="BF573" s="1878"/>
      <c r="BG573" s="1878"/>
      <c r="BH573" s="1878"/>
      <c r="BI573" s="1879"/>
      <c r="BJ573" s="1891">
        <f>IF(OR(AP583=0,BE573&gt;=0.1),0,1)</f>
        <v>0</v>
      </c>
      <c r="BK573" s="2423"/>
      <c r="BL573" s="2423"/>
      <c r="BM573" s="2423"/>
      <c r="BN573" s="1892"/>
      <c r="BO573" s="1891"/>
      <c r="BP573" s="2423"/>
      <c r="BQ573" s="2423"/>
      <c r="BR573" s="2423"/>
      <c r="BS573" s="1892"/>
      <c r="BT573" s="1891"/>
      <c r="BU573" s="2423"/>
      <c r="BV573" s="2423"/>
      <c r="BW573" s="2423"/>
      <c r="BX573" s="1892"/>
      <c r="BY573" s="1891"/>
      <c r="BZ573" s="2423"/>
      <c r="CA573" s="2423"/>
      <c r="CB573" s="2423"/>
      <c r="CC573" s="1892"/>
      <c r="CD573" s="1891"/>
      <c r="CE573" s="2423"/>
      <c r="CF573" s="2423"/>
      <c r="CG573" s="2423"/>
      <c r="CH573" s="1892"/>
      <c r="CI573" s="1891"/>
      <c r="CJ573" s="2423"/>
      <c r="CK573" s="2423"/>
      <c r="CL573" s="2423"/>
      <c r="CM573" s="1892"/>
      <c r="CN573" s="65"/>
      <c r="CO573" s="65"/>
      <c r="CP573" s="65"/>
      <c r="CQ573" s="65"/>
      <c r="CR573" s="65"/>
    </row>
    <row r="574" spans="1:96" s="46" customFormat="1" ht="12.75" customHeight="1">
      <c r="A574" s="195"/>
      <c r="B574" s="8"/>
      <c r="C574" s="8"/>
      <c r="D574" s="8"/>
      <c r="E574" s="8"/>
      <c r="I574" s="2350"/>
      <c r="J574" s="2351"/>
      <c r="K574" s="2351"/>
      <c r="L574" s="2351"/>
      <c r="M574" s="2351"/>
      <c r="N574" s="2352"/>
      <c r="O574" s="2298">
        <v>0.2</v>
      </c>
      <c r="P574" s="2299"/>
      <c r="Q574" s="2311"/>
      <c r="R574" s="2312"/>
      <c r="S574" s="2335" t="s">
        <v>1935</v>
      </c>
      <c r="T574" s="2335"/>
      <c r="U574" s="2310">
        <v>10</v>
      </c>
      <c r="V574" s="2310"/>
      <c r="W574" s="2310">
        <v>15</v>
      </c>
      <c r="X574" s="2310"/>
      <c r="Y574" s="2310">
        <v>20</v>
      </c>
      <c r="Z574" s="2310"/>
      <c r="AA574" s="2310">
        <v>25</v>
      </c>
      <c r="AB574" s="2310"/>
      <c r="AC574" s="2310">
        <v>30</v>
      </c>
      <c r="AD574" s="2310"/>
      <c r="AE574" s="2313">
        <v>40</v>
      </c>
      <c r="AF574" s="2314"/>
      <c r="AN574" s="439"/>
      <c r="AP574" s="2417" t="str">
        <f t="shared" si="0"/>
        <v>4 BR</v>
      </c>
      <c r="AQ574" s="2418"/>
      <c r="AR574" s="2418"/>
      <c r="AS574" s="2418"/>
      <c r="AT574" s="2419"/>
      <c r="AU574" s="2412">
        <f t="shared" si="1"/>
        <v>0</v>
      </c>
      <c r="AV574" s="2413"/>
      <c r="AW574" s="2413"/>
      <c r="AX574" s="2413"/>
      <c r="AY574" s="2414"/>
      <c r="AZ574" s="2412">
        <f t="shared" si="2"/>
        <v>0</v>
      </c>
      <c r="BA574" s="2413"/>
      <c r="BB574" s="2413"/>
      <c r="BC574" s="2413"/>
      <c r="BD574" s="2414"/>
      <c r="BE574" s="1877">
        <f t="shared" si="3"/>
        <v>0</v>
      </c>
      <c r="BF574" s="1878"/>
      <c r="BG574" s="1878"/>
      <c r="BH574" s="1878"/>
      <c r="BI574" s="1879"/>
      <c r="BJ574" s="1891"/>
      <c r="BK574" s="2423"/>
      <c r="BL574" s="2423"/>
      <c r="BM574" s="2423"/>
      <c r="BN574" s="1892"/>
      <c r="BO574" s="1891">
        <f>IF(AND(AND(AZ573=0,BJ573=0,AP584=1)),1,0)</f>
        <v>0</v>
      </c>
      <c r="BP574" s="2423"/>
      <c r="BQ574" s="2423"/>
      <c r="BR574" s="2423"/>
      <c r="BS574" s="1892"/>
      <c r="BT574" s="1891"/>
      <c r="BU574" s="2423"/>
      <c r="BV574" s="2423"/>
      <c r="BW574" s="2423"/>
      <c r="BX574" s="1892"/>
      <c r="BY574" s="1891"/>
      <c r="BZ574" s="2423"/>
      <c r="CA574" s="2423"/>
      <c r="CB574" s="2423"/>
      <c r="CC574" s="1892"/>
      <c r="CD574" s="1891"/>
      <c r="CE574" s="2423"/>
      <c r="CF574" s="2423"/>
      <c r="CG574" s="2423"/>
      <c r="CH574" s="1892"/>
      <c r="CI574" s="1891"/>
      <c r="CJ574" s="2423"/>
      <c r="CK574" s="2423"/>
      <c r="CL574" s="2423"/>
      <c r="CM574" s="1892"/>
      <c r="CN574" s="65"/>
      <c r="CO574" s="65"/>
      <c r="CP574" s="65"/>
      <c r="CQ574" s="65"/>
      <c r="CR574" s="65"/>
    </row>
    <row r="575" spans="1:96" s="46" customFormat="1" ht="12.75" customHeight="1">
      <c r="A575" s="195"/>
      <c r="B575" s="8"/>
      <c r="C575" s="8"/>
      <c r="D575" s="8"/>
      <c r="E575" s="8"/>
      <c r="I575" s="2350"/>
      <c r="J575" s="2351"/>
      <c r="K575" s="2351"/>
      <c r="L575" s="2351"/>
      <c r="M575" s="2351"/>
      <c r="N575" s="2352"/>
      <c r="O575" s="2298">
        <v>0.15</v>
      </c>
      <c r="P575" s="2299"/>
      <c r="Q575" s="2311"/>
      <c r="R575" s="2312"/>
      <c r="S575" s="2318" t="s">
        <v>1933</v>
      </c>
      <c r="T575" s="2318"/>
      <c r="U575" s="2310">
        <v>7.5</v>
      </c>
      <c r="V575" s="2310"/>
      <c r="W575" s="2310">
        <v>11.3</v>
      </c>
      <c r="X575" s="2310"/>
      <c r="Y575" s="2310">
        <v>15</v>
      </c>
      <c r="Z575" s="2310"/>
      <c r="AA575" s="2310">
        <v>18.8</v>
      </c>
      <c r="AB575" s="2310"/>
      <c r="AC575" s="2310">
        <v>22.5</v>
      </c>
      <c r="AD575" s="2310"/>
      <c r="AE575" s="2313">
        <v>30</v>
      </c>
      <c r="AF575" s="2314"/>
      <c r="AK575" s="153"/>
      <c r="AL575" s="153"/>
      <c r="AM575" s="153"/>
      <c r="AN575" s="439"/>
      <c r="AP575" s="2417" t="str">
        <f t="shared" si="0"/>
        <v>3 BR</v>
      </c>
      <c r="AQ575" s="2418"/>
      <c r="AR575" s="2418"/>
      <c r="AS575" s="2418"/>
      <c r="AT575" s="2419"/>
      <c r="AU575" s="2412">
        <f t="shared" si="1"/>
        <v>29</v>
      </c>
      <c r="AV575" s="2413"/>
      <c r="AW575" s="2413"/>
      <c r="AX575" s="2413"/>
      <c r="AY575" s="2414"/>
      <c r="AZ575" s="2412">
        <f t="shared" si="2"/>
        <v>3</v>
      </c>
      <c r="BA575" s="2413"/>
      <c r="BB575" s="2413"/>
      <c r="BC575" s="2413"/>
      <c r="BD575" s="2414"/>
      <c r="BE575" s="1877">
        <f t="shared" si="3"/>
        <v>0.10344827586206896</v>
      </c>
      <c r="BF575" s="1878"/>
      <c r="BG575" s="1878"/>
      <c r="BH575" s="1878"/>
      <c r="BI575" s="1879"/>
      <c r="BJ575" s="1891"/>
      <c r="BK575" s="2423"/>
      <c r="BL575" s="2423"/>
      <c r="BM575" s="2423"/>
      <c r="BN575" s="1892"/>
      <c r="BO575" s="1891"/>
      <c r="BP575" s="2423"/>
      <c r="BQ575" s="2423"/>
      <c r="BR575" s="2423"/>
      <c r="BS575" s="1892"/>
      <c r="BT575" s="1891">
        <f>IF(AND(AND(AZ573+AZ574=0,BJ573+BO574=0,AP585=1)),1,0)</f>
        <v>0</v>
      </c>
      <c r="BU575" s="2423"/>
      <c r="BV575" s="2423"/>
      <c r="BW575" s="2423"/>
      <c r="BX575" s="1892"/>
      <c r="BY575" s="1891"/>
      <c r="BZ575" s="2423"/>
      <c r="CA575" s="2423"/>
      <c r="CB575" s="2423"/>
      <c r="CC575" s="1892"/>
      <c r="CD575" s="1891"/>
      <c r="CE575" s="2423"/>
      <c r="CF575" s="2423"/>
      <c r="CG575" s="2423"/>
      <c r="CH575" s="1892"/>
      <c r="CI575" s="1891"/>
      <c r="CJ575" s="2423"/>
      <c r="CK575" s="2423"/>
      <c r="CL575" s="2423"/>
      <c r="CM575" s="1892"/>
      <c r="CN575" s="65"/>
      <c r="CO575" s="65"/>
      <c r="CP575" s="65"/>
      <c r="CQ575" s="65"/>
      <c r="CR575" s="65"/>
    </row>
    <row r="576" spans="1:96" s="46" customFormat="1" ht="12.75" customHeight="1" thickBot="1">
      <c r="B576" s="8"/>
      <c r="C576" s="8"/>
      <c r="D576" s="8"/>
      <c r="E576" s="8"/>
      <c r="I576" s="2353"/>
      <c r="J576" s="2354"/>
      <c r="K576" s="2354"/>
      <c r="L576" s="2354"/>
      <c r="M576" s="2354"/>
      <c r="N576" s="2355"/>
      <c r="O576" s="2298">
        <v>0.1</v>
      </c>
      <c r="P576" s="2299"/>
      <c r="Q576" s="2333"/>
      <c r="R576" s="2334"/>
      <c r="S576" s="2318" t="s">
        <v>1934</v>
      </c>
      <c r="T576" s="2318"/>
      <c r="U576" s="2411">
        <v>5</v>
      </c>
      <c r="V576" s="2411"/>
      <c r="W576" s="2411">
        <v>7.5</v>
      </c>
      <c r="X576" s="2411"/>
      <c r="Y576" s="2411">
        <v>10</v>
      </c>
      <c r="Z576" s="2411"/>
      <c r="AA576" s="2411">
        <v>12.5</v>
      </c>
      <c r="AB576" s="2411"/>
      <c r="AC576" s="2411">
        <v>15</v>
      </c>
      <c r="AD576" s="2411"/>
      <c r="AE576" s="2570">
        <v>20</v>
      </c>
      <c r="AF576" s="2571"/>
      <c r="AK576" s="252"/>
      <c r="AL576" s="252"/>
      <c r="AM576" s="8"/>
      <c r="AN576" s="439"/>
      <c r="AP576" s="2417" t="str">
        <f t="shared" si="0"/>
        <v>2 BR</v>
      </c>
      <c r="AQ576" s="2418"/>
      <c r="AR576" s="2418"/>
      <c r="AS576" s="2418"/>
      <c r="AT576" s="2419"/>
      <c r="AU576" s="2412">
        <f t="shared" si="1"/>
        <v>29</v>
      </c>
      <c r="AV576" s="2413"/>
      <c r="AW576" s="2413"/>
      <c r="AX576" s="2413"/>
      <c r="AY576" s="2414"/>
      <c r="AZ576" s="2412">
        <f t="shared" si="2"/>
        <v>3</v>
      </c>
      <c r="BA576" s="2413"/>
      <c r="BB576" s="2413"/>
      <c r="BC576" s="2413"/>
      <c r="BD576" s="2414"/>
      <c r="BE576" s="1877">
        <f t="shared" si="3"/>
        <v>0.10344827586206896</v>
      </c>
      <c r="BF576" s="1878"/>
      <c r="BG576" s="1878"/>
      <c r="BH576" s="1878"/>
      <c r="BI576" s="1879"/>
      <c r="BJ576" s="1891"/>
      <c r="BK576" s="2423"/>
      <c r="BL576" s="2423"/>
      <c r="BM576" s="2423"/>
      <c r="BN576" s="1892"/>
      <c r="BO576" s="1891"/>
      <c r="BP576" s="2423"/>
      <c r="BQ576" s="2423"/>
      <c r="BR576" s="2423"/>
      <c r="BS576" s="1892"/>
      <c r="BT576" s="1891"/>
      <c r="BU576" s="2423"/>
      <c r="BV576" s="2423"/>
      <c r="BW576" s="2423"/>
      <c r="BX576" s="1892"/>
      <c r="BY576" s="1891">
        <f>IF(AND(AND(AZ573+AZ574+AZ575=0,BO574+BT575+BJ573=0,AP586=1)),1,0)</f>
        <v>0</v>
      </c>
      <c r="BZ576" s="2423"/>
      <c r="CA576" s="2423"/>
      <c r="CB576" s="2423"/>
      <c r="CC576" s="1892"/>
      <c r="CD576" s="1891"/>
      <c r="CE576" s="2423"/>
      <c r="CF576" s="2423"/>
      <c r="CG576" s="2423"/>
      <c r="CH576" s="1892"/>
      <c r="CI576" s="1891"/>
      <c r="CJ576" s="2423"/>
      <c r="CK576" s="2423"/>
      <c r="CL576" s="2423"/>
      <c r="CM576" s="1892"/>
      <c r="CN576" s="65"/>
      <c r="CO576" s="65"/>
      <c r="CP576" s="65"/>
      <c r="CQ576" s="65"/>
      <c r="CR576" s="65"/>
    </row>
    <row r="577" spans="2:96" s="46" customFormat="1" ht="12.75" customHeight="1">
      <c r="B577" s="8"/>
      <c r="C577" s="8"/>
      <c r="D577" s="8"/>
      <c r="E577" s="1813" t="s">
        <v>1021</v>
      </c>
      <c r="F577" s="2159"/>
      <c r="G577" s="2159"/>
      <c r="H577" s="2159"/>
      <c r="I577" s="2159"/>
      <c r="J577" s="2159"/>
      <c r="K577" s="2159"/>
      <c r="L577" s="2159"/>
      <c r="M577" s="2159"/>
      <c r="N577" s="2159"/>
      <c r="O577" s="2159"/>
      <c r="P577" s="2159"/>
      <c r="Q577" s="2159"/>
      <c r="R577" s="2159"/>
      <c r="S577" s="2159"/>
      <c r="T577" s="2159"/>
      <c r="U577" s="2159"/>
      <c r="V577" s="2159"/>
      <c r="W577" s="2159"/>
      <c r="X577" s="2159"/>
      <c r="Y577" s="2159"/>
      <c r="Z577" s="2159"/>
      <c r="AA577" s="2159"/>
      <c r="AB577" s="2159"/>
      <c r="AC577" s="2159"/>
      <c r="AD577" s="2159"/>
      <c r="AE577" s="2159"/>
      <c r="AF577" s="2159"/>
      <c r="AG577" s="2159"/>
      <c r="AH577" s="2160"/>
      <c r="AK577" s="252"/>
      <c r="AL577" s="252"/>
      <c r="AM577" s="8"/>
      <c r="AN577" s="439"/>
      <c r="AP577" s="2417" t="str">
        <f t="shared" si="0"/>
        <v>1 BR</v>
      </c>
      <c r="AQ577" s="2418"/>
      <c r="AR577" s="2418"/>
      <c r="AS577" s="2418"/>
      <c r="AT577" s="2419"/>
      <c r="AU577" s="2412">
        <f t="shared" si="1"/>
        <v>54</v>
      </c>
      <c r="AV577" s="2413"/>
      <c r="AW577" s="2413"/>
      <c r="AX577" s="2413"/>
      <c r="AY577" s="2414"/>
      <c r="AZ577" s="2412">
        <f t="shared" si="2"/>
        <v>20</v>
      </c>
      <c r="BA577" s="2413"/>
      <c r="BB577" s="2413"/>
      <c r="BC577" s="2413"/>
      <c r="BD577" s="2414"/>
      <c r="BE577" s="1877">
        <f t="shared" si="3"/>
        <v>0.37037037037037035</v>
      </c>
      <c r="BF577" s="1878"/>
      <c r="BG577" s="1878"/>
      <c r="BH577" s="1878"/>
      <c r="BI577" s="1879"/>
      <c r="BJ577" s="1891"/>
      <c r="BK577" s="2423"/>
      <c r="BL577" s="2423"/>
      <c r="BM577" s="2423"/>
      <c r="BN577" s="1892"/>
      <c r="BO577" s="1891"/>
      <c r="BP577" s="2423"/>
      <c r="BQ577" s="2423"/>
      <c r="BR577" s="2423"/>
      <c r="BS577" s="1892"/>
      <c r="BT577" s="1891"/>
      <c r="BU577" s="2423"/>
      <c r="BV577" s="2423"/>
      <c r="BW577" s="2423"/>
      <c r="BX577" s="1892"/>
      <c r="BY577" s="1891"/>
      <c r="BZ577" s="2423"/>
      <c r="CA577" s="2423"/>
      <c r="CB577" s="2423"/>
      <c r="CC577" s="1892"/>
      <c r="CD577" s="1891">
        <f>IF(AND(AND(BE574+BE575+BE576+BE573=0,BT575+BY576+BO574+BJ573=0,AP587=1)),1,0)</f>
        <v>0</v>
      </c>
      <c r="CE577" s="2423"/>
      <c r="CF577" s="2423"/>
      <c r="CG577" s="2423"/>
      <c r="CH577" s="1892"/>
      <c r="CI577" s="1891"/>
      <c r="CJ577" s="2423"/>
      <c r="CK577" s="2423"/>
      <c r="CL577" s="2423"/>
      <c r="CM577" s="1892"/>
      <c r="CN577" s="65"/>
      <c r="CO577" s="65"/>
      <c r="CP577" s="65"/>
      <c r="CQ577" s="65"/>
      <c r="CR577" s="65"/>
    </row>
    <row r="578" spans="2:96" s="46" customFormat="1" ht="12.75" customHeight="1">
      <c r="E578" s="2539"/>
      <c r="F578" s="2164"/>
      <c r="G578" s="2164"/>
      <c r="H578" s="2164"/>
      <c r="I578" s="2164"/>
      <c r="J578" s="2164"/>
      <c r="K578" s="2164"/>
      <c r="L578" s="2164"/>
      <c r="M578" s="2164"/>
      <c r="N578" s="2164"/>
      <c r="O578" s="2164"/>
      <c r="P578" s="2164"/>
      <c r="Q578" s="2164"/>
      <c r="R578" s="2164"/>
      <c r="S578" s="2164"/>
      <c r="T578" s="2164"/>
      <c r="U578" s="2164"/>
      <c r="V578" s="2164"/>
      <c r="W578" s="2164"/>
      <c r="X578" s="2164"/>
      <c r="Y578" s="2164"/>
      <c r="Z578" s="2164"/>
      <c r="AA578" s="2164"/>
      <c r="AB578" s="2164"/>
      <c r="AC578" s="2164"/>
      <c r="AD578" s="2164"/>
      <c r="AE578" s="2164"/>
      <c r="AF578" s="2164"/>
      <c r="AG578" s="2164"/>
      <c r="AH578" s="2540"/>
      <c r="AN578" s="439"/>
      <c r="AP578" s="2417" t="str">
        <f t="shared" si="0"/>
        <v>SRO</v>
      </c>
      <c r="AQ578" s="2418"/>
      <c r="AR578" s="2418"/>
      <c r="AS578" s="2418"/>
      <c r="AT578" s="2419"/>
      <c r="AU578" s="2412">
        <f t="shared" si="1"/>
        <v>0</v>
      </c>
      <c r="AV578" s="2413"/>
      <c r="AW578" s="2413"/>
      <c r="AX578" s="2413"/>
      <c r="AY578" s="2414"/>
      <c r="AZ578" s="2412">
        <f t="shared" si="2"/>
        <v>0</v>
      </c>
      <c r="BA578" s="2413"/>
      <c r="BB578" s="2413"/>
      <c r="BC578" s="2413"/>
      <c r="BD578" s="2414"/>
      <c r="BE578" s="1877">
        <f t="shared" si="3"/>
        <v>0</v>
      </c>
      <c r="BF578" s="1878"/>
      <c r="BG578" s="1878"/>
      <c r="BH578" s="1878"/>
      <c r="BI578" s="1879"/>
      <c r="BJ578" s="1891"/>
      <c r="BK578" s="2423"/>
      <c r="BL578" s="2423"/>
      <c r="BM578" s="2423"/>
      <c r="BN578" s="1892"/>
      <c r="BO578" s="1891"/>
      <c r="BP578" s="2423"/>
      <c r="BQ578" s="2423"/>
      <c r="BR578" s="2423"/>
      <c r="BS578" s="1892"/>
      <c r="BT578" s="1891"/>
      <c r="BU578" s="2423"/>
      <c r="BV578" s="2423"/>
      <c r="BW578" s="2423"/>
      <c r="BX578" s="1892"/>
      <c r="BY578" s="1891"/>
      <c r="BZ578" s="2423"/>
      <c r="CA578" s="2423"/>
      <c r="CB578" s="2423"/>
      <c r="CC578" s="1892"/>
      <c r="CD578" s="1891"/>
      <c r="CE578" s="2423"/>
      <c r="CF578" s="2423"/>
      <c r="CG578" s="2423"/>
      <c r="CH578" s="1892"/>
      <c r="CI578" s="1891">
        <f>IF(AND(AND(AZ575+AZ576+AZ577+AZ574+AZ573=0,BY576+CD577+BT575+BO574+BJ573=0,AP588=1)),1,0)</f>
        <v>0</v>
      </c>
      <c r="CJ578" s="2423"/>
      <c r="CK578" s="2423"/>
      <c r="CL578" s="2423"/>
      <c r="CM578" s="1892"/>
      <c r="CN578" s="65"/>
      <c r="CO578" s="65"/>
      <c r="CP578" s="65"/>
      <c r="CQ578" s="65"/>
      <c r="CR578" s="65"/>
    </row>
    <row r="579" spans="2:96" s="46" customFormat="1" ht="12.75" customHeight="1">
      <c r="E579" s="2572" t="s">
        <v>1645</v>
      </c>
      <c r="F579" s="2573"/>
      <c r="G579" s="2573"/>
      <c r="H579" s="2573"/>
      <c r="I579" s="2573"/>
      <c r="J579" s="2574"/>
      <c r="K579" s="2572" t="s">
        <v>1926</v>
      </c>
      <c r="L579" s="2573"/>
      <c r="M579" s="2573"/>
      <c r="N579" s="2573"/>
      <c r="O579" s="2573"/>
      <c r="P579" s="2574"/>
      <c r="Q579" s="2531" t="s">
        <v>1641</v>
      </c>
      <c r="R579" s="2532"/>
      <c r="S579" s="2532"/>
      <c r="T579" s="2532"/>
      <c r="U579" s="2532"/>
      <c r="V579" s="2533"/>
      <c r="W579" s="2531" t="str">
        <f>I568</f>
        <v>Percent of Low-Income Units (exclusive of manager’s units)</v>
      </c>
      <c r="X579" s="2532"/>
      <c r="Y579" s="2532"/>
      <c r="Z579" s="2532"/>
      <c r="AA579" s="2532"/>
      <c r="AB579" s="2533"/>
      <c r="AC579" s="2531" t="s">
        <v>1644</v>
      </c>
      <c r="AD579" s="2532"/>
      <c r="AE579" s="2532"/>
      <c r="AF579" s="2532"/>
      <c r="AG579" s="2532"/>
      <c r="AH579" s="2533"/>
      <c r="AN579" s="439"/>
      <c r="AP579" s="2417" t="str">
        <f t="shared" si="0"/>
        <v>Total:</v>
      </c>
      <c r="AQ579" s="2418"/>
      <c r="AR579" s="2418"/>
      <c r="AS579" s="2418"/>
      <c r="AT579" s="2419"/>
      <c r="AU579" s="2417"/>
      <c r="AV579" s="2418"/>
      <c r="AW579" s="2418"/>
      <c r="AX579" s="2418"/>
      <c r="AY579" s="2419"/>
      <c r="AZ579" s="2417"/>
      <c r="BA579" s="2418"/>
      <c r="BB579" s="2418"/>
      <c r="BC579" s="2418"/>
      <c r="BD579" s="2419"/>
      <c r="BE579" s="2417"/>
      <c r="BF579" s="2418"/>
      <c r="BG579" s="2418"/>
      <c r="BH579" s="2418"/>
      <c r="BI579" s="2419"/>
      <c r="BJ579" s="1891">
        <f>SUM(BJ573:BN578)</f>
        <v>0</v>
      </c>
      <c r="BK579" s="2423"/>
      <c r="BL579" s="2423"/>
      <c r="BM579" s="2423"/>
      <c r="BN579" s="1892"/>
      <c r="BO579" s="1891">
        <f>SUM(BO573:BS578)</f>
        <v>0</v>
      </c>
      <c r="BP579" s="2423"/>
      <c r="BQ579" s="2423"/>
      <c r="BR579" s="2423"/>
      <c r="BS579" s="1892"/>
      <c r="BT579" s="1891">
        <f>SUM(BT573:BX578)</f>
        <v>0</v>
      </c>
      <c r="BU579" s="2423"/>
      <c r="BV579" s="2423"/>
      <c r="BW579" s="2423"/>
      <c r="BX579" s="1892"/>
      <c r="BY579" s="1891">
        <f>SUM(BY573:CC578)</f>
        <v>0</v>
      </c>
      <c r="BZ579" s="2423"/>
      <c r="CA579" s="2423"/>
      <c r="CB579" s="2423"/>
      <c r="CC579" s="1892"/>
      <c r="CD579" s="1891">
        <f>SUM(CD573:CH578)</f>
        <v>0</v>
      </c>
      <c r="CE579" s="2423"/>
      <c r="CF579" s="2423"/>
      <c r="CG579" s="2423"/>
      <c r="CH579" s="1892"/>
      <c r="CI579" s="1891">
        <f>SUM(CI573:CM578)</f>
        <v>0</v>
      </c>
      <c r="CJ579" s="2423"/>
      <c r="CK579" s="2423"/>
      <c r="CL579" s="2423"/>
      <c r="CM579" s="1892"/>
      <c r="CN579" s="1891">
        <f>SUM(BJ579:CM579)</f>
        <v>0</v>
      </c>
      <c r="CO579" s="2423"/>
      <c r="CP579" s="2423"/>
      <c r="CQ579" s="2423"/>
      <c r="CR579" s="1892"/>
    </row>
    <row r="580" spans="2:96" s="46" customFormat="1" ht="12.75" customHeight="1">
      <c r="E580" s="2575"/>
      <c r="F580" s="2576"/>
      <c r="G580" s="2576"/>
      <c r="H580" s="2576"/>
      <c r="I580" s="2576"/>
      <c r="J580" s="2577"/>
      <c r="K580" s="2575"/>
      <c r="L580" s="2576"/>
      <c r="M580" s="2576"/>
      <c r="N580" s="2576"/>
      <c r="O580" s="2576"/>
      <c r="P580" s="2577"/>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5"/>
      <c r="F581" s="2576"/>
      <c r="G581" s="2576"/>
      <c r="H581" s="2576"/>
      <c r="I581" s="2576"/>
      <c r="J581" s="2577"/>
      <c r="K581" s="2575"/>
      <c r="L581" s="2576"/>
      <c r="M581" s="2576"/>
      <c r="N581" s="2576"/>
      <c r="O581" s="2576"/>
      <c r="P581" s="2577"/>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5"/>
      <c r="F582" s="2576"/>
      <c r="G582" s="2576"/>
      <c r="H582" s="2576"/>
      <c r="I582" s="2576"/>
      <c r="J582" s="2577"/>
      <c r="K582" s="2575"/>
      <c r="L582" s="2576"/>
      <c r="M582" s="2576"/>
      <c r="N582" s="2576"/>
      <c r="O582" s="2576"/>
      <c r="P582" s="2577"/>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1217</v>
      </c>
      <c r="BH582" s="63" t="s">
        <v>1218</v>
      </c>
    </row>
    <row r="583" spans="2:96" s="46" customFormat="1" ht="12.75" customHeight="1">
      <c r="E583" s="2304"/>
      <c r="F583" s="2305"/>
      <c r="G583" s="2305"/>
      <c r="H583" s="2305"/>
      <c r="I583" s="2305"/>
      <c r="J583" s="2306"/>
      <c r="K583" s="2301">
        <v>20</v>
      </c>
      <c r="L583" s="2302"/>
      <c r="M583" s="2302"/>
      <c r="N583" s="2302"/>
      <c r="O583" s="2302"/>
      <c r="P583" s="2303"/>
      <c r="Q583" s="2315">
        <f>IF(ISERROR(IF((((E583/$BJ$530)*100)&gt;100),"EXCESSIVE VALUE",(E583/$BJ$530)*100)),0,IF((((E583/$BJ$530)*100)&gt;100),"EXCESSIVE VALUE",(E583/$BJ$530)*100))</f>
        <v>0</v>
      </c>
      <c r="R583" s="2316"/>
      <c r="S583" s="2316"/>
      <c r="T583" s="2316"/>
      <c r="U583" s="2316"/>
      <c r="V583" s="2317"/>
      <c r="W583" s="2307">
        <f>IF(FLOOR(Q583,5)&gt;80,80,FLOOR(Q583,5))</f>
        <v>0</v>
      </c>
      <c r="X583" s="2308"/>
      <c r="Y583" s="2308"/>
      <c r="Z583" s="2308"/>
      <c r="AA583" s="2308"/>
      <c r="AB583" s="2309"/>
      <c r="AC583" s="2307">
        <f t="shared" ref="AC583:AC588" si="4">IFERROR(IF(W583&gt;0,INDEX($BI$509:$BP$523,MATCH(W583,$BH$509:$BH$523,0),MATCH(K583,$BI$508:$BP$508,0)),0),0)</f>
        <v>0</v>
      </c>
      <c r="AD583" s="2308"/>
      <c r="AE583" s="2308"/>
      <c r="AF583" s="2308"/>
      <c r="AG583" s="2308"/>
      <c r="AH583" s="2309"/>
      <c r="AN583" s="439"/>
      <c r="AO583" s="46">
        <v>5</v>
      </c>
      <c r="AP583" s="2436">
        <f t="shared" ref="AP583:AP588" si="5">IF(OR(BE573&gt;=0.1,BE573=0),0,1)</f>
        <v>0</v>
      </c>
      <c r="AQ583" s="2437"/>
      <c r="AR583" s="2437"/>
      <c r="AS583" s="2437"/>
      <c r="AT583" s="2438"/>
      <c r="AX583" s="2409" t="s">
        <v>861</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10"/>
    </row>
    <row r="584" spans="2:96" s="46" customFormat="1" ht="12.75" customHeight="1">
      <c r="E584" s="2304">
        <v>26</v>
      </c>
      <c r="F584" s="2305"/>
      <c r="G584" s="2305"/>
      <c r="H584" s="2305"/>
      <c r="I584" s="2305"/>
      <c r="J584" s="2306"/>
      <c r="K584" s="2301">
        <v>30</v>
      </c>
      <c r="L584" s="2302"/>
      <c r="M584" s="2302"/>
      <c r="N584" s="2302"/>
      <c r="O584" s="2302"/>
      <c r="P584" s="2303"/>
      <c r="Q584" s="2315">
        <f t="shared" ref="Q584:Q591" si="6">IF(ISERROR(IF((((E584/$BJ$530)*100)&gt;100),"EXCESSIVE VALUE",(E584/$BJ$530)*100)),0,IF((((E584/$BJ$530)*100)&gt;100),"EXCESSIVE VALUE",(E584/$BJ$530)*100))</f>
        <v>23.214285714285715</v>
      </c>
      <c r="R584" s="2316"/>
      <c r="S584" s="2316"/>
      <c r="T584" s="2316"/>
      <c r="U584" s="2316"/>
      <c r="V584" s="2317"/>
      <c r="W584" s="2307">
        <f>IF(FLOOR(Q584,5)&gt;80,80,FLOOR(Q584,5))</f>
        <v>20</v>
      </c>
      <c r="X584" s="2308"/>
      <c r="Y584" s="2308"/>
      <c r="Z584" s="2308"/>
      <c r="AA584" s="2308"/>
      <c r="AB584" s="2309"/>
      <c r="AC584" s="2307">
        <f t="shared" si="4"/>
        <v>30</v>
      </c>
      <c r="AD584" s="2308"/>
      <c r="AE584" s="2308"/>
      <c r="AF584" s="2308"/>
      <c r="AG584" s="2308"/>
      <c r="AH584" s="2309"/>
      <c r="AN584" s="439"/>
      <c r="AO584" s="46">
        <v>4</v>
      </c>
      <c r="AP584" s="2436">
        <f t="shared" si="5"/>
        <v>0</v>
      </c>
      <c r="AQ584" s="2437"/>
      <c r="AR584" s="2437"/>
      <c r="AS584" s="2437"/>
      <c r="AT584" s="2438"/>
      <c r="AX584" s="2434" t="s">
        <v>677</v>
      </c>
      <c r="AY584" s="2435"/>
      <c r="AZ584" s="1806" t="s">
        <v>677</v>
      </c>
      <c r="BA584" s="1807"/>
      <c r="BB584" s="2434" t="s">
        <v>291</v>
      </c>
      <c r="BC584" s="2435"/>
      <c r="BD584" s="2424" t="s">
        <v>291</v>
      </c>
      <c r="BE584" s="2426"/>
      <c r="BF584" s="2434" t="s">
        <v>290</v>
      </c>
      <c r="BG584" s="2435"/>
      <c r="BH584" s="2424" t="s">
        <v>290</v>
      </c>
      <c r="BI584" s="2426"/>
      <c r="BJ584" s="2434" t="s">
        <v>289</v>
      </c>
      <c r="BK584" s="2435"/>
      <c r="BL584" s="2424" t="s">
        <v>289</v>
      </c>
      <c r="BM584" s="2426"/>
      <c r="BN584" s="2434" t="s">
        <v>676</v>
      </c>
      <c r="BO584" s="2435"/>
      <c r="BP584" s="2424" t="s">
        <v>676</v>
      </c>
      <c r="BQ584" s="2426"/>
    </row>
    <row r="585" spans="2:96" s="46" customFormat="1" ht="12.75" customHeight="1">
      <c r="E585" s="2304"/>
      <c r="F585" s="2305"/>
      <c r="G585" s="2305"/>
      <c r="H585" s="2305"/>
      <c r="I585" s="2305"/>
      <c r="J585" s="2306"/>
      <c r="K585" s="2301">
        <v>35</v>
      </c>
      <c r="L585" s="2302"/>
      <c r="M585" s="2302"/>
      <c r="N585" s="2302"/>
      <c r="O585" s="2302"/>
      <c r="P585" s="2303"/>
      <c r="Q585" s="2315">
        <f t="shared" si="6"/>
        <v>0</v>
      </c>
      <c r="R585" s="2316"/>
      <c r="S585" s="2316"/>
      <c r="T585" s="2316"/>
      <c r="U585" s="2316"/>
      <c r="V585" s="2317"/>
      <c r="W585" s="2307">
        <f t="shared" ref="W585:W591" si="7">IF(FLOOR(Q585,5)&gt;80,80,FLOOR(Q585,5))</f>
        <v>0</v>
      </c>
      <c r="X585" s="2308"/>
      <c r="Y585" s="2308"/>
      <c r="Z585" s="2308"/>
      <c r="AA585" s="2308"/>
      <c r="AB585" s="2309"/>
      <c r="AC585" s="2307">
        <f t="shared" si="4"/>
        <v>0</v>
      </c>
      <c r="AD585" s="2308"/>
      <c r="AE585" s="2308"/>
      <c r="AF585" s="2308"/>
      <c r="AG585" s="2308"/>
      <c r="AH585" s="2309"/>
      <c r="AN585" s="439"/>
      <c r="AO585" s="137">
        <v>3</v>
      </c>
      <c r="AP585" s="2301">
        <f t="shared" si="5"/>
        <v>0</v>
      </c>
      <c r="AQ585" s="2302"/>
      <c r="AR585" s="2302"/>
      <c r="AS585" s="2302"/>
      <c r="AT585" s="2303"/>
      <c r="AX585" s="2434">
        <f>IF(AP535=1,1,0)</f>
        <v>0</v>
      </c>
      <c r="AY585" s="2435"/>
      <c r="AZ585" s="2409"/>
      <c r="BA585" s="2410"/>
      <c r="BB585" s="2432"/>
      <c r="BC585" s="2433"/>
      <c r="BD585" s="2424">
        <f>IF(AND(T608&gt;0,AP535&gt;0),1,0)</f>
        <v>0</v>
      </c>
      <c r="BE585" s="2426"/>
      <c r="BF585" s="2432"/>
      <c r="BG585" s="2433"/>
      <c r="BH585" s="2424">
        <f>IF(AND(T608&gt;0,AP535&gt;0),1,0)</f>
        <v>0</v>
      </c>
      <c r="BI585" s="2426"/>
      <c r="BJ585" s="2432"/>
      <c r="BK585" s="2433"/>
      <c r="BL585" s="2424">
        <f>IF(AND(T608&gt;0,AP535&gt;0),1,0)</f>
        <v>0</v>
      </c>
      <c r="BM585" s="2426"/>
      <c r="BN585" s="2432"/>
      <c r="BO585" s="2433"/>
      <c r="BP585" s="2424">
        <f>IF(AND(T608&gt;0,AP535&gt;0),1,0)</f>
        <v>0</v>
      </c>
      <c r="BQ585" s="2426"/>
    </row>
    <row r="586" spans="2:96" s="46" customFormat="1" ht="12.75" customHeight="1">
      <c r="E586" s="2304">
        <v>8</v>
      </c>
      <c r="F586" s="2305"/>
      <c r="G586" s="2305"/>
      <c r="H586" s="2305"/>
      <c r="I586" s="2305"/>
      <c r="J586" s="2306"/>
      <c r="K586" s="2301">
        <v>40</v>
      </c>
      <c r="L586" s="2302"/>
      <c r="M586" s="2302"/>
      <c r="N586" s="2302"/>
      <c r="O586" s="2302"/>
      <c r="P586" s="2303"/>
      <c r="Q586" s="2315">
        <f t="shared" si="6"/>
        <v>7.1428571428571423</v>
      </c>
      <c r="R586" s="2316"/>
      <c r="S586" s="2316"/>
      <c r="T586" s="2316"/>
      <c r="U586" s="2316"/>
      <c r="V586" s="2317"/>
      <c r="W586" s="2307">
        <f t="shared" si="7"/>
        <v>5</v>
      </c>
      <c r="X586" s="2308"/>
      <c r="Y586" s="2308"/>
      <c r="Z586" s="2308"/>
      <c r="AA586" s="2308"/>
      <c r="AB586" s="2309"/>
      <c r="AC586" s="2307">
        <f t="shared" si="4"/>
        <v>0</v>
      </c>
      <c r="AD586" s="2308"/>
      <c r="AE586" s="2308"/>
      <c r="AF586" s="2308"/>
      <c r="AG586" s="2308"/>
      <c r="AH586" s="2309"/>
      <c r="AN586" s="439"/>
      <c r="AO586" s="46">
        <v>2</v>
      </c>
      <c r="AP586" s="2436">
        <f t="shared" si="5"/>
        <v>0</v>
      </c>
      <c r="AQ586" s="2437"/>
      <c r="AR586" s="2437"/>
      <c r="AS586" s="2437"/>
      <c r="AT586" s="2438"/>
      <c r="AX586" s="2432"/>
      <c r="AY586" s="2433"/>
      <c r="AZ586" s="2409"/>
      <c r="BA586" s="2410"/>
      <c r="BB586" s="2434">
        <f>IF(AP536=1,1,0)</f>
        <v>0</v>
      </c>
      <c r="BC586" s="2435"/>
      <c r="BD586" s="2409"/>
      <c r="BE586" s="2410"/>
      <c r="BF586" s="2432"/>
      <c r="BG586" s="2433"/>
      <c r="BH586" s="2424">
        <f>IF(AND(T609&gt;0,AP536&gt;0),1,0)</f>
        <v>1</v>
      </c>
      <c r="BI586" s="2426"/>
      <c r="BJ586" s="2432"/>
      <c r="BK586" s="2433"/>
      <c r="BL586" s="2424">
        <f>IF(AND(T609&gt;0,AP536&gt;0),1,0)</f>
        <v>1</v>
      </c>
      <c r="BM586" s="2426"/>
      <c r="BN586" s="2432"/>
      <c r="BO586" s="2433"/>
      <c r="BP586" s="2424">
        <f>IF(AND(T609&gt;0,AP536&gt;0),1,0)</f>
        <v>1</v>
      </c>
      <c r="BQ586" s="2426"/>
    </row>
    <row r="587" spans="2:96" s="46" customFormat="1" ht="12.75" customHeight="1">
      <c r="E587" s="2304"/>
      <c r="F587" s="2305"/>
      <c r="G587" s="2305"/>
      <c r="H587" s="2305"/>
      <c r="I587" s="2305"/>
      <c r="J587" s="2306"/>
      <c r="K587" s="2301">
        <v>45</v>
      </c>
      <c r="L587" s="2302"/>
      <c r="M587" s="2302"/>
      <c r="N587" s="2302"/>
      <c r="O587" s="2302"/>
      <c r="P587" s="2303"/>
      <c r="Q587" s="2315">
        <f t="shared" si="6"/>
        <v>0</v>
      </c>
      <c r="R587" s="2316"/>
      <c r="S587" s="2316"/>
      <c r="T587" s="2316"/>
      <c r="U587" s="2316"/>
      <c r="V587" s="2317"/>
      <c r="W587" s="2307">
        <f>IF(FLOOR(Q587,5)&gt;65,65,FLOOR(Q587,5))</f>
        <v>0</v>
      </c>
      <c r="X587" s="2308"/>
      <c r="Y587" s="2308"/>
      <c r="Z587" s="2308"/>
      <c r="AA587" s="2308"/>
      <c r="AB587" s="2309"/>
      <c r="AC587" s="2307">
        <f t="shared" si="4"/>
        <v>0</v>
      </c>
      <c r="AD587" s="2308"/>
      <c r="AE587" s="2308"/>
      <c r="AF587" s="2308"/>
      <c r="AG587" s="2308"/>
      <c r="AH587" s="2309"/>
      <c r="AN587" s="439"/>
      <c r="AO587" s="46">
        <v>1</v>
      </c>
      <c r="AP587" s="2436">
        <f t="shared" si="5"/>
        <v>0</v>
      </c>
      <c r="AQ587" s="2437"/>
      <c r="AR587" s="2437"/>
      <c r="AS587" s="2437"/>
      <c r="AT587" s="2438"/>
      <c r="AX587" s="2432"/>
      <c r="AY587" s="2433"/>
      <c r="AZ587" s="2409"/>
      <c r="BA587" s="2410"/>
      <c r="BB587" s="2432"/>
      <c r="BC587" s="2433"/>
      <c r="BD587" s="2409"/>
      <c r="BE587" s="2410"/>
      <c r="BF587" s="2434">
        <f>IF(AP537=1,1,0)</f>
        <v>0</v>
      </c>
      <c r="BG587" s="2435"/>
      <c r="BH587" s="2409"/>
      <c r="BI587" s="2410"/>
      <c r="BJ587" s="2432"/>
      <c r="BK587" s="2433"/>
      <c r="BL587" s="2424">
        <f>IF(AND(T610&gt;0,AP537&gt;0),1,0)</f>
        <v>1</v>
      </c>
      <c r="BM587" s="2426"/>
      <c r="BN587" s="2432"/>
      <c r="BO587" s="2433"/>
      <c r="BP587" s="2424">
        <f>IF(AND(T610&gt;0,AP537&gt;0),1,0)</f>
        <v>1</v>
      </c>
      <c r="BQ587" s="2426"/>
    </row>
    <row r="588" spans="2:96" s="46" customFormat="1" ht="12.75" customHeight="1">
      <c r="E588" s="2304">
        <v>46</v>
      </c>
      <c r="F588" s="2305"/>
      <c r="G588" s="2305"/>
      <c r="H588" s="2305"/>
      <c r="I588" s="2305"/>
      <c r="J588" s="2306"/>
      <c r="K588" s="2301">
        <v>50</v>
      </c>
      <c r="L588" s="2302"/>
      <c r="M588" s="2302"/>
      <c r="N588" s="2302"/>
      <c r="O588" s="2302"/>
      <c r="P588" s="2303"/>
      <c r="Q588" s="2315">
        <f t="shared" si="6"/>
        <v>41.071428571428569</v>
      </c>
      <c r="R588" s="2316"/>
      <c r="S588" s="2316"/>
      <c r="T588" s="2316"/>
      <c r="U588" s="2316"/>
      <c r="V588" s="2317"/>
      <c r="W588" s="2307">
        <f>IF(FLOOR(Q588,5)&gt;40,40,FLOOR(Q588,5))</f>
        <v>40</v>
      </c>
      <c r="X588" s="2308"/>
      <c r="Y588" s="2308"/>
      <c r="Z588" s="2308"/>
      <c r="AA588" s="2308"/>
      <c r="AB588" s="2309"/>
      <c r="AC588" s="2307">
        <f t="shared" si="4"/>
        <v>20</v>
      </c>
      <c r="AD588" s="2308"/>
      <c r="AE588" s="2308"/>
      <c r="AF588" s="2308"/>
      <c r="AG588" s="2308"/>
      <c r="AH588" s="2309"/>
      <c r="AN588" s="439"/>
      <c r="AO588" s="46">
        <v>0</v>
      </c>
      <c r="AP588" s="2436">
        <f t="shared" si="5"/>
        <v>0</v>
      </c>
      <c r="AQ588" s="2437"/>
      <c r="AR588" s="2437"/>
      <c r="AS588" s="2437"/>
      <c r="AT588" s="2438"/>
      <c r="AX588" s="2432"/>
      <c r="AY588" s="2433"/>
      <c r="AZ588" s="2409"/>
      <c r="BA588" s="2410"/>
      <c r="BB588" s="2432"/>
      <c r="BC588" s="2433"/>
      <c r="BD588" s="2409"/>
      <c r="BE588" s="2410"/>
      <c r="BF588" s="2432"/>
      <c r="BG588" s="2433"/>
      <c r="BH588" s="2409"/>
      <c r="BI588" s="2410"/>
      <c r="BJ588" s="2434">
        <f>IF(AP538=1,1,0)</f>
        <v>1</v>
      </c>
      <c r="BK588" s="2435"/>
      <c r="BL588" s="2432"/>
      <c r="BM588" s="2433"/>
      <c r="BN588" s="2432"/>
      <c r="BO588" s="2433"/>
      <c r="BP588" s="2424">
        <f>IF(AND(T611&gt;0,AP538&gt;0),1,0)</f>
        <v>1</v>
      </c>
      <c r="BQ588" s="2426"/>
    </row>
    <row r="589" spans="2:96" s="46" customFormat="1" ht="12.75" customHeight="1">
      <c r="E589" s="2401"/>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0</v>
      </c>
      <c r="L589" s="2398"/>
      <c r="M589" s="2399" t="s">
        <v>2026</v>
      </c>
      <c r="N589" s="2399"/>
      <c r="O589" s="2399"/>
      <c r="P589" s="2400"/>
      <c r="Q589" s="2315">
        <f t="shared" si="6"/>
        <v>0</v>
      </c>
      <c r="R589" s="2316"/>
      <c r="S589" s="2316"/>
      <c r="T589" s="2316"/>
      <c r="U589" s="2316"/>
      <c r="V589" s="2317"/>
      <c r="W589" s="2307">
        <f>IF(FLOOR(Q589,5)&gt;50,50,FLOOR(Q589,5))</f>
        <v>0</v>
      </c>
      <c r="X589" s="2308"/>
      <c r="Y589" s="2308"/>
      <c r="Z589" s="2308"/>
      <c r="AA589" s="2308"/>
      <c r="AB589" s="2309"/>
      <c r="AC589" s="2307">
        <f>IFERROR(IF(W589&gt;0,INDEX($AT$509:$BA$523,MATCH(W589,$AS$509:$AS$523,0),MATCH(K589,$AT$508:$BA$508,0)),0),0)</f>
        <v>0</v>
      </c>
      <c r="AD589" s="2308"/>
      <c r="AE589" s="2308"/>
      <c r="AF589" s="2308"/>
      <c r="AG589" s="2308"/>
      <c r="AH589" s="2309"/>
      <c r="AN589" s="439"/>
      <c r="AP589" s="2436"/>
      <c r="AQ589" s="2437"/>
      <c r="AR589" s="2437"/>
      <c r="AS589" s="2437"/>
      <c r="AT589" s="2438"/>
      <c r="AX589" s="2432"/>
      <c r="AY589" s="2433"/>
      <c r="AZ589" s="2409"/>
      <c r="BA589" s="2410"/>
      <c r="BB589" s="2432"/>
      <c r="BC589" s="2433"/>
      <c r="BD589" s="2409"/>
      <c r="BE589" s="2410"/>
      <c r="BF589" s="2432"/>
      <c r="BG589" s="2433"/>
      <c r="BH589" s="2409"/>
      <c r="BI589" s="2410"/>
      <c r="BJ589" s="2432"/>
      <c r="BK589" s="2433"/>
      <c r="BL589" s="2432"/>
      <c r="BM589" s="2433"/>
      <c r="BN589" s="2434">
        <f>IF(AP539=1,1,0)</f>
        <v>0</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0</v>
      </c>
      <c r="L590" s="2398"/>
      <c r="M590" s="2399" t="s">
        <v>2026</v>
      </c>
      <c r="N590" s="2399"/>
      <c r="O590" s="2399"/>
      <c r="P590" s="2400"/>
      <c r="Q590" s="2315">
        <f t="shared" si="6"/>
        <v>0</v>
      </c>
      <c r="R590" s="2316"/>
      <c r="S590" s="2316"/>
      <c r="T590" s="2316"/>
      <c r="U590" s="2316"/>
      <c r="V590" s="2317"/>
      <c r="W590" s="2307">
        <f>IF(FLOOR(Q590,5)&gt;40,40,FLOOR(Q590,5))</f>
        <v>0</v>
      </c>
      <c r="X590" s="2308"/>
      <c r="Y590" s="2308"/>
      <c r="Z590" s="2308"/>
      <c r="AA590" s="2308"/>
      <c r="AB590" s="2309"/>
      <c r="AC590" s="2307">
        <f>IFERROR(IF(W590&gt;0,INDEX($AT$509:$BA$523,MATCH(W590,$AS$509:$AS$523,0),MATCH(K590,$AT$508:$BA$508,0)),0),0)</f>
        <v>0</v>
      </c>
      <c r="AD590" s="2308"/>
      <c r="AE590" s="2308"/>
      <c r="AF590" s="2308"/>
      <c r="AG590" s="2308"/>
      <c r="AH590" s="2309"/>
      <c r="AN590" s="439"/>
      <c r="AX590" s="2434">
        <f>SUM(AX585:AY589)</f>
        <v>0</v>
      </c>
      <c r="AY590" s="2435"/>
      <c r="AZ590" s="2424">
        <f>SUM(AZ586:BA589)</f>
        <v>0</v>
      </c>
      <c r="BA590" s="2426"/>
      <c r="BB590" s="2434">
        <f>SUM(BB586:BC589)</f>
        <v>0</v>
      </c>
      <c r="BC590" s="2435"/>
      <c r="BD590" s="2424">
        <f>SUM(BD585:BE589)</f>
        <v>0</v>
      </c>
      <c r="BE590" s="2426"/>
      <c r="BF590" s="2434">
        <f>SUM(BF587:BG589)</f>
        <v>0</v>
      </c>
      <c r="BG590" s="2435"/>
      <c r="BH590" s="2424">
        <f>SUM(BH585:BI589)</f>
        <v>1</v>
      </c>
      <c r="BI590" s="2426"/>
      <c r="BJ590" s="2434">
        <f>SUM(BJ585:BK589)</f>
        <v>1</v>
      </c>
      <c r="BK590" s="2435"/>
      <c r="BL590" s="2424">
        <f>SUM(BL585:BM589)</f>
        <v>2</v>
      </c>
      <c r="BM590" s="2426"/>
      <c r="BN590" s="2434">
        <f>SUM(BN585:BO589)</f>
        <v>0</v>
      </c>
      <c r="BO590" s="2435"/>
      <c r="BP590" s="2424">
        <f>SUM(BP585:BQ589)</f>
        <v>3</v>
      </c>
      <c r="BQ590" s="2426"/>
    </row>
    <row r="591" spans="2:96" s="46" customFormat="1" ht="12.75" customHeight="1">
      <c r="E591" s="2304">
        <v>32</v>
      </c>
      <c r="F591" s="2305"/>
      <c r="G591" s="2305"/>
      <c r="H591" s="2305"/>
      <c r="I591" s="2305"/>
      <c r="J591" s="2306"/>
      <c r="K591" s="2301" t="s">
        <v>2027</v>
      </c>
      <c r="L591" s="2302"/>
      <c r="M591" s="2302"/>
      <c r="N591" s="2302"/>
      <c r="O591" s="2302"/>
      <c r="P591" s="2303"/>
      <c r="Q591" s="2315">
        <f t="shared" si="6"/>
        <v>28.571428571428569</v>
      </c>
      <c r="R591" s="2316"/>
      <c r="S591" s="2316"/>
      <c r="T591" s="2316"/>
      <c r="U591" s="2316"/>
      <c r="V591" s="2317"/>
      <c r="W591" s="2307">
        <f t="shared" si="7"/>
        <v>25</v>
      </c>
      <c r="X591" s="2308"/>
      <c r="Y591" s="2308"/>
      <c r="Z591" s="2308"/>
      <c r="AA591" s="2308"/>
      <c r="AB591" s="2309"/>
      <c r="AC591" s="2307">
        <v>0</v>
      </c>
      <c r="AD591" s="2308"/>
      <c r="AE591" s="2308"/>
      <c r="AF591" s="2308"/>
      <c r="AG591" s="2308"/>
      <c r="AH591" s="2309"/>
      <c r="AN591" s="439"/>
      <c r="AX591" s="2429">
        <f>IF(AND(AX590=1,AZ590&gt;1),1,0)</f>
        <v>0</v>
      </c>
      <c r="AY591" s="2430"/>
      <c r="AZ591" s="2430"/>
      <c r="BA591" s="2431"/>
      <c r="BB591" s="2429">
        <f>IF(AND(BB590=1,BD590&gt;=1),1,0)</f>
        <v>0</v>
      </c>
      <c r="BC591" s="2430"/>
      <c r="BD591" s="2430"/>
      <c r="BE591" s="2431"/>
      <c r="BF591" s="2429">
        <f>IF(AND(BF590=1,BH590&gt;=1),1,0)</f>
        <v>0</v>
      </c>
      <c r="BG591" s="2430"/>
      <c r="BH591" s="2430"/>
      <c r="BI591" s="2431"/>
      <c r="BJ591" s="2429">
        <f>IF(AND(BJ590=1,BL590&gt;=1),1,0)</f>
        <v>1</v>
      </c>
      <c r="BK591" s="2430"/>
      <c r="BL591" s="2430"/>
      <c r="BM591" s="2431"/>
      <c r="BN591" s="2429">
        <f>IF(AND(BN590=1,BP590&gt;=1),1,0)</f>
        <v>0</v>
      </c>
      <c r="BO591" s="2430"/>
      <c r="BP591" s="2430"/>
      <c r="BQ591" s="2431"/>
    </row>
    <row r="592" spans="2:96" s="46" customFormat="1" ht="12.75" customHeight="1">
      <c r="E592" s="2544">
        <f>SUM(E583:J591)</f>
        <v>112</v>
      </c>
      <c r="F592" s="2545"/>
      <c r="G592" s="2545"/>
      <c r="H592" s="2545"/>
      <c r="I592" s="2545"/>
      <c r="J592" s="2546"/>
      <c r="K592" s="260"/>
      <c r="L592" s="260"/>
      <c r="M592" s="260"/>
      <c r="N592" s="260"/>
      <c r="O592" s="260"/>
      <c r="P592" s="260"/>
      <c r="Q592" s="260"/>
      <c r="R592" s="260"/>
      <c r="S592" s="260"/>
      <c r="T592" s="260"/>
      <c r="U592" s="254"/>
      <c r="V592" s="254"/>
      <c r="W592" s="254"/>
      <c r="X592" s="254"/>
      <c r="Y592" s="254"/>
      <c r="Z592" s="260"/>
      <c r="AA592" s="254"/>
      <c r="AB592" s="100" t="s">
        <v>666</v>
      </c>
      <c r="AC592" s="2541">
        <f>IF(SUM(AC583:AH591)&gt;0,SUM(AC583:AH591),0)</f>
        <v>50</v>
      </c>
      <c r="AD592" s="2542"/>
      <c r="AE592" s="2542"/>
      <c r="AF592" s="2542"/>
      <c r="AG592" s="2542"/>
      <c r="AH592" s="2543"/>
      <c r="AK592" s="8"/>
      <c r="AL592" s="8"/>
      <c r="AM592" s="261"/>
      <c r="AN592" s="439"/>
      <c r="AX592" s="16"/>
      <c r="AY592" s="16"/>
      <c r="AZ592" s="16"/>
      <c r="BA592" s="16"/>
      <c r="BB592" s="16"/>
      <c r="BC592" s="16"/>
      <c r="BD592" s="16"/>
      <c r="BE592" s="16"/>
      <c r="BF592" s="16"/>
      <c r="BG592" s="16"/>
      <c r="BH592" s="16"/>
      <c r="BI592" s="240" t="s">
        <v>671</v>
      </c>
      <c r="BJ592" s="2429">
        <f>AX591+BB591+BF591+BJ591+BN591</f>
        <v>1</v>
      </c>
      <c r="BK592" s="2430"/>
      <c r="BL592" s="2430"/>
      <c r="BM592" s="243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22" t="s">
        <v>113</v>
      </c>
      <c r="AH595" s="2322"/>
      <c r="AI595" s="2322"/>
      <c r="AJ595" s="2322"/>
      <c r="AK595" s="8"/>
      <c r="AL595" s="8"/>
      <c r="AM595" s="8"/>
      <c r="AN595" s="439"/>
    </row>
    <row r="596" spans="1:69" s="46" customFormat="1" ht="12.75" customHeight="1">
      <c r="B596" s="2534" t="s">
        <v>2003</v>
      </c>
      <c r="C596" s="2534"/>
      <c r="D596" s="2534"/>
      <c r="E596" s="2534"/>
      <c r="F596" s="2534"/>
      <c r="G596" s="2534"/>
      <c r="H596" s="2534"/>
      <c r="I596" s="2534"/>
      <c r="J596" s="2534"/>
      <c r="K596" s="2534"/>
      <c r="L596" s="2534"/>
      <c r="M596" s="2534"/>
      <c r="N596" s="2534"/>
      <c r="O596" s="2534"/>
      <c r="P596" s="2534"/>
      <c r="Q596" s="2534"/>
      <c r="R596" s="2534"/>
      <c r="S596" s="2534"/>
      <c r="T596" s="2534"/>
      <c r="U596" s="2534"/>
      <c r="V596" s="2534"/>
      <c r="W596" s="2534"/>
      <c r="X596" s="2534"/>
      <c r="Y596" s="2534"/>
      <c r="Z596" s="2534"/>
      <c r="AA596" s="2534"/>
      <c r="AB596" s="2534"/>
      <c r="AC596" s="2534"/>
      <c r="AD596" s="2534"/>
      <c r="AE596" s="2534"/>
      <c r="AF596" s="2534"/>
      <c r="AG596" s="2534"/>
      <c r="AH596" s="2534"/>
      <c r="AI596" s="65"/>
      <c r="AJ596" s="65"/>
      <c r="AK596" s="16"/>
      <c r="AL596" s="16"/>
      <c r="AM596" s="16"/>
      <c r="AN596" s="439"/>
    </row>
    <row r="597" spans="1:69" s="46" customFormat="1" ht="12.75" customHeight="1">
      <c r="A597" s="65"/>
      <c r="B597" s="2534"/>
      <c r="C597" s="2534"/>
      <c r="D597" s="2534"/>
      <c r="E597" s="2534"/>
      <c r="F597" s="2534"/>
      <c r="G597" s="2534"/>
      <c r="H597" s="2534"/>
      <c r="I597" s="2534"/>
      <c r="J597" s="2534"/>
      <c r="K597" s="2534"/>
      <c r="L597" s="2534"/>
      <c r="M597" s="2534"/>
      <c r="N597" s="2534"/>
      <c r="O597" s="2534"/>
      <c r="P597" s="2534"/>
      <c r="Q597" s="2534"/>
      <c r="R597" s="2534"/>
      <c r="S597" s="2534"/>
      <c r="T597" s="2534"/>
      <c r="U597" s="2534"/>
      <c r="V597" s="2534"/>
      <c r="W597" s="2534"/>
      <c r="X597" s="2534"/>
      <c r="Y597" s="2534"/>
      <c r="Z597" s="2534"/>
      <c r="AA597" s="2534"/>
      <c r="AB597" s="2534"/>
      <c r="AC597" s="2534"/>
      <c r="AD597" s="2534"/>
      <c r="AE597" s="2534"/>
      <c r="AF597" s="2534"/>
      <c r="AG597" s="2534"/>
      <c r="AH597" s="2534"/>
      <c r="AI597" s="65"/>
      <c r="AJ597" s="65"/>
      <c r="AK597" s="16"/>
      <c r="AL597" s="16"/>
      <c r="AM597" s="16"/>
      <c r="AN597" s="439"/>
    </row>
    <row r="598" spans="1:69" s="46" customFormat="1" ht="12.75" customHeight="1">
      <c r="A598" s="65"/>
      <c r="B598" s="2534"/>
      <c r="C598" s="2534"/>
      <c r="D598" s="2534"/>
      <c r="E598" s="2534"/>
      <c r="F598" s="2534"/>
      <c r="G598" s="2534"/>
      <c r="H598" s="2534"/>
      <c r="I598" s="2534"/>
      <c r="J598" s="2534"/>
      <c r="K598" s="2534"/>
      <c r="L598" s="2534"/>
      <c r="M598" s="2534"/>
      <c r="N598" s="2534"/>
      <c r="O598" s="2534"/>
      <c r="P598" s="2534"/>
      <c r="Q598" s="2534"/>
      <c r="R598" s="2534"/>
      <c r="S598" s="2534"/>
      <c r="T598" s="2534"/>
      <c r="U598" s="2534"/>
      <c r="V598" s="2534"/>
      <c r="W598" s="2534"/>
      <c r="X598" s="2534"/>
      <c r="Y598" s="2534"/>
      <c r="Z598" s="2534"/>
      <c r="AA598" s="2534"/>
      <c r="AB598" s="2534"/>
      <c r="AC598" s="2534"/>
      <c r="AD598" s="2534"/>
      <c r="AE598" s="2534"/>
      <c r="AF598" s="2534"/>
      <c r="AG598" s="2534"/>
      <c r="AH598" s="2534"/>
      <c r="AI598" s="65"/>
      <c r="AJ598" s="65"/>
      <c r="AK598" s="16"/>
      <c r="AL598" s="16"/>
      <c r="AM598" s="16"/>
      <c r="AN598" s="439"/>
    </row>
    <row r="599" spans="1:69" s="46" customFormat="1" ht="12.75" customHeight="1">
      <c r="A599" s="65"/>
      <c r="B599" s="2534"/>
      <c r="C599" s="2534"/>
      <c r="D599" s="2534"/>
      <c r="E599" s="2534"/>
      <c r="F599" s="2534"/>
      <c r="G599" s="2534"/>
      <c r="H599" s="2534"/>
      <c r="I599" s="2534"/>
      <c r="J599" s="2534"/>
      <c r="K599" s="2534"/>
      <c r="L599" s="2534"/>
      <c r="M599" s="2534"/>
      <c r="N599" s="2534"/>
      <c r="O599" s="2534"/>
      <c r="P599" s="2534"/>
      <c r="Q599" s="2534"/>
      <c r="R599" s="2534"/>
      <c r="S599" s="2534"/>
      <c r="T599" s="2534"/>
      <c r="U599" s="2534"/>
      <c r="V599" s="2534"/>
      <c r="W599" s="2534"/>
      <c r="X599" s="2534"/>
      <c r="Y599" s="2534"/>
      <c r="Z599" s="2534"/>
      <c r="AA599" s="2534"/>
      <c r="AB599" s="2534"/>
      <c r="AC599" s="2534"/>
      <c r="AD599" s="2534"/>
      <c r="AE599" s="2534"/>
      <c r="AF599" s="2534"/>
      <c r="AG599" s="2534"/>
      <c r="AH599" s="2534"/>
      <c r="AI599" s="65"/>
      <c r="AJ599" s="65"/>
      <c r="AK599" s="16"/>
      <c r="AL599" s="16"/>
      <c r="AM599" s="16"/>
      <c r="AN599" s="439"/>
    </row>
    <row r="600" spans="1:69" s="46" customFormat="1" ht="12.75" customHeight="1">
      <c r="A600" s="65"/>
      <c r="B600" s="2534"/>
      <c r="C600" s="2534"/>
      <c r="D600" s="2534"/>
      <c r="E600" s="2534"/>
      <c r="F600" s="2534"/>
      <c r="G600" s="2534"/>
      <c r="H600" s="2534"/>
      <c r="I600" s="2534"/>
      <c r="J600" s="2534"/>
      <c r="K600" s="2534"/>
      <c r="L600" s="2534"/>
      <c r="M600" s="2534"/>
      <c r="N600" s="2534"/>
      <c r="O600" s="2534"/>
      <c r="P600" s="2534"/>
      <c r="Q600" s="2534"/>
      <c r="R600" s="2534"/>
      <c r="S600" s="2534"/>
      <c r="T600" s="2534"/>
      <c r="U600" s="2534"/>
      <c r="V600" s="2534"/>
      <c r="W600" s="2534"/>
      <c r="X600" s="2534"/>
      <c r="Y600" s="2534"/>
      <c r="Z600" s="2534"/>
      <c r="AA600" s="2534"/>
      <c r="AB600" s="2534"/>
      <c r="AC600" s="2534"/>
      <c r="AD600" s="2534"/>
      <c r="AE600" s="2534"/>
      <c r="AF600" s="2534"/>
      <c r="AG600" s="2534"/>
      <c r="AH600" s="2534"/>
      <c r="AI600" s="65"/>
      <c r="AJ600" s="65"/>
      <c r="AK600" s="16"/>
      <c r="AL600" s="16"/>
      <c r="AM600" s="16"/>
      <c r="AN600" s="439"/>
    </row>
    <row r="601" spans="1:69" s="46" customFormat="1" ht="12.75" customHeight="1">
      <c r="A601" s="65"/>
      <c r="B601" s="2534"/>
      <c r="C601" s="2534"/>
      <c r="D601" s="2534"/>
      <c r="E601" s="2534"/>
      <c r="F601" s="2534"/>
      <c r="G601" s="2534"/>
      <c r="H601" s="2534"/>
      <c r="I601" s="2534"/>
      <c r="J601" s="2534"/>
      <c r="K601" s="2534"/>
      <c r="L601" s="2534"/>
      <c r="M601" s="2534"/>
      <c r="N601" s="2534"/>
      <c r="O601" s="2534"/>
      <c r="P601" s="2534"/>
      <c r="Q601" s="2534"/>
      <c r="R601" s="2534"/>
      <c r="S601" s="2534"/>
      <c r="T601" s="2534"/>
      <c r="U601" s="2534"/>
      <c r="V601" s="2534"/>
      <c r="W601" s="2534"/>
      <c r="X601" s="2534"/>
      <c r="Y601" s="2534"/>
      <c r="Z601" s="2534"/>
      <c r="AA601" s="2534"/>
      <c r="AB601" s="2534"/>
      <c r="AC601" s="2534"/>
      <c r="AD601" s="2534"/>
      <c r="AE601" s="2534"/>
      <c r="AF601" s="2534"/>
      <c r="AG601" s="2534"/>
      <c r="AH601" s="2534"/>
      <c r="AI601" s="65"/>
      <c r="AJ601" s="65"/>
      <c r="AK601" s="65"/>
      <c r="AL601" s="65"/>
      <c r="AM601" s="65"/>
      <c r="AN601" s="1084"/>
    </row>
    <row r="602" spans="1:69">
      <c r="E602" s="245"/>
      <c r="BD602" s="65"/>
      <c r="BE602" s="65"/>
      <c r="BF602" s="65"/>
      <c r="BG602" s="65"/>
      <c r="BH602" s="65"/>
    </row>
    <row r="603" spans="1:69" ht="12.75" customHeight="1">
      <c r="J603" s="2485" t="s">
        <v>862</v>
      </c>
      <c r="K603" s="2486"/>
      <c r="L603" s="2486"/>
      <c r="M603" s="2486"/>
      <c r="N603" s="2487"/>
      <c r="O603" s="2531" t="s">
        <v>1642</v>
      </c>
      <c r="P603" s="2532"/>
      <c r="Q603" s="2532"/>
      <c r="R603" s="2532"/>
      <c r="S603" s="2533"/>
      <c r="T603" s="2531" t="s">
        <v>1936</v>
      </c>
      <c r="U603" s="2532"/>
      <c r="V603" s="2532"/>
      <c r="W603" s="2532"/>
      <c r="X603" s="2533"/>
      <c r="Y603" s="2531" t="s">
        <v>1643</v>
      </c>
      <c r="Z603" s="2532"/>
      <c r="AA603" s="2532"/>
      <c r="AB603" s="2532"/>
      <c r="AC603" s="2533"/>
      <c r="AF603" s="16"/>
      <c r="AG603" s="16"/>
      <c r="AH603" s="16"/>
      <c r="AI603" s="16"/>
      <c r="AJ603" s="16"/>
    </row>
    <row r="604" spans="1:69" ht="12.75" customHeight="1">
      <c r="D604" s="16"/>
      <c r="E604" s="16"/>
      <c r="F604" s="16"/>
      <c r="G604" s="16"/>
      <c r="H604" s="16"/>
      <c r="I604" s="16"/>
      <c r="J604" s="2488"/>
      <c r="K604" s="2489"/>
      <c r="L604" s="2489"/>
      <c r="M604" s="2489"/>
      <c r="N604" s="2490"/>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8"/>
      <c r="K605" s="2489"/>
      <c r="L605" s="2489"/>
      <c r="M605" s="2489"/>
      <c r="N605" s="2490"/>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8"/>
      <c r="K606" s="2489"/>
      <c r="L606" s="2489"/>
      <c r="M606" s="2489"/>
      <c r="N606" s="2490"/>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4" t="s">
        <v>249</v>
      </c>
      <c r="K607" s="2385"/>
      <c r="L607" s="2385"/>
      <c r="M607" s="2385"/>
      <c r="N607" s="2386"/>
      <c r="O607" s="2301">
        <f>Application!CM627</f>
        <v>0</v>
      </c>
      <c r="P607" s="2302"/>
      <c r="Q607" s="2302"/>
      <c r="R607" s="2302"/>
      <c r="S607" s="2303"/>
      <c r="T607" s="2301">
        <f>Application!DR628</f>
        <v>0</v>
      </c>
      <c r="U607" s="2302"/>
      <c r="V607" s="2302"/>
      <c r="W607" s="2302"/>
      <c r="X607" s="2303"/>
      <c r="Y607" s="2387">
        <f t="shared" ref="Y607:Y612" si="8">IF(T607&gt;0,T607/O607,0)</f>
        <v>0</v>
      </c>
      <c r="Z607" s="2388"/>
      <c r="AA607" s="2388"/>
      <c r="AB607" s="2388"/>
      <c r="AC607" s="2389"/>
      <c r="AD607" s="42"/>
      <c r="AF607" s="16"/>
      <c r="AG607" s="16"/>
      <c r="AH607" s="16"/>
      <c r="AI607" s="16"/>
      <c r="AJ607" s="16"/>
    </row>
    <row r="608" spans="1:69">
      <c r="D608" s="16"/>
      <c r="E608" s="16"/>
      <c r="F608" s="16"/>
      <c r="G608" s="16"/>
      <c r="H608" s="16"/>
      <c r="I608" s="16"/>
      <c r="J608" s="2384" t="s">
        <v>36</v>
      </c>
      <c r="K608" s="2385"/>
      <c r="L608" s="2385"/>
      <c r="M608" s="2385"/>
      <c r="N608" s="2386"/>
      <c r="O608" s="2301">
        <f>Application!CH627</f>
        <v>0</v>
      </c>
      <c r="P608" s="2302"/>
      <c r="Q608" s="2302"/>
      <c r="R608" s="2302"/>
      <c r="S608" s="2303"/>
      <c r="T608" s="2301">
        <f>Application!DM628</f>
        <v>0</v>
      </c>
      <c r="U608" s="2302"/>
      <c r="V608" s="2302"/>
      <c r="W608" s="2302"/>
      <c r="X608" s="2303"/>
      <c r="Y608" s="2387">
        <f t="shared" si="8"/>
        <v>0</v>
      </c>
      <c r="Z608" s="2388"/>
      <c r="AA608" s="2388"/>
      <c r="AB608" s="2388"/>
      <c r="AC608" s="2389"/>
      <c r="AD608" s="42"/>
      <c r="AF608" s="16"/>
      <c r="AG608" s="16"/>
      <c r="AH608" s="16"/>
      <c r="AI608" s="16"/>
      <c r="AJ608" s="16"/>
    </row>
    <row r="609" spans="1:60">
      <c r="D609" s="16"/>
      <c r="E609" s="16"/>
      <c r="F609" s="16"/>
      <c r="G609" s="16"/>
      <c r="H609" s="16"/>
      <c r="I609" s="16"/>
      <c r="J609" s="2384" t="s">
        <v>291</v>
      </c>
      <c r="K609" s="2385"/>
      <c r="L609" s="2385"/>
      <c r="M609" s="2385"/>
      <c r="N609" s="2386"/>
      <c r="O609" s="2301">
        <f>Application!CC627</f>
        <v>29</v>
      </c>
      <c r="P609" s="2302"/>
      <c r="Q609" s="2302"/>
      <c r="R609" s="2302"/>
      <c r="S609" s="2303"/>
      <c r="T609" s="2301">
        <f>Application!DH628</f>
        <v>3</v>
      </c>
      <c r="U609" s="2302"/>
      <c r="V609" s="2302"/>
      <c r="W609" s="2302"/>
      <c r="X609" s="2303"/>
      <c r="Y609" s="2387">
        <f t="shared" si="8"/>
        <v>0.10344827586206896</v>
      </c>
      <c r="Z609" s="2388"/>
      <c r="AA609" s="2388"/>
      <c r="AB609" s="2388"/>
      <c r="AC609" s="2389"/>
      <c r="AD609" s="16"/>
      <c r="AF609" s="16"/>
      <c r="AG609" s="16"/>
      <c r="AH609" s="16"/>
      <c r="AI609" s="16"/>
      <c r="AJ609" s="16"/>
      <c r="AN609" s="1100"/>
    </row>
    <row r="610" spans="1:60">
      <c r="D610" s="16"/>
      <c r="E610" s="16"/>
      <c r="F610" s="16"/>
      <c r="G610" s="16"/>
      <c r="H610" s="16"/>
      <c r="I610" s="16"/>
      <c r="J610" s="2384" t="s">
        <v>290</v>
      </c>
      <c r="K610" s="2385"/>
      <c r="L610" s="2385"/>
      <c r="M610" s="2385"/>
      <c r="N610" s="2386"/>
      <c r="O610" s="2301">
        <f>Application!BX627</f>
        <v>29</v>
      </c>
      <c r="P610" s="2302"/>
      <c r="Q610" s="2302"/>
      <c r="R610" s="2302"/>
      <c r="S610" s="2303"/>
      <c r="T610" s="2301">
        <f>Application!DC628</f>
        <v>3</v>
      </c>
      <c r="U610" s="2302"/>
      <c r="V610" s="2302"/>
      <c r="W610" s="2302"/>
      <c r="X610" s="2303"/>
      <c r="Y610" s="2387">
        <f t="shared" si="8"/>
        <v>0.10344827586206896</v>
      </c>
      <c r="Z610" s="2388"/>
      <c r="AA610" s="2388"/>
      <c r="AB610" s="2388"/>
      <c r="AC610" s="2389"/>
      <c r="AD610" s="16"/>
      <c r="AF610" s="16"/>
      <c r="AG610" s="16"/>
      <c r="AH610" s="16"/>
      <c r="AI610" s="16"/>
      <c r="AJ610" s="16"/>
      <c r="AN610" s="1100"/>
      <c r="AO610" s="46"/>
      <c r="AP610" s="30"/>
      <c r="AQ610" s="30"/>
      <c r="AR610" s="30"/>
      <c r="AS610" s="30"/>
      <c r="AT610" s="30"/>
    </row>
    <row r="611" spans="1:60">
      <c r="D611" s="16"/>
      <c r="E611" s="16"/>
      <c r="F611" s="16"/>
      <c r="G611" s="16"/>
      <c r="H611" s="16"/>
      <c r="I611" s="16"/>
      <c r="J611" s="2384" t="s">
        <v>289</v>
      </c>
      <c r="K611" s="2385"/>
      <c r="L611" s="2385"/>
      <c r="M611" s="2385"/>
      <c r="N611" s="2386"/>
      <c r="O611" s="2301">
        <f>Application!BS627</f>
        <v>54</v>
      </c>
      <c r="P611" s="2302"/>
      <c r="Q611" s="2302"/>
      <c r="R611" s="2302"/>
      <c r="S611" s="2303"/>
      <c r="T611" s="2301">
        <f>Application!CX628</f>
        <v>20</v>
      </c>
      <c r="U611" s="2302"/>
      <c r="V611" s="2302"/>
      <c r="W611" s="2302"/>
      <c r="X611" s="2303"/>
      <c r="Y611" s="2387">
        <f t="shared" si="8"/>
        <v>0.37037037037037035</v>
      </c>
      <c r="Z611" s="2388"/>
      <c r="AA611" s="2388"/>
      <c r="AB611" s="2388"/>
      <c r="AC611" s="2389"/>
      <c r="AD611" s="16"/>
      <c r="AF611" s="16"/>
      <c r="AG611" s="16"/>
      <c r="AH611" s="16"/>
      <c r="AI611" s="16"/>
      <c r="AJ611" s="16"/>
      <c r="AN611" s="1100"/>
      <c r="AQ611" s="30"/>
      <c r="AR611" s="30"/>
      <c r="AS611" s="30"/>
      <c r="AT611" s="30"/>
    </row>
    <row r="612" spans="1:60">
      <c r="D612" s="16"/>
      <c r="E612" s="16"/>
      <c r="F612" s="16"/>
      <c r="G612" s="16"/>
      <c r="H612" s="16"/>
      <c r="I612" s="16"/>
      <c r="J612" s="2384" t="s">
        <v>676</v>
      </c>
      <c r="K612" s="2385"/>
      <c r="L612" s="2385"/>
      <c r="M612" s="2385"/>
      <c r="N612" s="2386"/>
      <c r="O612" s="2301">
        <f>Application!BN627</f>
        <v>0</v>
      </c>
      <c r="P612" s="2302"/>
      <c r="Q612" s="2302"/>
      <c r="R612" s="2302"/>
      <c r="S612" s="2303"/>
      <c r="T612" s="2301">
        <f>Application!CS628</f>
        <v>0</v>
      </c>
      <c r="U612" s="2302"/>
      <c r="V612" s="2302"/>
      <c r="W612" s="2302"/>
      <c r="X612" s="2303"/>
      <c r="Y612" s="2387">
        <f t="shared" si="8"/>
        <v>0</v>
      </c>
      <c r="Z612" s="2388"/>
      <c r="AA612" s="2388"/>
      <c r="AB612" s="2388"/>
      <c r="AC612" s="2389"/>
      <c r="AD612" s="16"/>
      <c r="AF612" s="16"/>
      <c r="AG612" s="16"/>
      <c r="AH612" s="16"/>
      <c r="AI612" s="16"/>
      <c r="AJ612" s="16"/>
      <c r="AN612" s="1100"/>
      <c r="AQ612" s="30"/>
      <c r="AR612" s="30"/>
      <c r="AS612" s="30"/>
      <c r="AT612" s="30"/>
    </row>
    <row r="613" spans="1:60">
      <c r="D613" s="16"/>
      <c r="E613" s="16"/>
      <c r="F613" s="16"/>
      <c r="G613" s="16"/>
      <c r="H613" s="16"/>
      <c r="I613" s="16"/>
      <c r="J613" s="2528" t="s">
        <v>953</v>
      </c>
      <c r="K613" s="2529"/>
      <c r="L613" s="2529"/>
      <c r="M613" s="2529"/>
      <c r="N613" s="2530"/>
      <c r="O613" s="2525">
        <f>SUM(O607:S612)</f>
        <v>112</v>
      </c>
      <c r="P613" s="2526"/>
      <c r="Q613" s="2526"/>
      <c r="R613" s="2526"/>
      <c r="S613" s="2527"/>
      <c r="T613" s="2525">
        <f>SUM(T607:X612)</f>
        <v>26</v>
      </c>
      <c r="U613" s="2526"/>
      <c r="V613" s="2526"/>
      <c r="W613" s="2526"/>
      <c r="X613" s="2527"/>
      <c r="Y613" s="2481" t="s">
        <v>257</v>
      </c>
      <c r="Z613" s="2482"/>
      <c r="AA613" s="2482"/>
      <c r="AB613" s="2482"/>
      <c r="AC613" s="2483"/>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1646</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7">
        <v>2</v>
      </c>
      <c r="AK616" s="251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5" t="s">
        <v>195</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19">
        <f>IF($AC$592=0,0,$AC$592+$AJ$616)</f>
        <v>52</v>
      </c>
      <c r="AL618" s="2320"/>
      <c r="AM618" s="2321"/>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4" t="s">
        <v>1647</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00"/>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118</v>
      </c>
      <c r="D626" s="1658"/>
      <c r="E626" s="293"/>
      <c r="F626" s="2491" t="s">
        <v>2238</v>
      </c>
      <c r="G626" s="2492"/>
      <c r="H626" s="2492"/>
      <c r="I626" s="2492"/>
      <c r="J626" s="2492"/>
      <c r="K626" s="2492"/>
      <c r="L626" s="2492"/>
      <c r="M626" s="2492"/>
      <c r="N626" s="2492"/>
      <c r="O626" s="2492"/>
      <c r="P626" s="2492"/>
      <c r="Q626" s="2492"/>
      <c r="R626" s="2492"/>
      <c r="S626" s="2492"/>
      <c r="T626" s="2492"/>
      <c r="U626" s="2492"/>
      <c r="V626" s="2492"/>
      <c r="W626" s="2492"/>
      <c r="X626" s="2492"/>
      <c r="Y626" s="2492"/>
      <c r="Z626" s="2492"/>
      <c r="AA626" s="2492"/>
      <c r="AB626" s="2492"/>
      <c r="AC626" s="2492"/>
      <c r="AD626" s="2493"/>
      <c r="AE626" s="46"/>
      <c r="AF626" s="265"/>
      <c r="AG626" s="2484" t="s">
        <v>1020</v>
      </c>
      <c r="AH626" s="2484"/>
      <c r="AI626" s="2484"/>
      <c r="AJ626" s="2484"/>
      <c r="AK626" s="153"/>
      <c r="AL626" s="153"/>
      <c r="AM626" s="153"/>
      <c r="AN626" s="1100"/>
      <c r="AO626" s="46"/>
      <c r="AS626" s="30"/>
      <c r="AT626" s="30"/>
    </row>
    <row r="627" spans="1:46" ht="13.7" customHeight="1">
      <c r="A627" s="28"/>
      <c r="B627" s="203"/>
      <c r="C627" s="77"/>
      <c r="D627" s="46"/>
      <c r="E627" s="293"/>
      <c r="F627" s="2494"/>
      <c r="G627" s="2495"/>
      <c r="H627" s="2495"/>
      <c r="I627" s="2495"/>
      <c r="J627" s="2495"/>
      <c r="K627" s="2495"/>
      <c r="L627" s="2495"/>
      <c r="M627" s="2495"/>
      <c r="N627" s="2495"/>
      <c r="O627" s="2495"/>
      <c r="P627" s="2495"/>
      <c r="Q627" s="2495"/>
      <c r="R627" s="2495"/>
      <c r="S627" s="2495"/>
      <c r="T627" s="2495"/>
      <c r="U627" s="2495"/>
      <c r="V627" s="2495"/>
      <c r="W627" s="2495"/>
      <c r="X627" s="2495"/>
      <c r="Y627" s="2495"/>
      <c r="Z627" s="2495"/>
      <c r="AA627" s="2495"/>
      <c r="AB627" s="2495"/>
      <c r="AC627" s="2495"/>
      <c r="AD627" s="2496"/>
      <c r="AE627" s="46"/>
      <c r="AF627" s="265"/>
      <c r="AG627" s="265"/>
      <c r="AH627" s="265"/>
      <c r="AI627" s="265"/>
      <c r="AJ627" s="46"/>
      <c r="AK627" s="153"/>
      <c r="AL627" s="153"/>
      <c r="AM627" s="153"/>
      <c r="AN627" s="1100"/>
      <c r="AO627" s="46"/>
      <c r="AS627" s="30"/>
      <c r="AT627" s="30"/>
    </row>
    <row r="628" spans="1:46">
      <c r="A628" s="28"/>
      <c r="B628" s="203"/>
      <c r="C628" s="77"/>
      <c r="D628" s="46"/>
      <c r="E628" s="293"/>
      <c r="F628" s="2497"/>
      <c r="G628" s="2498"/>
      <c r="H628" s="2498"/>
      <c r="I628" s="2498"/>
      <c r="J628" s="2498"/>
      <c r="K628" s="2498"/>
      <c r="L628" s="2498"/>
      <c r="M628" s="2498"/>
      <c r="N628" s="2498"/>
      <c r="O628" s="2498"/>
      <c r="P628" s="2498"/>
      <c r="Q628" s="2498"/>
      <c r="R628" s="2498"/>
      <c r="S628" s="2498"/>
      <c r="T628" s="2498"/>
      <c r="U628" s="2498"/>
      <c r="V628" s="2498"/>
      <c r="W628" s="2498"/>
      <c r="X628" s="2498"/>
      <c r="Y628" s="2498"/>
      <c r="Z628" s="2498"/>
      <c r="AA628" s="2498"/>
      <c r="AB628" s="2498"/>
      <c r="AC628" s="2498"/>
      <c r="AD628" s="249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4" t="s">
        <v>2006</v>
      </c>
      <c r="C630" s="2524"/>
      <c r="D630" s="252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2524"/>
      <c r="AF630" s="2524"/>
      <c r="AG630" s="2524"/>
      <c r="AH630" s="2524"/>
      <c r="AI630" s="265"/>
      <c r="AJ630" s="46"/>
      <c r="AK630" s="153"/>
      <c r="AL630" s="153"/>
      <c r="AM630" s="153"/>
    </row>
    <row r="631" spans="1:46" ht="13.7" customHeight="1">
      <c r="B631" s="2524"/>
      <c r="C631" s="2524"/>
      <c r="D631" s="252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2524"/>
      <c r="AF631" s="2524"/>
      <c r="AG631" s="2524"/>
      <c r="AH631" s="2524"/>
      <c r="AI631" s="245"/>
      <c r="AJ631" s="46"/>
      <c r="AK631" s="153"/>
      <c r="AL631" s="153"/>
      <c r="AM631" s="153"/>
    </row>
    <row r="632" spans="1:46" ht="13.7" customHeight="1">
      <c r="A632" s="263"/>
      <c r="B632" s="2524"/>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45"/>
      <c r="AJ632" s="46"/>
      <c r="AK632" s="153"/>
      <c r="AL632" s="153"/>
      <c r="AM632" s="153"/>
      <c r="AN632" s="124"/>
    </row>
    <row r="633" spans="1:46" ht="13.7" customHeight="1">
      <c r="A633" s="46"/>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c r="AN633" s="124"/>
    </row>
    <row r="634" spans="1:46" ht="13.7" customHeight="1">
      <c r="A634" s="46"/>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263"/>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263"/>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19">
        <f>IF($C$626="yes",10,0)</f>
        <v>10</v>
      </c>
      <c r="AL643" s="2320"/>
      <c r="AM643" s="232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118</v>
      </c>
      <c r="D648" s="1658"/>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134</v>
      </c>
      <c r="D653" s="165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134</v>
      </c>
      <c r="D657" s="1658"/>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19">
        <f>$AO$654</f>
        <v>2</v>
      </c>
      <c r="AL671" s="2320"/>
      <c r="AM671" s="232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8" t="s">
        <v>783</v>
      </c>
      <c r="B674" s="2508"/>
      <c r="C674" s="2508"/>
      <c r="D674" s="2508"/>
      <c r="E674" s="2508"/>
      <c r="F674" s="2508"/>
      <c r="G674" s="2508"/>
      <c r="H674" s="2508"/>
      <c r="I674" s="2508"/>
      <c r="J674" s="2508"/>
      <c r="K674" s="2508"/>
      <c r="L674" s="2508"/>
      <c r="M674" s="2508"/>
      <c r="N674" s="2508"/>
      <c r="O674" s="2508"/>
      <c r="P674" s="2508"/>
      <c r="Q674" s="2508"/>
      <c r="R674" s="2508"/>
      <c r="S674" s="2508"/>
      <c r="T674" s="2508"/>
      <c r="U674" s="2508"/>
      <c r="V674" s="2508"/>
      <c r="W674" s="2508"/>
      <c r="X674" s="2508"/>
      <c r="Y674" s="2508"/>
      <c r="Z674" s="2508"/>
      <c r="AA674" s="2508"/>
      <c r="AB674" s="2508"/>
      <c r="AC674" s="2508"/>
      <c r="AD674" s="2508"/>
      <c r="AE674" s="2508"/>
      <c r="AF674" s="2508"/>
      <c r="AG674" s="2508"/>
      <c r="AH674" s="2508"/>
      <c r="AI674" s="2508"/>
      <c r="AJ674" s="2508"/>
      <c r="AK674" s="2508"/>
      <c r="AL674" s="2508"/>
      <c r="AM674" s="2508"/>
    </row>
    <row r="675" spans="1:43">
      <c r="A675" s="2509"/>
      <c r="B675" s="2509"/>
      <c r="C675" s="2509"/>
      <c r="D675" s="2509"/>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2509"/>
      <c r="AE675" s="2509"/>
      <c r="AF675" s="2509"/>
      <c r="AG675" s="2509"/>
      <c r="AH675" s="2509"/>
      <c r="AI675" s="2509"/>
      <c r="AJ675" s="2509"/>
      <c r="AK675" s="2509"/>
      <c r="AL675" s="2509"/>
      <c r="AM675" s="2509"/>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6" t="s">
        <v>2148</v>
      </c>
      <c r="B677" s="2396"/>
      <c r="C677" s="2396"/>
      <c r="D677" s="2396"/>
      <c r="E677" s="2396"/>
      <c r="F677" s="2396"/>
      <c r="G677" s="2396"/>
      <c r="H677" s="2396"/>
      <c r="I677" s="2396"/>
      <c r="J677" s="2396"/>
      <c r="K677" s="2396"/>
      <c r="L677" s="2396"/>
      <c r="M677" s="2396"/>
      <c r="N677" s="2396"/>
      <c r="O677" s="2396"/>
      <c r="P677" s="2396"/>
      <c r="Q677" s="2396"/>
      <c r="R677" s="2396"/>
      <c r="S677" s="2396"/>
      <c r="T677" s="2396"/>
      <c r="U677" s="2396"/>
      <c r="V677" s="2396"/>
      <c r="W677" s="2396"/>
      <c r="X677" s="2396"/>
      <c r="Y677" s="2396"/>
      <c r="Z677" s="2396"/>
      <c r="AA677" s="2396"/>
      <c r="AB677" s="2396"/>
      <c r="AC677" s="2396"/>
      <c r="AD677" s="2396"/>
      <c r="AE677" s="2396"/>
      <c r="AF677" s="2396"/>
      <c r="AG677" s="2396"/>
      <c r="AH677" s="2396"/>
      <c r="AI677" s="2396"/>
      <c r="AJ677" s="2396"/>
      <c r="AK677" s="2396"/>
      <c r="AL677" s="2396"/>
      <c r="AM677" s="2396"/>
      <c r="AP677" s="732"/>
      <c r="AQ677" s="728"/>
    </row>
    <row r="678" spans="1:43">
      <c r="A678" s="2396" t="s">
        <v>2149</v>
      </c>
      <c r="B678" s="2396"/>
      <c r="C678" s="2396"/>
      <c r="D678" s="2396"/>
      <c r="E678" s="2396"/>
      <c r="F678" s="2396"/>
      <c r="G678" s="2396"/>
      <c r="H678" s="2396"/>
      <c r="I678" s="2396"/>
      <c r="J678" s="2396"/>
      <c r="K678" s="2396"/>
      <c r="L678" s="2396"/>
      <c r="M678" s="2396"/>
      <c r="N678" s="2396"/>
      <c r="O678" s="2396"/>
      <c r="P678" s="2396"/>
      <c r="Q678" s="2396"/>
      <c r="R678" s="2396"/>
      <c r="S678" s="2396"/>
      <c r="T678" s="2396"/>
      <c r="U678" s="2396"/>
      <c r="V678" s="2396"/>
      <c r="W678" s="2396"/>
      <c r="X678" s="2396"/>
      <c r="Y678" s="2396"/>
      <c r="Z678" s="2396"/>
      <c r="AA678" s="2396"/>
      <c r="AB678" s="2396"/>
      <c r="AC678" s="2396"/>
      <c r="AD678" s="2396"/>
      <c r="AE678" s="2396"/>
      <c r="AF678" s="2396"/>
      <c r="AG678" s="2396"/>
      <c r="AH678" s="2396"/>
      <c r="AI678" s="2396"/>
      <c r="AJ678" s="2396"/>
      <c r="AK678" s="2396"/>
      <c r="AL678" s="2396"/>
      <c r="AM678" s="2396"/>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1" t="s">
        <v>259</v>
      </c>
      <c r="U679" s="2067"/>
      <c r="V679" s="2067"/>
      <c r="W679" s="2067"/>
      <c r="X679" s="2067"/>
      <c r="Y679" s="2068"/>
      <c r="Z679" s="2381" t="s">
        <v>258</v>
      </c>
      <c r="AA679" s="2067"/>
      <c r="AB679" s="2067"/>
      <c r="AC679" s="2067"/>
      <c r="AD679" s="2067"/>
      <c r="AE679" s="2068"/>
      <c r="AF679" s="2381" t="s">
        <v>260</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2"/>
      <c r="U680" s="2069"/>
      <c r="V680" s="2069"/>
      <c r="W680" s="2069"/>
      <c r="X680" s="2069"/>
      <c r="Y680" s="2070"/>
      <c r="Z680" s="2382"/>
      <c r="AA680" s="2069"/>
      <c r="AB680" s="2069"/>
      <c r="AC680" s="2069"/>
      <c r="AD680" s="2069"/>
      <c r="AE680" s="2070"/>
      <c r="AF680" s="2382"/>
      <c r="AG680" s="2069"/>
      <c r="AH680" s="2069"/>
      <c r="AI680" s="2069"/>
      <c r="AJ680" s="2069"/>
      <c r="AK680" s="2070"/>
      <c r="AL680" s="1259"/>
      <c r="AM680" s="458"/>
      <c r="AO680" s="728">
        <f>IF(T687&gt;10,10,T687)</f>
        <v>10</v>
      </c>
      <c r="AP680" s="728"/>
      <c r="AQ680" s="728"/>
    </row>
    <row r="681" spans="1:43">
      <c r="A681" s="935" t="s">
        <v>714</v>
      </c>
      <c r="B681" s="2377" t="s">
        <v>296</v>
      </c>
      <c r="C681" s="2377"/>
      <c r="D681" s="2377"/>
      <c r="E681" s="2377"/>
      <c r="F681" s="2377"/>
      <c r="G681" s="2377"/>
      <c r="H681" s="2377"/>
      <c r="I681" s="2377"/>
      <c r="J681" s="2377"/>
      <c r="K681" s="2377"/>
      <c r="L681" s="2377"/>
      <c r="M681" s="2377"/>
      <c r="N681" s="2377"/>
      <c r="O681" s="2377"/>
      <c r="P681" s="2377"/>
      <c r="Q681" s="2377"/>
      <c r="R681" s="2377"/>
      <c r="S681" s="2378"/>
      <c r="T681" s="2404">
        <f>SUM(T682:Y683)</f>
        <v>10</v>
      </c>
      <c r="U681" s="2404"/>
      <c r="V681" s="2404"/>
      <c r="W681" s="2404"/>
      <c r="X681" s="2404"/>
      <c r="Y681" s="2404"/>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231</v>
      </c>
      <c r="E682" s="2379" t="s">
        <v>261</v>
      </c>
      <c r="F682" s="2379"/>
      <c r="G682" s="2379"/>
      <c r="H682" s="2379"/>
      <c r="I682" s="2379"/>
      <c r="J682" s="2379"/>
      <c r="K682" s="2379"/>
      <c r="L682" s="2379"/>
      <c r="M682" s="2379"/>
      <c r="N682" s="2379"/>
      <c r="O682" s="2379"/>
      <c r="P682" s="2379"/>
      <c r="Q682" s="2379"/>
      <c r="R682" s="2379"/>
      <c r="S682" s="2380"/>
      <c r="T682" s="2383">
        <f>AJ31</f>
        <v>7</v>
      </c>
      <c r="U682" s="2383"/>
      <c r="V682" s="2383"/>
      <c r="W682" s="2383"/>
      <c r="X682" s="2383"/>
      <c r="Y682" s="2383"/>
      <c r="Z682" s="2408">
        <v>7</v>
      </c>
      <c r="AA682" s="2408"/>
      <c r="AB682" s="2408"/>
      <c r="AC682" s="2408"/>
      <c r="AD682" s="2408"/>
      <c r="AE682" s="2408"/>
      <c r="AF682" s="2510"/>
      <c r="AG682" s="2510"/>
      <c r="AH682" s="2510"/>
      <c r="AI682" s="2510"/>
      <c r="AJ682" s="2510"/>
      <c r="AK682" s="2510"/>
      <c r="AL682" s="1259"/>
      <c r="AM682" s="458"/>
    </row>
    <row r="683" spans="1:43">
      <c r="A683" s="940"/>
      <c r="B683" s="938"/>
      <c r="C683" s="939"/>
      <c r="D683" s="936" t="s">
        <v>473</v>
      </c>
      <c r="E683" s="2379" t="s">
        <v>262</v>
      </c>
      <c r="F683" s="2379"/>
      <c r="G683" s="2379"/>
      <c r="H683" s="2379"/>
      <c r="I683" s="2379"/>
      <c r="J683" s="2379"/>
      <c r="K683" s="2379"/>
      <c r="L683" s="2379"/>
      <c r="M683" s="2379"/>
      <c r="N683" s="2379"/>
      <c r="O683" s="2379"/>
      <c r="P683" s="2379"/>
      <c r="Q683" s="2379"/>
      <c r="R683" s="2379"/>
      <c r="S683" s="2380"/>
      <c r="T683" s="2383">
        <f>AJ47</f>
        <v>3</v>
      </c>
      <c r="U683" s="2383"/>
      <c r="V683" s="2383"/>
      <c r="W683" s="2383"/>
      <c r="X683" s="2383"/>
      <c r="Y683" s="2383"/>
      <c r="Z683" s="2408">
        <v>3</v>
      </c>
      <c r="AA683" s="2408"/>
      <c r="AB683" s="2408"/>
      <c r="AC683" s="2408"/>
      <c r="AD683" s="2408"/>
      <c r="AE683" s="2408"/>
      <c r="AF683" s="2510"/>
      <c r="AG683" s="2510"/>
      <c r="AH683" s="2510"/>
      <c r="AI683" s="2510"/>
      <c r="AJ683" s="2510"/>
      <c r="AK683" s="2510"/>
      <c r="AL683" s="1259"/>
      <c r="AM683" s="458"/>
      <c r="AO683" s="46">
        <f>IF(T690&gt;50,50,T690)</f>
        <v>50</v>
      </c>
    </row>
    <row r="684" spans="1:43">
      <c r="A684" s="935" t="s">
        <v>8</v>
      </c>
      <c r="B684" s="2377" t="s">
        <v>297</v>
      </c>
      <c r="C684" s="2377"/>
      <c r="D684" s="2377"/>
      <c r="E684" s="2377"/>
      <c r="F684" s="2377"/>
      <c r="G684" s="2377"/>
      <c r="H684" s="2377"/>
      <c r="I684" s="2377"/>
      <c r="J684" s="2377"/>
      <c r="K684" s="2377"/>
      <c r="L684" s="2377"/>
      <c r="M684" s="2377"/>
      <c r="N684" s="2377"/>
      <c r="O684" s="2377"/>
      <c r="P684" s="2377"/>
      <c r="Q684" s="2377"/>
      <c r="R684" s="2377"/>
      <c r="S684" s="2378"/>
      <c r="T684" s="2404">
        <f>AK73</f>
        <v>10</v>
      </c>
      <c r="U684" s="2404"/>
      <c r="V684" s="2404"/>
      <c r="W684" s="2404"/>
      <c r="X684" s="2404"/>
      <c r="Y684" s="2404"/>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129</v>
      </c>
      <c r="B685" s="2377" t="s">
        <v>298</v>
      </c>
      <c r="C685" s="2377"/>
      <c r="D685" s="2377"/>
      <c r="E685" s="2377"/>
      <c r="F685" s="2377"/>
      <c r="G685" s="2377"/>
      <c r="H685" s="2377"/>
      <c r="I685" s="2377"/>
      <c r="J685" s="2377"/>
      <c r="K685" s="2377"/>
      <c r="L685" s="2377"/>
      <c r="M685" s="2377"/>
      <c r="N685" s="2377"/>
      <c r="O685" s="2377"/>
      <c r="P685" s="2377"/>
      <c r="Q685" s="2377"/>
      <c r="R685" s="2377"/>
      <c r="S685" s="2378"/>
      <c r="T685" s="2404">
        <f>AO678</f>
        <v>25</v>
      </c>
      <c r="U685" s="2404">
        <f>IF(AND(AND(A686&gt;15,15+A687),A687&gt;10,A686+10),A685,0)</f>
        <v>0</v>
      </c>
      <c r="V685" s="2404">
        <f>IF(AND(AND(B686&gt;15,15+B687),B687&gt;10,B686+10),#REF!,0)</f>
        <v>0</v>
      </c>
      <c r="W685" s="2404">
        <f>IF(AND(AND(C686&gt;15,15+C687),C687&gt;10,C686+10),B685,0)</f>
        <v>0</v>
      </c>
      <c r="X685" s="2404" t="e">
        <f>IF(AND(AND(D686&gt;15,15+D687),D687&gt;10,D686+10),D685,0)</f>
        <v>#VALUE!</v>
      </c>
      <c r="Y685" s="2404"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1599</v>
      </c>
      <c r="E686" s="2379" t="s">
        <v>322</v>
      </c>
      <c r="F686" s="2379"/>
      <c r="G686" s="2379"/>
      <c r="H686" s="2379"/>
      <c r="I686" s="2379"/>
      <c r="J686" s="2379"/>
      <c r="K686" s="2379"/>
      <c r="L686" s="2379"/>
      <c r="M686" s="2379"/>
      <c r="N686" s="2379"/>
      <c r="O686" s="2379"/>
      <c r="P686" s="2379"/>
      <c r="Q686" s="2379"/>
      <c r="R686" s="2379"/>
      <c r="S686" s="2380"/>
      <c r="T686" s="2383">
        <f>AK285</f>
        <v>21</v>
      </c>
      <c r="U686" s="2383"/>
      <c r="V686" s="2383"/>
      <c r="W686" s="2383"/>
      <c r="X686" s="2383"/>
      <c r="Y686" s="2383"/>
      <c r="Z686" s="2408">
        <v>15</v>
      </c>
      <c r="AA686" s="2408"/>
      <c r="AB686" s="2408"/>
      <c r="AC686" s="2408"/>
      <c r="AD686" s="2408"/>
      <c r="AE686" s="2408"/>
      <c r="AF686" s="2510"/>
      <c r="AG686" s="2510"/>
      <c r="AH686" s="2510"/>
      <c r="AI686" s="2510"/>
      <c r="AJ686" s="2510"/>
      <c r="AK686" s="2510"/>
      <c r="AL686" s="1259"/>
      <c r="AM686" s="458"/>
    </row>
    <row r="687" spans="1:43">
      <c r="A687" s="941"/>
      <c r="B687" s="942"/>
      <c r="C687" s="943"/>
      <c r="D687" s="944" t="s">
        <v>1600</v>
      </c>
      <c r="E687" s="2379" t="s">
        <v>323</v>
      </c>
      <c r="F687" s="2379"/>
      <c r="G687" s="2379"/>
      <c r="H687" s="2379"/>
      <c r="I687" s="2379"/>
      <c r="J687" s="2379"/>
      <c r="K687" s="2379"/>
      <c r="L687" s="2379"/>
      <c r="M687" s="2379"/>
      <c r="N687" s="2379"/>
      <c r="O687" s="2379"/>
      <c r="P687" s="2379"/>
      <c r="Q687" s="2379"/>
      <c r="R687" s="2379"/>
      <c r="S687" s="2380"/>
      <c r="T687" s="2383">
        <f>AK476</f>
        <v>10</v>
      </c>
      <c r="U687" s="2383"/>
      <c r="V687" s="2383"/>
      <c r="W687" s="2383"/>
      <c r="X687" s="2383"/>
      <c r="Y687" s="2383"/>
      <c r="Z687" s="2408">
        <v>10</v>
      </c>
      <c r="AA687" s="2408"/>
      <c r="AB687" s="2408"/>
      <c r="AC687" s="2408"/>
      <c r="AD687" s="2408"/>
      <c r="AE687" s="2408"/>
      <c r="AF687" s="2510"/>
      <c r="AG687" s="2510"/>
      <c r="AH687" s="2510"/>
      <c r="AI687" s="2510"/>
      <c r="AJ687" s="2510"/>
      <c r="AK687" s="2510"/>
      <c r="AL687" s="1259"/>
      <c r="AM687" s="458"/>
    </row>
    <row r="688" spans="1:43" hidden="1">
      <c r="A688" s="935" t="s">
        <v>132</v>
      </c>
      <c r="B688" s="2377" t="s">
        <v>595</v>
      </c>
      <c r="C688" s="2377"/>
      <c r="D688" s="2377"/>
      <c r="E688" s="2377"/>
      <c r="F688" s="2377"/>
      <c r="G688" s="2377"/>
      <c r="H688" s="2377"/>
      <c r="I688" s="2377"/>
      <c r="J688" s="2377"/>
      <c r="K688" s="2377"/>
      <c r="L688" s="2377"/>
      <c r="M688" s="2377"/>
      <c r="N688" s="2377"/>
      <c r="O688" s="2377"/>
      <c r="P688" s="2377"/>
      <c r="Q688" s="2377"/>
      <c r="R688" s="2377"/>
      <c r="S688" s="2378"/>
      <c r="T688" s="2404"/>
      <c r="U688" s="2404"/>
      <c r="V688" s="2404"/>
      <c r="W688" s="2404"/>
      <c r="X688" s="2404"/>
      <c r="Y688" s="2404"/>
      <c r="Z688" s="1788"/>
      <c r="AA688" s="1788"/>
      <c r="AB688" s="1788"/>
      <c r="AC688" s="1788"/>
      <c r="AD688" s="1788"/>
      <c r="AE688" s="1788"/>
      <c r="AF688" s="1788"/>
      <c r="AG688" s="1788"/>
      <c r="AH688" s="1788"/>
      <c r="AI688" s="1788"/>
      <c r="AJ688" s="1788"/>
      <c r="AK688" s="1788"/>
      <c r="AL688" s="1259"/>
      <c r="AM688" s="458"/>
    </row>
    <row r="689" spans="1:39">
      <c r="A689" s="1342" t="s">
        <v>132</v>
      </c>
      <c r="B689" s="2377" t="s">
        <v>596</v>
      </c>
      <c r="C689" s="2377"/>
      <c r="D689" s="2377"/>
      <c r="E689" s="2377"/>
      <c r="F689" s="2377"/>
      <c r="G689" s="2377"/>
      <c r="H689" s="2377"/>
      <c r="I689" s="2377"/>
      <c r="J689" s="2377"/>
      <c r="K689" s="2377"/>
      <c r="L689" s="2377"/>
      <c r="M689" s="2377"/>
      <c r="N689" s="2377"/>
      <c r="O689" s="2377"/>
      <c r="P689" s="2377"/>
      <c r="Q689" s="2377"/>
      <c r="R689" s="2377"/>
      <c r="S689" s="2378"/>
      <c r="T689" s="2500">
        <f>IF(SUM(T690:Y691)&gt;52,52,SUM(T690:Y691))</f>
        <v>52</v>
      </c>
      <c r="U689" s="2501"/>
      <c r="V689" s="2501"/>
      <c r="W689" s="2501"/>
      <c r="X689" s="2501"/>
      <c r="Y689" s="2501"/>
      <c r="Z689" s="2501">
        <v>52</v>
      </c>
      <c r="AA689" s="2501"/>
      <c r="AB689" s="2501"/>
      <c r="AC689" s="2501"/>
      <c r="AD689" s="2501"/>
      <c r="AE689" s="2501"/>
      <c r="AF689" s="2501">
        <f>$AO$683+$T$691</f>
        <v>52</v>
      </c>
      <c r="AG689" s="2501"/>
      <c r="AH689" s="2501"/>
      <c r="AI689" s="2501"/>
      <c r="AJ689" s="2501"/>
      <c r="AK689" s="2501"/>
      <c r="AL689" s="1259"/>
      <c r="AM689" s="458"/>
    </row>
    <row r="690" spans="1:39">
      <c r="A690" s="945"/>
      <c r="B690" s="947"/>
      <c r="C690" s="948"/>
      <c r="D690" s="949" t="s">
        <v>1601</v>
      </c>
      <c r="E690" s="2379" t="s">
        <v>198</v>
      </c>
      <c r="F690" s="2379"/>
      <c r="G690" s="2379"/>
      <c r="H690" s="2379"/>
      <c r="I690" s="2379"/>
      <c r="J690" s="2379"/>
      <c r="K690" s="2379"/>
      <c r="L690" s="2379"/>
      <c r="M690" s="2379"/>
      <c r="N690" s="2379"/>
      <c r="O690" s="2379"/>
      <c r="P690" s="2379"/>
      <c r="Q690" s="2379"/>
      <c r="R690" s="2379"/>
      <c r="S690" s="2380"/>
      <c r="T690" s="2405">
        <f>AC592</f>
        <v>50</v>
      </c>
      <c r="U690" s="2406"/>
      <c r="V690" s="2406"/>
      <c r="W690" s="2406"/>
      <c r="X690" s="2406"/>
      <c r="Y690" s="2407"/>
      <c r="Z690" s="2405">
        <v>50</v>
      </c>
      <c r="AA690" s="2406"/>
      <c r="AB690" s="2406"/>
      <c r="AC690" s="2406"/>
      <c r="AD690" s="2406"/>
      <c r="AE690" s="2407"/>
      <c r="AF690" s="2505"/>
      <c r="AG690" s="2506"/>
      <c r="AH690" s="2506"/>
      <c r="AI690" s="2506"/>
      <c r="AJ690" s="2506"/>
      <c r="AK690" s="2507"/>
      <c r="AL690" s="1259"/>
      <c r="AM690" s="46"/>
    </row>
    <row r="691" spans="1:39">
      <c r="A691" s="950"/>
      <c r="B691" s="938"/>
      <c r="C691" s="939"/>
      <c r="D691" s="936" t="s">
        <v>1602</v>
      </c>
      <c r="E691" s="2379" t="s">
        <v>295</v>
      </c>
      <c r="F691" s="2379"/>
      <c r="G691" s="2379"/>
      <c r="H691" s="2379"/>
      <c r="I691" s="2379"/>
      <c r="J691" s="2379"/>
      <c r="K691" s="2379"/>
      <c r="L691" s="2379"/>
      <c r="M691" s="2379"/>
      <c r="N691" s="2379"/>
      <c r="O691" s="2379"/>
      <c r="P691" s="2379"/>
      <c r="Q691" s="2379"/>
      <c r="R691" s="2379"/>
      <c r="S691" s="2380"/>
      <c r="T691" s="2342">
        <f>IF(AJ616&gt;0,2,0)</f>
        <v>2</v>
      </c>
      <c r="U691" s="2343"/>
      <c r="V691" s="2343"/>
      <c r="W691" s="2343"/>
      <c r="X691" s="2343"/>
      <c r="Y691" s="2344"/>
      <c r="Z691" s="2319">
        <v>2</v>
      </c>
      <c r="AA691" s="2320"/>
      <c r="AB691" s="2320"/>
      <c r="AC691" s="2320"/>
      <c r="AD691" s="2320"/>
      <c r="AE691" s="2321"/>
      <c r="AF691" s="2521"/>
      <c r="AG691" s="2522"/>
      <c r="AH691" s="2522"/>
      <c r="AI691" s="2522"/>
      <c r="AJ691" s="2522"/>
      <c r="AK691" s="2523"/>
      <c r="AL691" s="1259"/>
      <c r="AM691" s="46"/>
    </row>
    <row r="692" spans="1:39">
      <c r="A692" s="945" t="s">
        <v>133</v>
      </c>
      <c r="B692" s="2377" t="s">
        <v>597</v>
      </c>
      <c r="C692" s="2377"/>
      <c r="D692" s="2377"/>
      <c r="E692" s="2377"/>
      <c r="F692" s="2377"/>
      <c r="G692" s="2377"/>
      <c r="H692" s="2377"/>
      <c r="I692" s="2377"/>
      <c r="J692" s="2377"/>
      <c r="K692" s="2377"/>
      <c r="L692" s="2377"/>
      <c r="M692" s="2377"/>
      <c r="N692" s="2377"/>
      <c r="O692" s="2377"/>
      <c r="P692" s="2377"/>
      <c r="Q692" s="2377"/>
      <c r="R692" s="2377"/>
      <c r="S692" s="2378"/>
      <c r="T692" s="2404">
        <f>AK643</f>
        <v>10</v>
      </c>
      <c r="U692" s="2404"/>
      <c r="V692" s="2404"/>
      <c r="W692" s="2404"/>
      <c r="X692" s="2404"/>
      <c r="Y692" s="2404"/>
      <c r="Z692" s="1788">
        <v>10</v>
      </c>
      <c r="AA692" s="1788"/>
      <c r="AB692" s="1788"/>
      <c r="AC692" s="1788"/>
      <c r="AD692" s="1788"/>
      <c r="AE692" s="1788"/>
      <c r="AF692" s="2081">
        <f>IF(T692&gt;Z692,Z692,T692)</f>
        <v>10</v>
      </c>
      <c r="AG692" s="1995"/>
      <c r="AH692" s="1995"/>
      <c r="AI692" s="1995"/>
      <c r="AJ692" s="1995"/>
      <c r="AK692" s="1996"/>
      <c r="AL692" s="1259"/>
      <c r="AM692" s="205"/>
    </row>
    <row r="693" spans="1:39">
      <c r="A693" s="945" t="s">
        <v>135</v>
      </c>
      <c r="B693" s="2377" t="s">
        <v>1067</v>
      </c>
      <c r="C693" s="2377"/>
      <c r="D693" s="2377"/>
      <c r="E693" s="2377"/>
      <c r="F693" s="2377"/>
      <c r="G693" s="2377"/>
      <c r="H693" s="2377"/>
      <c r="I693" s="2377"/>
      <c r="J693" s="2377"/>
      <c r="K693" s="2377"/>
      <c r="L693" s="2377"/>
      <c r="M693" s="2377"/>
      <c r="N693" s="2377"/>
      <c r="O693" s="2377"/>
      <c r="P693" s="2377"/>
      <c r="Q693" s="2377"/>
      <c r="R693" s="2377"/>
      <c r="S693" s="2378"/>
      <c r="T693" s="2502">
        <f>IF(AK671&gt;2,2,AK671)</f>
        <v>2</v>
      </c>
      <c r="U693" s="2503"/>
      <c r="V693" s="2503"/>
      <c r="W693" s="2503"/>
      <c r="X693" s="2503"/>
      <c r="Y693" s="2504"/>
      <c r="Z693" s="2081">
        <v>2</v>
      </c>
      <c r="AA693" s="1995"/>
      <c r="AB693" s="1995"/>
      <c r="AC693" s="1995"/>
      <c r="AD693" s="1995"/>
      <c r="AE693" s="1996"/>
      <c r="AF693" s="2081">
        <f>IF(T693&gt;Z693,Z693,T693)</f>
        <v>2</v>
      </c>
      <c r="AG693" s="2519"/>
      <c r="AH693" s="2519"/>
      <c r="AI693" s="2519"/>
      <c r="AJ693" s="2519"/>
      <c r="AK693" s="2520"/>
      <c r="AL693" s="358"/>
      <c r="AM693" s="205"/>
    </row>
    <row r="694" spans="1:39">
      <c r="A694" s="2376" t="s">
        <v>325</v>
      </c>
      <c r="B694" s="2377"/>
      <c r="C694" s="2377"/>
      <c r="D694" s="2377"/>
      <c r="E694" s="2377"/>
      <c r="F694" s="2377"/>
      <c r="G694" s="2377"/>
      <c r="H694" s="2377"/>
      <c r="I694" s="2377"/>
      <c r="J694" s="2377"/>
      <c r="K694" s="2377"/>
      <c r="L694" s="2377"/>
      <c r="M694" s="2377"/>
      <c r="N694" s="2377"/>
      <c r="O694" s="2377"/>
      <c r="P694" s="2377"/>
      <c r="Q694" s="2377"/>
      <c r="R694" s="2377"/>
      <c r="S694" s="2378"/>
      <c r="T694" s="2010"/>
      <c r="U694" s="2010"/>
      <c r="V694" s="2010"/>
      <c r="W694" s="2010"/>
      <c r="X694" s="2010"/>
      <c r="Y694" s="2010"/>
      <c r="Z694" s="2408" t="s">
        <v>324</v>
      </c>
      <c r="AA694" s="2408"/>
      <c r="AB694" s="2408"/>
      <c r="AC694" s="2408"/>
      <c r="AD694" s="2408"/>
      <c r="AE694" s="2408"/>
      <c r="AF694" s="2081">
        <f>IF(T694&gt;0,T694,0)</f>
        <v>0</v>
      </c>
      <c r="AG694" s="1995"/>
      <c r="AH694" s="1995"/>
      <c r="AI694" s="1995"/>
      <c r="AJ694" s="1995"/>
      <c r="AK694" s="1996"/>
      <c r="AL694" s="1250"/>
      <c r="AM694" s="205"/>
    </row>
    <row r="695" spans="1:39" ht="15.75">
      <c r="A695" s="2390" t="s">
        <v>782</v>
      </c>
      <c r="B695" s="2391"/>
      <c r="C695" s="2391"/>
      <c r="D695" s="2391"/>
      <c r="E695" s="2391"/>
      <c r="F695" s="2391"/>
      <c r="G695" s="2391"/>
      <c r="H695" s="2391"/>
      <c r="I695" s="2391"/>
      <c r="J695" s="2391"/>
      <c r="K695" s="2391"/>
      <c r="L695" s="2391"/>
      <c r="M695" s="2391"/>
      <c r="N695" s="2391"/>
      <c r="O695" s="2391"/>
      <c r="P695" s="2391"/>
      <c r="Q695" s="2391"/>
      <c r="R695" s="2391"/>
      <c r="S695" s="2391"/>
      <c r="T695" s="2391"/>
      <c r="U695" s="2391"/>
      <c r="V695" s="2391"/>
      <c r="W695" s="2391"/>
      <c r="X695" s="2391"/>
      <c r="Y695" s="2391"/>
      <c r="Z695" s="2391"/>
      <c r="AA695" s="2391"/>
      <c r="AB695" s="2391"/>
      <c r="AC695" s="2391"/>
      <c r="AD695" s="2391"/>
      <c r="AE695" s="2392"/>
      <c r="AF695" s="2511">
        <f>SUM(AF681:AK693)-AF694</f>
        <v>109</v>
      </c>
      <c r="AG695" s="2512"/>
      <c r="AH695" s="2512"/>
      <c r="AI695" s="2512"/>
      <c r="AJ695" s="2512"/>
      <c r="AK695" s="2513"/>
      <c r="AL695" s="1260"/>
      <c r="AM695" s="46"/>
    </row>
    <row r="696" spans="1:39" ht="15.75">
      <c r="A696" s="2393"/>
      <c r="B696" s="2394"/>
      <c r="C696" s="2394"/>
      <c r="D696" s="2394"/>
      <c r="E696" s="2394"/>
      <c r="F696" s="2394"/>
      <c r="G696" s="2394"/>
      <c r="H696" s="2394"/>
      <c r="I696" s="2394"/>
      <c r="J696" s="2394"/>
      <c r="K696" s="2394"/>
      <c r="L696" s="2394"/>
      <c r="M696" s="2394"/>
      <c r="N696" s="2394"/>
      <c r="O696" s="2394"/>
      <c r="P696" s="2394"/>
      <c r="Q696" s="2394"/>
      <c r="R696" s="2394"/>
      <c r="S696" s="2394"/>
      <c r="T696" s="2394"/>
      <c r="U696" s="2394"/>
      <c r="V696" s="2394"/>
      <c r="W696" s="2394"/>
      <c r="X696" s="2394"/>
      <c r="Y696" s="2394"/>
      <c r="Z696" s="2394"/>
      <c r="AA696" s="2394"/>
      <c r="AB696" s="2394"/>
      <c r="AC696" s="2394"/>
      <c r="AD696" s="2394"/>
      <c r="AE696" s="2395"/>
      <c r="AF696" s="2514"/>
      <c r="AG696" s="2515"/>
      <c r="AH696" s="2515"/>
      <c r="AI696" s="2515"/>
      <c r="AJ696" s="2515"/>
      <c r="AK696" s="2516"/>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9"/>
    </row>
    <row r="698" spans="1:39" ht="12.6"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9"/>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9"/>
    </row>
    <row r="700" spans="1:39" ht="12.6"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9"/>
    </row>
    <row r="701" spans="1:39" ht="12.6"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9"/>
    </row>
    <row r="702" spans="1:39" ht="12.6"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591" t="s">
        <v>2259</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61"/>
      <c r="B3" s="1461"/>
      <c r="E3" s="1462"/>
      <c r="I3" s="1464"/>
      <c r="K3" s="1465"/>
    </row>
    <row r="4" spans="1:57" ht="14.25" customHeight="1">
      <c r="A4" s="2590" t="s">
        <v>2260</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2590"/>
      <c r="AL4" s="2590"/>
      <c r="AM4" s="2590"/>
      <c r="AN4" s="2590"/>
      <c r="AO4" s="2590"/>
      <c r="AP4" s="2590"/>
      <c r="AQ4" s="2590"/>
    </row>
    <row r="5" spans="1:57">
      <c r="A5" s="1461"/>
      <c r="B5" s="1461"/>
      <c r="E5" s="1462"/>
      <c r="I5" s="1464"/>
      <c r="K5" s="1465"/>
    </row>
    <row r="6" spans="1:57">
      <c r="A6" s="1461"/>
      <c r="B6" s="1461"/>
      <c r="D6" s="1459" t="s">
        <v>2263</v>
      </c>
      <c r="I6" s="1464"/>
      <c r="K6" s="1465"/>
      <c r="U6" s="2589"/>
      <c r="V6" s="2589"/>
      <c r="W6" s="2589"/>
      <c r="BC6" s="1459" t="s">
        <v>2261</v>
      </c>
    </row>
    <row r="7" spans="1:57">
      <c r="A7" s="1461"/>
      <c r="B7" s="1461"/>
      <c r="D7" s="1466" t="s">
        <v>2264</v>
      </c>
      <c r="E7" s="1462"/>
      <c r="I7" s="1464"/>
      <c r="K7" s="1465"/>
      <c r="BC7" s="1459" t="s">
        <v>2262</v>
      </c>
    </row>
    <row r="8" spans="1:57">
      <c r="A8" s="1461"/>
      <c r="B8" s="1461"/>
      <c r="D8" s="1466"/>
      <c r="E8" s="1459" t="s">
        <v>2277</v>
      </c>
      <c r="BC8" s="1459" t="s">
        <v>2265</v>
      </c>
    </row>
    <row r="9" spans="1:57">
      <c r="A9" s="1461"/>
      <c r="B9" s="1461"/>
      <c r="E9" s="1462" t="s">
        <v>2276</v>
      </c>
      <c r="I9" s="1464"/>
      <c r="K9" s="1465"/>
      <c r="P9" s="2597"/>
      <c r="Q9" s="2597"/>
      <c r="R9" s="2597"/>
      <c r="S9" s="2597"/>
      <c r="T9" s="2597"/>
    </row>
    <row r="10" spans="1:57">
      <c r="A10" s="1461"/>
      <c r="B10" s="1461"/>
      <c r="E10" s="1462"/>
      <c r="I10" s="1464"/>
      <c r="K10" s="1465"/>
    </row>
    <row r="11" spans="1:57">
      <c r="A11" s="2590" t="s">
        <v>2266</v>
      </c>
      <c r="B11" s="2590"/>
      <c r="C11" s="2590"/>
      <c r="D11" s="2590"/>
      <c r="E11" s="2590"/>
      <c r="F11" s="2590"/>
      <c r="G11" s="2590"/>
      <c r="H11" s="2590"/>
      <c r="I11" s="2590"/>
      <c r="J11" s="2590"/>
      <c r="K11" s="2590"/>
      <c r="L11" s="2590"/>
      <c r="M11" s="2590"/>
      <c r="N11" s="2590"/>
      <c r="O11" s="2590"/>
      <c r="P11" s="2590"/>
      <c r="Q11" s="2590"/>
      <c r="R11" s="2590"/>
      <c r="S11" s="2590"/>
      <c r="T11" s="2590"/>
      <c r="U11" s="2590"/>
      <c r="V11" s="2590"/>
      <c r="W11" s="2590"/>
      <c r="X11" s="2590"/>
      <c r="Y11" s="2590"/>
      <c r="Z11" s="2590"/>
      <c r="AA11" s="2590"/>
      <c r="AB11" s="2590"/>
      <c r="AC11" s="2590"/>
      <c r="AD11" s="2590"/>
      <c r="AE11" s="2590"/>
      <c r="AF11" s="2590"/>
      <c r="AG11" s="2590"/>
      <c r="AH11" s="2590"/>
      <c r="AI11" s="2590"/>
      <c r="AJ11" s="2590"/>
      <c r="AK11" s="2590"/>
      <c r="AL11" s="2590"/>
      <c r="AM11" s="2590"/>
      <c r="AN11" s="2590"/>
      <c r="AO11" s="2590"/>
      <c r="AP11" s="2590"/>
      <c r="AQ11" s="2590"/>
      <c r="BC11" s="1459" t="s">
        <v>118</v>
      </c>
    </row>
    <row r="12" spans="1:57">
      <c r="A12" s="1461"/>
      <c r="B12" s="1461"/>
      <c r="E12" s="1462"/>
      <c r="I12" s="1464"/>
      <c r="K12" s="1465"/>
      <c r="BC12" s="1459" t="s">
        <v>527</v>
      </c>
    </row>
    <row r="13" spans="1:57">
      <c r="A13" s="1461"/>
      <c r="B13" s="1461"/>
      <c r="D13" s="1459" t="s">
        <v>2267</v>
      </c>
      <c r="E13" s="1462"/>
      <c r="I13" s="1464"/>
      <c r="K13" s="1465"/>
      <c r="T13" s="2589"/>
      <c r="U13" s="2589"/>
      <c r="V13" s="2589"/>
    </row>
    <row r="14" spans="1:57">
      <c r="A14" s="1461"/>
      <c r="B14" s="1461"/>
      <c r="E14" s="1462" t="s">
        <v>2274</v>
      </c>
      <c r="I14" s="1464"/>
      <c r="K14" s="1465"/>
      <c r="N14" s="2595"/>
      <c r="O14" s="2595"/>
      <c r="P14" s="2595"/>
      <c r="Q14" s="2595"/>
      <c r="R14" s="2595"/>
      <c r="S14" s="2595"/>
      <c r="T14" s="2595"/>
      <c r="U14" s="2595"/>
      <c r="V14" s="2595"/>
      <c r="W14" s="2595"/>
      <c r="X14" s="2595"/>
      <c r="Y14" s="2595"/>
      <c r="Z14" s="2595"/>
      <c r="AA14" s="2595"/>
      <c r="AB14" s="2595"/>
      <c r="AC14" s="2595"/>
      <c r="AD14" s="2595"/>
      <c r="AE14" s="2595"/>
    </row>
    <row r="15" spans="1:57">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2500000</v>
      </c>
    </row>
    <row r="16" spans="1:57">
      <c r="A16" s="1461"/>
      <c r="B16" s="1461"/>
      <c r="BC16" s="1459" t="s">
        <v>2279</v>
      </c>
      <c r="BE16" s="1459">
        <f>'Basis &amp; Credits'!T11+'Basis &amp; Credits'!AD11</f>
        <v>53607623</v>
      </c>
    </row>
    <row r="17" spans="1:43">
      <c r="A17" s="1461"/>
      <c r="B17" s="1461"/>
      <c r="D17" s="1459" t="s">
        <v>2269</v>
      </c>
      <c r="E17" s="1462"/>
      <c r="I17" s="1464"/>
      <c r="K17" s="1465"/>
      <c r="U17" s="2596" t="str">
        <f>IF(T13="yes",(BE15/BE16)," ")</f>
        <v xml:space="preserve"> </v>
      </c>
      <c r="V17" s="2596"/>
      <c r="W17" s="2596"/>
      <c r="X17" s="2596"/>
      <c r="Y17" s="2596"/>
    </row>
    <row r="18" spans="1:43">
      <c r="A18" s="1461"/>
      <c r="B18" s="1461"/>
      <c r="E18" s="1462"/>
      <c r="I18" s="1464"/>
      <c r="K18" s="1465"/>
    </row>
    <row r="19" spans="1:43">
      <c r="A19" s="2590" t="s">
        <v>2271</v>
      </c>
      <c r="B19" s="2590"/>
      <c r="C19" s="2590"/>
      <c r="D19" s="2590"/>
      <c r="E19" s="2590"/>
      <c r="F19" s="2590"/>
      <c r="G19" s="2590"/>
      <c r="H19" s="2590"/>
      <c r="I19" s="2590"/>
      <c r="J19" s="2590"/>
      <c r="K19" s="2590"/>
      <c r="L19" s="2590"/>
      <c r="M19" s="2590"/>
      <c r="N19" s="2590"/>
      <c r="O19" s="2590"/>
      <c r="P19" s="2590"/>
      <c r="Q19" s="2590"/>
      <c r="R19" s="2590"/>
      <c r="S19" s="2590"/>
      <c r="T19" s="2590"/>
      <c r="U19" s="2590"/>
      <c r="V19" s="2590"/>
      <c r="W19" s="2590"/>
      <c r="X19" s="2590"/>
      <c r="Y19" s="2590"/>
      <c r="Z19" s="2590"/>
      <c r="AA19" s="2590"/>
      <c r="AB19" s="2590"/>
      <c r="AC19" s="2590"/>
      <c r="AD19" s="2590"/>
      <c r="AE19" s="2590"/>
      <c r="AF19" s="2590"/>
      <c r="AG19" s="2590"/>
      <c r="AH19" s="2590"/>
      <c r="AI19" s="2590"/>
      <c r="AJ19" s="2590"/>
      <c r="AK19" s="2590"/>
      <c r="AL19" s="2590"/>
      <c r="AM19" s="2590"/>
      <c r="AN19" s="2590"/>
      <c r="AO19" s="2590"/>
      <c r="AP19" s="2590"/>
      <c r="AQ19" s="2590"/>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2272</v>
      </c>
      <c r="F22" s="1459"/>
      <c r="H22" s="1468"/>
      <c r="J22" s="1463"/>
      <c r="K22" s="1459"/>
      <c r="M22" s="1469"/>
      <c r="Q22" s="2598">
        <f>ROUND('Basis &amp; Credits'!AB55,0)</f>
        <v>2500000</v>
      </c>
      <c r="R22" s="2598"/>
      <c r="S22" s="2598"/>
      <c r="T22" s="2598"/>
      <c r="U22" s="2598"/>
      <c r="V22" s="2598"/>
      <c r="W22" s="2598"/>
      <c r="X22" s="2598"/>
      <c r="Y22" s="1489"/>
    </row>
    <row r="23" spans="1:43">
      <c r="C23" s="1461"/>
      <c r="D23" s="1461"/>
      <c r="F23" s="1459"/>
      <c r="G23" s="1470"/>
      <c r="H23" s="1471"/>
      <c r="I23" s="1472"/>
      <c r="J23" s="1473"/>
      <c r="K23" s="1470"/>
      <c r="M23" s="1460"/>
    </row>
    <row r="24" spans="1:43" s="1476" customFormat="1">
      <c r="C24" s="1474"/>
      <c r="D24" s="1474"/>
      <c r="E24" s="1475"/>
      <c r="J24" s="1473"/>
      <c r="L24" s="2601" t="s">
        <v>2249</v>
      </c>
      <c r="M24" s="2601"/>
      <c r="N24" s="2601"/>
      <c r="P24" s="2586" t="s">
        <v>2250</v>
      </c>
      <c r="Q24" s="2586"/>
      <c r="R24" s="2586"/>
      <c r="S24" s="2586"/>
      <c r="T24" s="2586"/>
      <c r="V24" s="2586" t="s">
        <v>2251</v>
      </c>
      <c r="W24" s="2586"/>
      <c r="X24" s="2586"/>
      <c r="AC24" s="1459"/>
      <c r="AD24" s="1459"/>
      <c r="AE24" s="1459"/>
      <c r="AF24" s="1459"/>
      <c r="AG24" s="1459"/>
      <c r="AH24" s="1459"/>
    </row>
    <row r="25" spans="1:43">
      <c r="C25" s="1467" t="s">
        <v>205</v>
      </c>
      <c r="D25" s="1467"/>
      <c r="E25" s="1459" t="s">
        <v>1068</v>
      </c>
      <c r="F25" s="1459"/>
      <c r="J25" s="1473"/>
      <c r="L25" s="2587" t="s">
        <v>2252</v>
      </c>
      <c r="M25" s="2587"/>
      <c r="N25" s="2587"/>
      <c r="P25" s="2587" t="s">
        <v>2253</v>
      </c>
      <c r="Q25" s="2587"/>
      <c r="R25" s="2587"/>
      <c r="S25" s="2587"/>
      <c r="T25" s="2587"/>
      <c r="V25" s="2587" t="s">
        <v>2252</v>
      </c>
      <c r="W25" s="2587"/>
      <c r="X25" s="2587"/>
    </row>
    <row r="26" spans="1:43">
      <c r="C26" s="1461"/>
      <c r="D26" s="1461"/>
      <c r="E26" s="1477" t="s">
        <v>2254</v>
      </c>
      <c r="F26" s="1477"/>
      <c r="J26" s="1478"/>
      <c r="L26" s="2602">
        <f>Application!BN627</f>
        <v>0</v>
      </c>
      <c r="M26" s="2602"/>
      <c r="N26" s="2602"/>
      <c r="P26" s="2588">
        <v>0.9</v>
      </c>
      <c r="Q26" s="2588"/>
      <c r="R26" s="2588"/>
      <c r="S26" s="2588"/>
      <c r="T26" s="2588"/>
      <c r="V26" s="2588">
        <f>L26*P26</f>
        <v>0</v>
      </c>
      <c r="W26" s="2588"/>
      <c r="X26" s="2588"/>
    </row>
    <row r="27" spans="1:43">
      <c r="C27" s="1461"/>
      <c r="D27" s="1461"/>
      <c r="E27" s="1476" t="s">
        <v>2255</v>
      </c>
      <c r="F27" s="1476"/>
      <c r="J27" s="1478"/>
      <c r="L27" s="2578">
        <f>Application!BS627</f>
        <v>54</v>
      </c>
      <c r="M27" s="2578">
        <f>Application!BS635+Application!BS644+Application!CX658</f>
        <v>0</v>
      </c>
      <c r="N27" s="2578"/>
      <c r="P27" s="2583">
        <v>1</v>
      </c>
      <c r="Q27" s="2583"/>
      <c r="R27" s="2583"/>
      <c r="S27" s="2583"/>
      <c r="T27" s="2583"/>
      <c r="V27" s="2584">
        <f t="shared" ref="V27:V29" si="0">L27*P27</f>
        <v>54</v>
      </c>
      <c r="W27" s="2584"/>
      <c r="X27" s="2584"/>
    </row>
    <row r="28" spans="1:43">
      <c r="C28" s="1461"/>
      <c r="D28" s="1461"/>
      <c r="E28" s="1476" t="s">
        <v>2256</v>
      </c>
      <c r="F28" s="1476"/>
      <c r="J28" s="1478"/>
      <c r="L28" s="2578">
        <f>Application!BX627</f>
        <v>29</v>
      </c>
      <c r="M28" s="2578">
        <f>Application!BX635+Application!BX644+Application!DC658</f>
        <v>0</v>
      </c>
      <c r="N28" s="2578"/>
      <c r="P28" s="2583">
        <v>1.25</v>
      </c>
      <c r="Q28" s="2583"/>
      <c r="R28" s="2583"/>
      <c r="S28" s="2583"/>
      <c r="T28" s="2583"/>
      <c r="V28" s="2584">
        <f t="shared" si="0"/>
        <v>36.25</v>
      </c>
      <c r="W28" s="2584"/>
      <c r="X28" s="2584"/>
    </row>
    <row r="29" spans="1:43">
      <c r="C29" s="1461"/>
      <c r="D29" s="1461"/>
      <c r="E29" s="1476" t="s">
        <v>2257</v>
      </c>
      <c r="F29" s="1476"/>
      <c r="J29" s="1478"/>
      <c r="L29" s="2578">
        <f>Application!CC627</f>
        <v>29</v>
      </c>
      <c r="M29" s="2578">
        <f>Application!CC635+Application!CC644+Application!DH658</f>
        <v>0</v>
      </c>
      <c r="N29" s="2578"/>
      <c r="P29" s="2583">
        <v>1.5</v>
      </c>
      <c r="Q29" s="2583"/>
      <c r="R29" s="2583"/>
      <c r="S29" s="2583"/>
      <c r="T29" s="2583"/>
      <c r="V29" s="2584">
        <f t="shared" si="0"/>
        <v>43.5</v>
      </c>
      <c r="W29" s="2584"/>
      <c r="X29" s="2584"/>
    </row>
    <row r="30" spans="1:43">
      <c r="C30" s="1461"/>
      <c r="D30" s="1461"/>
      <c r="E30" s="1476" t="s">
        <v>2258</v>
      </c>
      <c r="F30" s="1476"/>
      <c r="J30" s="1478"/>
      <c r="L30" s="2579">
        <f>Application!CH627+Application!CM627</f>
        <v>0</v>
      </c>
      <c r="M30" s="2579"/>
      <c r="N30" s="2579"/>
      <c r="P30" s="2583">
        <v>1.75</v>
      </c>
      <c r="Q30" s="2583"/>
      <c r="R30" s="2583">
        <f>1.75+0.25*0</f>
        <v>1.75</v>
      </c>
      <c r="S30" s="2583"/>
      <c r="T30" s="2583"/>
      <c r="V30" s="2585">
        <f>L30*P30</f>
        <v>0</v>
      </c>
      <c r="W30" s="2585"/>
      <c r="X30" s="2585"/>
    </row>
    <row r="31" spans="1:43">
      <c r="C31" s="1461"/>
      <c r="D31" s="1461"/>
      <c r="F31" s="1459"/>
      <c r="J31" s="1463"/>
      <c r="L31" s="2599">
        <f>SUM(L26:N30)</f>
        <v>112</v>
      </c>
      <c r="M31" s="2600"/>
      <c r="N31" s="2600"/>
      <c r="V31" s="2588">
        <f>SUM(V26:X30)</f>
        <v>133.75</v>
      </c>
      <c r="W31" s="2588"/>
      <c r="X31" s="2588"/>
      <c r="AA31" s="1462"/>
    </row>
    <row r="32" spans="1:43">
      <c r="C32" s="1461"/>
      <c r="D32" s="1461"/>
      <c r="F32" s="1459"/>
      <c r="G32" s="1462"/>
      <c r="J32" s="1463"/>
      <c r="K32" s="1479"/>
      <c r="N32" s="1463"/>
    </row>
    <row r="33" spans="1:27">
      <c r="C33" s="1467" t="s">
        <v>206</v>
      </c>
      <c r="D33" s="1467"/>
      <c r="E33" s="1480" t="s">
        <v>2273</v>
      </c>
      <c r="H33" s="1481"/>
      <c r="I33" s="1482"/>
      <c r="J33" s="1483"/>
      <c r="K33" s="1479"/>
      <c r="M33" s="1460"/>
      <c r="V33" s="2580">
        <f>IF(V31&gt;0,V31/Q22," ")</f>
        <v>5.3499999999999999E-5</v>
      </c>
      <c r="W33" s="2581"/>
      <c r="X33" s="2581"/>
      <c r="Y33" s="2581"/>
      <c r="Z33" s="2581"/>
      <c r="AA33" s="2582"/>
    </row>
    <row r="34" spans="1:27">
      <c r="F34" s="1459"/>
      <c r="J34" s="1463"/>
      <c r="K34" s="1459"/>
      <c r="M34" s="1460"/>
    </row>
    <row r="35" spans="1:27">
      <c r="E35" s="1461" t="s">
        <v>2280</v>
      </c>
      <c r="F35" s="1461"/>
      <c r="G35" s="1461"/>
      <c r="H35" s="1480"/>
      <c r="I35" s="1461"/>
      <c r="J35" s="1480"/>
      <c r="K35" s="1461"/>
      <c r="L35" s="1461"/>
      <c r="M35" s="1491"/>
      <c r="N35" s="1461"/>
      <c r="O35" s="1461"/>
      <c r="P35" s="1461"/>
      <c r="Q35" s="1461"/>
      <c r="R35" s="1461"/>
      <c r="V35" s="2592">
        <f>IF(V31&gt;0,1/V33," ")</f>
        <v>18691.58878504673</v>
      </c>
      <c r="W35" s="2593"/>
      <c r="X35" s="2593"/>
      <c r="Y35" s="2593"/>
      <c r="Z35" s="2593"/>
      <c r="AA35" s="2594"/>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workbookViewId="0">
      <selection activeCell="G40" sqref="G40"/>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39" t="s">
        <v>2053</v>
      </c>
      <c r="B1" s="2639"/>
      <c r="C1" s="2639"/>
      <c r="D1" s="2639"/>
      <c r="E1" s="2639"/>
      <c r="F1" s="2639"/>
      <c r="G1" s="2639"/>
      <c r="H1" s="2639"/>
      <c r="I1" s="2639"/>
      <c r="J1" s="2639"/>
      <c r="K1" s="2639"/>
      <c r="L1" s="2639"/>
      <c r="M1" s="2639"/>
      <c r="N1" s="2639"/>
      <c r="O1" s="2639"/>
      <c r="P1" s="2639"/>
      <c r="Q1" s="2639"/>
      <c r="R1" s="2639"/>
      <c r="S1" s="2639"/>
    </row>
    <row r="2" spans="1:19" ht="15" customHeight="1">
      <c r="A2" s="2639"/>
      <c r="B2" s="2639"/>
      <c r="C2" s="2639"/>
      <c r="D2" s="2639"/>
      <c r="E2" s="2639"/>
      <c r="F2" s="2639"/>
      <c r="G2" s="2639"/>
      <c r="H2" s="2639"/>
      <c r="I2" s="2639"/>
      <c r="J2" s="2639"/>
      <c r="K2" s="2639"/>
      <c r="L2" s="2639"/>
      <c r="M2" s="2639"/>
      <c r="N2" s="2639"/>
      <c r="O2" s="2639"/>
      <c r="P2" s="2639"/>
      <c r="Q2" s="2639"/>
      <c r="R2" s="2639"/>
      <c r="S2" s="263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0" t="s">
        <v>1781</v>
      </c>
      <c r="C4" s="2640"/>
      <c r="D4" s="2640"/>
      <c r="E4" s="2640"/>
      <c r="F4" s="2640"/>
      <c r="G4" s="2640"/>
      <c r="H4" s="2640"/>
      <c r="I4" s="2640"/>
      <c r="J4" s="2640"/>
      <c r="K4" s="2640"/>
      <c r="L4" s="2640"/>
      <c r="M4" s="2640"/>
      <c r="N4" s="2640"/>
      <c r="O4" s="2640"/>
      <c r="P4" s="2640"/>
      <c r="Q4" s="2640"/>
      <c r="R4" s="2640"/>
      <c r="S4" s="792"/>
    </row>
    <row r="5" spans="1:19" ht="15" customHeight="1">
      <c r="A5" s="791"/>
      <c r="B5" s="2640"/>
      <c r="C5" s="2640"/>
      <c r="D5" s="2640"/>
      <c r="E5" s="2640"/>
      <c r="F5" s="2640"/>
      <c r="G5" s="2640"/>
      <c r="H5" s="2640"/>
      <c r="I5" s="2640"/>
      <c r="J5" s="2640"/>
      <c r="K5" s="2640"/>
      <c r="L5" s="2640"/>
      <c r="M5" s="2640"/>
      <c r="N5" s="2640"/>
      <c r="O5" s="2640"/>
      <c r="P5" s="2640"/>
      <c r="Q5" s="2640"/>
      <c r="R5" s="2640"/>
      <c r="S5" s="792"/>
    </row>
    <row r="6" spans="1:19" ht="15" customHeight="1">
      <c r="A6" s="791"/>
      <c r="B6" s="2640"/>
      <c r="C6" s="2640"/>
      <c r="D6" s="2640"/>
      <c r="E6" s="2640"/>
      <c r="F6" s="2640"/>
      <c r="G6" s="2640"/>
      <c r="H6" s="2640"/>
      <c r="I6" s="2640"/>
      <c r="J6" s="2640"/>
      <c r="K6" s="2640"/>
      <c r="L6" s="2640"/>
      <c r="M6" s="2640"/>
      <c r="N6" s="2640"/>
      <c r="O6" s="2640"/>
      <c r="P6" s="2640"/>
      <c r="Q6" s="2640"/>
      <c r="R6" s="264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0" t="s">
        <v>1856</v>
      </c>
      <c r="C8" s="2640"/>
      <c r="D8" s="2640"/>
      <c r="E8" s="2640"/>
      <c r="F8" s="2640"/>
      <c r="G8" s="2640"/>
      <c r="H8" s="2640"/>
      <c r="I8" s="2640"/>
      <c r="J8" s="2640"/>
      <c r="K8" s="2640"/>
      <c r="L8" s="2640"/>
      <c r="M8" s="2640"/>
      <c r="N8" s="2640"/>
      <c r="O8" s="2640"/>
      <c r="P8" s="2640"/>
      <c r="Q8" s="2640"/>
      <c r="R8" s="264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1" t="s">
        <v>1857</v>
      </c>
      <c r="C10" s="2641"/>
      <c r="D10" s="2641"/>
      <c r="E10" s="2641"/>
      <c r="F10" s="2641"/>
      <c r="G10" s="2641"/>
      <c r="H10" s="2641"/>
      <c r="I10" s="2641"/>
      <c r="J10" s="2641"/>
      <c r="K10" s="2641"/>
      <c r="L10" s="2641"/>
      <c r="M10" s="2641"/>
      <c r="N10" s="2641"/>
      <c r="O10" s="2641"/>
      <c r="P10" s="2641"/>
      <c r="Q10" s="2641"/>
      <c r="R10" s="2641"/>
      <c r="S10" s="792"/>
    </row>
    <row r="11" spans="1:19" ht="15" customHeight="1">
      <c r="A11" s="791"/>
      <c r="B11" s="2641"/>
      <c r="C11" s="2641"/>
      <c r="D11" s="2641"/>
      <c r="E11" s="2641"/>
      <c r="F11" s="2641"/>
      <c r="G11" s="2641"/>
      <c r="H11" s="2641"/>
      <c r="I11" s="2641"/>
      <c r="J11" s="2641"/>
      <c r="K11" s="2641"/>
      <c r="L11" s="2641"/>
      <c r="M11" s="2641"/>
      <c r="N11" s="2641"/>
      <c r="O11" s="2641"/>
      <c r="P11" s="2641"/>
      <c r="Q11" s="2641"/>
      <c r="R11" s="2641"/>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1" t="s">
        <v>2147</v>
      </c>
      <c r="C13" s="2641"/>
      <c r="D13" s="2641"/>
      <c r="E13" s="2641"/>
      <c r="F13" s="2641"/>
      <c r="G13" s="2641"/>
      <c r="H13" s="2641"/>
      <c r="I13" s="2641"/>
      <c r="J13" s="2641"/>
      <c r="K13" s="2641"/>
      <c r="L13" s="2641"/>
      <c r="M13" s="2641"/>
      <c r="N13" s="2641"/>
      <c r="O13" s="2641"/>
      <c r="P13" s="2641"/>
      <c r="Q13" s="2641"/>
      <c r="R13" s="2641"/>
      <c r="S13" s="792"/>
    </row>
    <row r="14" spans="1:19" ht="15" customHeight="1">
      <c r="A14" s="791"/>
      <c r="B14" s="2641"/>
      <c r="C14" s="2641"/>
      <c r="D14" s="2641"/>
      <c r="E14" s="2641"/>
      <c r="F14" s="2641"/>
      <c r="G14" s="2641"/>
      <c r="H14" s="2641"/>
      <c r="I14" s="2641"/>
      <c r="J14" s="2641"/>
      <c r="K14" s="2641"/>
      <c r="L14" s="2641"/>
      <c r="M14" s="2641"/>
      <c r="N14" s="2641"/>
      <c r="O14" s="2641"/>
      <c r="P14" s="2641"/>
      <c r="Q14" s="2641"/>
      <c r="R14" s="2641"/>
      <c r="S14" s="792"/>
    </row>
    <row r="15" spans="1:19" ht="15" customHeight="1">
      <c r="A15" s="791"/>
      <c r="B15" s="2641"/>
      <c r="C15" s="2641"/>
      <c r="D15" s="2641"/>
      <c r="E15" s="2641"/>
      <c r="F15" s="2641"/>
      <c r="G15" s="2641"/>
      <c r="H15" s="2641"/>
      <c r="I15" s="2641"/>
      <c r="J15" s="2641"/>
      <c r="K15" s="2641"/>
      <c r="L15" s="2641"/>
      <c r="M15" s="2641"/>
      <c r="N15" s="2641"/>
      <c r="O15" s="2641"/>
      <c r="P15" s="2641"/>
      <c r="Q15" s="2641"/>
      <c r="R15" s="2641"/>
      <c r="S15" s="792"/>
    </row>
    <row r="16" spans="1:19" ht="15" customHeight="1">
      <c r="A16" s="791"/>
      <c r="B16" s="2641"/>
      <c r="C16" s="2641"/>
      <c r="D16" s="2641"/>
      <c r="E16" s="2641"/>
      <c r="F16" s="2641"/>
      <c r="G16" s="2641"/>
      <c r="H16" s="2641"/>
      <c r="I16" s="2641"/>
      <c r="J16" s="2641"/>
      <c r="K16" s="2641"/>
      <c r="L16" s="2641"/>
      <c r="M16" s="2641"/>
      <c r="N16" s="2641"/>
      <c r="O16" s="2641"/>
      <c r="P16" s="2641"/>
      <c r="Q16" s="2641"/>
      <c r="R16" s="2641"/>
      <c r="S16" s="792"/>
    </row>
    <row r="17" spans="1:19" ht="15" customHeight="1">
      <c r="A17" s="791"/>
      <c r="B17" s="2641"/>
      <c r="C17" s="2641"/>
      <c r="D17" s="2641"/>
      <c r="E17" s="2641"/>
      <c r="F17" s="2641"/>
      <c r="G17" s="2641"/>
      <c r="H17" s="2641"/>
      <c r="I17" s="2641"/>
      <c r="J17" s="2641"/>
      <c r="K17" s="2641"/>
      <c r="L17" s="2641"/>
      <c r="M17" s="2641"/>
      <c r="N17" s="2641"/>
      <c r="O17" s="2641"/>
      <c r="P17" s="2641"/>
      <c r="Q17" s="2641"/>
      <c r="R17" s="264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2" t="s">
        <v>1971</v>
      </c>
      <c r="C19" s="2642"/>
      <c r="D19" s="2642"/>
      <c r="E19" s="2642"/>
      <c r="F19" s="2642"/>
      <c r="G19" s="2642"/>
      <c r="H19" s="2642"/>
      <c r="I19" s="2642"/>
      <c r="J19" s="2642"/>
      <c r="K19" s="2642"/>
      <c r="L19" s="2642"/>
      <c r="M19" s="2642"/>
      <c r="N19" s="2642"/>
      <c r="O19" s="2642"/>
      <c r="P19" s="2642"/>
      <c r="Q19" s="2642"/>
      <c r="R19" s="2642"/>
      <c r="S19" s="792"/>
    </row>
    <row r="20" spans="1:19" ht="15" customHeight="1">
      <c r="A20" s="791"/>
      <c r="B20" s="2642"/>
      <c r="C20" s="2642"/>
      <c r="D20" s="2642"/>
      <c r="E20" s="2642"/>
      <c r="F20" s="2642"/>
      <c r="G20" s="2642"/>
      <c r="H20" s="2642"/>
      <c r="I20" s="2642"/>
      <c r="J20" s="2642"/>
      <c r="K20" s="2642"/>
      <c r="L20" s="2642"/>
      <c r="M20" s="2642"/>
      <c r="N20" s="2642"/>
      <c r="O20" s="2642"/>
      <c r="P20" s="2642"/>
      <c r="Q20" s="2642"/>
      <c r="R20" s="2642"/>
      <c r="S20" s="792"/>
    </row>
    <row r="21" spans="1:19" ht="15" customHeight="1">
      <c r="A21" s="791"/>
      <c r="B21" s="2642"/>
      <c r="C21" s="2642"/>
      <c r="D21" s="2642"/>
      <c r="E21" s="2642"/>
      <c r="F21" s="2642"/>
      <c r="G21" s="2642"/>
      <c r="H21" s="2642"/>
      <c r="I21" s="2642"/>
      <c r="J21" s="2642"/>
      <c r="K21" s="2642"/>
      <c r="L21" s="2642"/>
      <c r="M21" s="2642"/>
      <c r="N21" s="2642"/>
      <c r="O21" s="2642"/>
      <c r="P21" s="2642"/>
      <c r="Q21" s="2642"/>
      <c r="R21" s="264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2" t="s">
        <v>1972</v>
      </c>
      <c r="C23" s="2642"/>
      <c r="D23" s="2642"/>
      <c r="E23" s="2642"/>
      <c r="F23" s="2642"/>
      <c r="G23" s="2642"/>
      <c r="H23" s="2642"/>
      <c r="I23" s="2642"/>
      <c r="J23" s="2642"/>
      <c r="K23" s="2642"/>
      <c r="L23" s="2642"/>
      <c r="M23" s="2642"/>
      <c r="N23" s="2642"/>
      <c r="O23" s="2642"/>
      <c r="P23" s="2642"/>
      <c r="Q23" s="2642"/>
      <c r="R23" s="2642"/>
      <c r="S23" s="792"/>
    </row>
    <row r="24" spans="1:19" ht="15" customHeight="1">
      <c r="A24" s="793"/>
      <c r="B24" s="2642"/>
      <c r="C24" s="2642"/>
      <c r="D24" s="2642"/>
      <c r="E24" s="2642"/>
      <c r="F24" s="2642"/>
      <c r="G24" s="2642"/>
      <c r="H24" s="2642"/>
      <c r="I24" s="2642"/>
      <c r="J24" s="2642"/>
      <c r="K24" s="2642"/>
      <c r="L24" s="2642"/>
      <c r="M24" s="2642"/>
      <c r="N24" s="2642"/>
      <c r="O24" s="2642"/>
      <c r="P24" s="2642"/>
      <c r="Q24" s="2642"/>
      <c r="R24" s="264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0" t="s">
        <v>1855</v>
      </c>
      <c r="C26" s="2640"/>
      <c r="D26" s="2640"/>
      <c r="E26" s="2640"/>
      <c r="F26" s="2640"/>
      <c r="G26" s="2640"/>
      <c r="H26" s="2640"/>
      <c r="I26" s="2640"/>
      <c r="J26" s="2640"/>
      <c r="K26" s="2640"/>
      <c r="L26" s="2640"/>
      <c r="M26" s="2640"/>
      <c r="N26" s="2640"/>
      <c r="O26" s="2640"/>
      <c r="P26" s="2640"/>
      <c r="Q26" s="2640"/>
      <c r="R26" s="264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7" t="s">
        <v>1760</v>
      </c>
      <c r="C29" s="2647"/>
      <c r="D29" s="2647"/>
      <c r="E29" s="2647"/>
      <c r="F29" s="2647"/>
      <c r="G29" s="2647"/>
      <c r="H29" s="795"/>
      <c r="I29" s="795"/>
      <c r="J29" s="795"/>
      <c r="K29" s="795"/>
      <c r="L29" s="795"/>
      <c r="M29" s="795"/>
      <c r="N29" s="795"/>
      <c r="O29" s="2645" t="s">
        <v>1769</v>
      </c>
      <c r="P29" s="793"/>
      <c r="Q29" s="793"/>
      <c r="R29" s="793"/>
      <c r="S29" s="793"/>
    </row>
    <row r="30" spans="1:19" ht="15" customHeight="1">
      <c r="A30" s="793"/>
      <c r="B30" s="2647"/>
      <c r="C30" s="2647"/>
      <c r="D30" s="2647"/>
      <c r="E30" s="2647"/>
      <c r="F30" s="2647"/>
      <c r="G30" s="2647"/>
      <c r="H30" s="795"/>
      <c r="I30" s="795"/>
      <c r="J30" s="795"/>
      <c r="K30" s="795"/>
      <c r="L30" s="795"/>
      <c r="M30" s="795"/>
      <c r="N30" s="795"/>
      <c r="O30" s="2645"/>
      <c r="P30" s="793"/>
      <c r="Q30" s="793"/>
      <c r="R30" s="793"/>
      <c r="S30" s="793"/>
    </row>
    <row r="31" spans="1:19" ht="15" customHeight="1">
      <c r="A31" s="793"/>
      <c r="B31" s="2647"/>
      <c r="C31" s="2647"/>
      <c r="D31" s="2647"/>
      <c r="E31" s="2647"/>
      <c r="F31" s="2647"/>
      <c r="G31" s="2647"/>
      <c r="H31" s="795"/>
      <c r="I31" s="795"/>
      <c r="J31" s="795"/>
      <c r="K31" s="795"/>
      <c r="L31" s="795"/>
      <c r="M31" s="795"/>
      <c r="N31" s="795"/>
      <c r="O31" s="2645"/>
      <c r="P31" s="793"/>
      <c r="Q31" s="793"/>
      <c r="R31" s="793"/>
      <c r="S31" s="793"/>
    </row>
    <row r="32" spans="1:19" ht="15" customHeight="1">
      <c r="A32" s="793"/>
      <c r="B32" s="2648"/>
      <c r="C32" s="2648"/>
      <c r="D32" s="2648"/>
      <c r="E32" s="2648"/>
      <c r="F32" s="2648"/>
      <c r="G32" s="2648"/>
      <c r="H32" s="793"/>
      <c r="I32" s="2614" t="s">
        <v>153</v>
      </c>
      <c r="J32" s="2606" t="s">
        <v>1074</v>
      </c>
      <c r="K32" s="2649">
        <v>1</v>
      </c>
      <c r="L32" s="793"/>
      <c r="M32" s="796"/>
      <c r="N32" s="793"/>
      <c r="O32" s="2646"/>
      <c r="P32" s="2606" t="s">
        <v>2145</v>
      </c>
      <c r="Q32" s="793"/>
      <c r="R32" s="793"/>
      <c r="S32" s="793"/>
    </row>
    <row r="33" spans="1:19" ht="15" customHeight="1">
      <c r="A33" s="793"/>
      <c r="B33" s="2604" t="s">
        <v>1764</v>
      </c>
      <c r="C33" s="2604"/>
      <c r="D33" s="2604"/>
      <c r="E33" s="2604"/>
      <c r="F33" s="2604"/>
      <c r="G33" s="2604"/>
      <c r="H33" s="793"/>
      <c r="I33" s="2614"/>
      <c r="J33" s="2606"/>
      <c r="K33" s="2649"/>
      <c r="L33" s="793"/>
      <c r="M33" s="797"/>
      <c r="N33" s="793"/>
      <c r="O33" s="2604" t="s">
        <v>1764</v>
      </c>
      <c r="P33" s="2606"/>
      <c r="Q33" s="793"/>
      <c r="R33" s="793"/>
      <c r="S33" s="793"/>
    </row>
    <row r="34" spans="1:19" ht="15" customHeight="1">
      <c r="A34" s="793"/>
      <c r="B34" s="2605"/>
      <c r="C34" s="2605"/>
      <c r="D34" s="2605"/>
      <c r="E34" s="2605"/>
      <c r="F34" s="2605"/>
      <c r="G34" s="2605"/>
      <c r="H34" s="793"/>
      <c r="I34" s="1025"/>
      <c r="J34" s="1024"/>
      <c r="K34" s="1026"/>
      <c r="L34" s="793"/>
      <c r="M34" s="797"/>
      <c r="N34" s="793"/>
      <c r="O34" s="260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1752</v>
      </c>
      <c r="C37" s="2628"/>
      <c r="D37" s="2628"/>
      <c r="E37" s="2628"/>
      <c r="F37" s="804"/>
      <c r="G37" s="804"/>
      <c r="H37" s="805"/>
      <c r="I37" s="806"/>
      <c r="J37" s="806"/>
      <c r="P37" s="793"/>
      <c r="Q37" s="807"/>
      <c r="R37" s="807"/>
      <c r="S37" s="793"/>
    </row>
    <row r="38" spans="1:19" ht="15" customHeight="1">
      <c r="A38" s="793"/>
      <c r="B38" s="2633" t="s">
        <v>1770</v>
      </c>
      <c r="C38" s="2633"/>
      <c r="D38" s="2633"/>
      <c r="E38" s="2633"/>
      <c r="F38" s="1020"/>
      <c r="G38" s="808">
        <f>D110</f>
        <v>0</v>
      </c>
      <c r="H38" s="809"/>
      <c r="I38" s="810"/>
      <c r="J38" s="809"/>
      <c r="L38" s="1275"/>
      <c r="M38" s="1275"/>
      <c r="N38" s="1275"/>
      <c r="O38" s="1275"/>
      <c r="P38" s="759"/>
      <c r="Q38" s="2603"/>
      <c r="R38" s="2603"/>
      <c r="S38" s="759"/>
    </row>
    <row r="39" spans="1:19" ht="15" customHeight="1">
      <c r="A39" s="579"/>
      <c r="B39" s="2634" t="s">
        <v>1386</v>
      </c>
      <c r="C39" s="2634"/>
      <c r="D39" s="2634"/>
      <c r="E39" s="2634"/>
      <c r="F39" s="1020"/>
      <c r="G39" s="977">
        <v>1800000</v>
      </c>
      <c r="H39" s="809"/>
      <c r="I39" s="810"/>
      <c r="J39" s="809"/>
      <c r="L39" s="809"/>
      <c r="M39" s="807"/>
      <c r="N39" s="807"/>
      <c r="O39" s="807"/>
      <c r="P39" s="759"/>
      <c r="Q39" s="1132"/>
      <c r="R39" s="1132"/>
      <c r="S39" s="759"/>
    </row>
    <row r="40" spans="1:19" ht="15" customHeight="1">
      <c r="A40" s="579"/>
      <c r="B40" s="2634" t="s">
        <v>1387</v>
      </c>
      <c r="C40" s="2634"/>
      <c r="D40" s="2634"/>
      <c r="E40" s="2634"/>
      <c r="F40" s="1020"/>
      <c r="G40" s="977"/>
      <c r="H40" s="809"/>
      <c r="I40" s="810"/>
      <c r="J40" s="809"/>
      <c r="K40" s="2638"/>
      <c r="L40" s="2638"/>
      <c r="M40" s="2638"/>
      <c r="N40" s="2638"/>
      <c r="O40" s="2638"/>
      <c r="P40" s="1049"/>
      <c r="Q40" s="2603"/>
      <c r="R40" s="2603"/>
      <c r="S40" s="793"/>
    </row>
    <row r="41" spans="1:19" ht="15" customHeight="1">
      <c r="A41" s="579"/>
      <c r="B41" s="2635" t="s">
        <v>1765</v>
      </c>
      <c r="C41" s="2635"/>
      <c r="D41" s="2635"/>
      <c r="E41" s="2635"/>
      <c r="F41" s="1020"/>
      <c r="G41" s="809"/>
      <c r="H41" s="809"/>
      <c r="I41" s="810"/>
      <c r="J41" s="809"/>
      <c r="K41" s="809"/>
      <c r="L41" s="809"/>
      <c r="M41" s="807"/>
      <c r="N41" s="807"/>
      <c r="O41" s="807"/>
      <c r="P41" s="759"/>
      <c r="Q41" s="811"/>
      <c r="R41" s="811"/>
      <c r="S41" s="793"/>
    </row>
    <row r="42" spans="1:19" ht="15" customHeight="1">
      <c r="A42" s="579"/>
      <c r="B42" s="979" t="s">
        <v>2439</v>
      </c>
      <c r="C42" s="979"/>
      <c r="D42" s="972"/>
      <c r="E42" s="1023">
        <v>14291374</v>
      </c>
      <c r="F42" s="1020"/>
      <c r="G42" s="809"/>
      <c r="H42" s="809"/>
      <c r="I42" s="810"/>
      <c r="J42" s="809"/>
      <c r="K42" s="2638"/>
      <c r="L42" s="2638"/>
      <c r="M42" s="2638"/>
      <c r="N42" s="2638"/>
      <c r="O42" s="2638"/>
      <c r="P42" s="1049"/>
      <c r="Q42" s="2603"/>
      <c r="R42" s="2603"/>
      <c r="S42" s="793"/>
    </row>
    <row r="43" spans="1:19" ht="15" customHeight="1">
      <c r="A43" s="579"/>
      <c r="B43" s="979" t="s">
        <v>2400</v>
      </c>
      <c r="C43" s="979"/>
      <c r="D43" s="788"/>
      <c r="E43" s="1264">
        <v>5393800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03"/>
      <c r="R44" s="2603"/>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09" t="s">
        <v>2031</v>
      </c>
      <c r="L46" s="2609"/>
      <c r="M46" s="2609"/>
      <c r="N46" s="2609"/>
      <c r="O46" s="2609"/>
      <c r="P46" s="793"/>
      <c r="Q46" s="2607"/>
      <c r="R46" s="2607"/>
      <c r="S46" s="793"/>
    </row>
    <row r="47" spans="1:19" ht="15" customHeight="1">
      <c r="A47" s="579"/>
      <c r="B47" s="979"/>
      <c r="C47" s="979"/>
      <c r="D47" s="788"/>
      <c r="E47" s="1023"/>
      <c r="F47" s="1020"/>
      <c r="G47" s="809"/>
      <c r="H47" s="809"/>
      <c r="I47" s="810"/>
      <c r="J47" s="809"/>
      <c r="K47" s="2608" t="s">
        <v>2032</v>
      </c>
      <c r="L47" s="2608"/>
      <c r="M47" s="2608"/>
      <c r="N47" s="2608"/>
      <c r="O47" s="2608"/>
      <c r="P47" s="793"/>
      <c r="Q47" s="2644"/>
      <c r="R47" s="2644"/>
      <c r="S47" s="793"/>
    </row>
    <row r="48" spans="1:19" ht="15" customHeight="1">
      <c r="A48" s="579"/>
      <c r="B48" s="979"/>
      <c r="C48" s="979"/>
      <c r="D48" s="788"/>
      <c r="E48" s="1023"/>
      <c r="F48" s="1020"/>
      <c r="G48" s="809"/>
      <c r="H48" s="809"/>
      <c r="I48" s="810"/>
      <c r="J48" s="809"/>
      <c r="K48" s="2643" t="s">
        <v>2033</v>
      </c>
      <c r="L48" s="2643"/>
      <c r="M48" s="2643"/>
      <c r="N48" s="2643"/>
      <c r="O48" s="2643"/>
      <c r="P48" s="793"/>
      <c r="Q48" s="2609">
        <f>Q46+Q47</f>
        <v>0</v>
      </c>
      <c r="R48" s="260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3" t="s">
        <v>1761</v>
      </c>
      <c r="C52" s="2633"/>
      <c r="D52" s="2633"/>
      <c r="E52" s="2633"/>
      <c r="F52" s="1020"/>
      <c r="G52" s="808">
        <f>SUM(E42:E49)-ABS(E50)-ABS(E51)</f>
        <v>19685174</v>
      </c>
      <c r="H52" s="809"/>
      <c r="I52" s="810"/>
      <c r="J52" s="809"/>
    </row>
    <row r="53" spans="1:29" ht="15" customHeight="1">
      <c r="A53" s="579"/>
      <c r="B53" s="793"/>
      <c r="C53" s="814"/>
      <c r="D53" s="814" t="s">
        <v>952</v>
      </c>
      <c r="E53" s="815"/>
      <c r="F53" s="815"/>
      <c r="G53" s="816">
        <f>SUM(G38:G40)+G52</f>
        <v>21485174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36" t="s">
        <v>1365</v>
      </c>
      <c r="C56" s="2636"/>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7" t="s">
        <v>1755</v>
      </c>
      <c r="C57" s="2637"/>
      <c r="D57" s="2637"/>
      <c r="E57" s="2637"/>
      <c r="F57" s="2637"/>
      <c r="G57" s="2637"/>
      <c r="H57" s="2637"/>
      <c r="I57" s="2637"/>
      <c r="J57" s="2637"/>
      <c r="K57" s="2637"/>
      <c r="L57" s="2637"/>
      <c r="M57" s="2637"/>
      <c r="N57" s="2637"/>
      <c r="O57" s="2637"/>
      <c r="P57" s="1020"/>
      <c r="Q57" s="793"/>
      <c r="R57" s="793"/>
      <c r="S57" s="793"/>
      <c r="U57" s="1209" t="s">
        <v>1966</v>
      </c>
      <c r="AC57" s="1263">
        <v>0.1</v>
      </c>
    </row>
    <row r="58" spans="1:29" ht="15" customHeight="1">
      <c r="A58" s="793"/>
      <c r="B58" s="2628" t="s">
        <v>1754</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1967</v>
      </c>
      <c r="AC58" s="1263">
        <v>0.1</v>
      </c>
    </row>
    <row r="59" spans="1:29" ht="15" customHeight="1">
      <c r="A59" s="793"/>
      <c r="B59" s="2618" t="s">
        <v>1970</v>
      </c>
      <c r="C59" s="2618"/>
      <c r="D59" s="2618"/>
      <c r="E59" s="2618"/>
      <c r="F59" s="2618"/>
      <c r="G59" s="2618"/>
      <c r="H59" s="2618"/>
      <c r="I59" s="2618"/>
      <c r="J59" s="2618"/>
      <c r="K59" s="2618"/>
      <c r="L59" s="2618"/>
      <c r="M59" s="2618"/>
      <c r="N59" s="2618"/>
      <c r="O59" s="2618"/>
      <c r="P59" s="820"/>
      <c r="Q59" s="793"/>
      <c r="R59" s="793"/>
      <c r="S59" s="793"/>
      <c r="U59" s="1209" t="s">
        <v>1968</v>
      </c>
      <c r="AC59" s="1263">
        <v>0.05</v>
      </c>
    </row>
    <row r="60" spans="1:29" ht="15" customHeight="1" thickBot="1">
      <c r="A60" s="793"/>
      <c r="B60" s="2618"/>
      <c r="C60" s="2618"/>
      <c r="D60" s="2618"/>
      <c r="E60" s="2618"/>
      <c r="F60" s="2618"/>
      <c r="G60" s="2618"/>
      <c r="H60" s="2618"/>
      <c r="I60" s="2618"/>
      <c r="J60" s="2618"/>
      <c r="K60" s="2618"/>
      <c r="L60" s="2618"/>
      <c r="M60" s="2618"/>
      <c r="N60" s="2618"/>
      <c r="O60" s="2618"/>
      <c r="P60" s="820"/>
      <c r="Q60" s="793"/>
      <c r="R60" s="793"/>
      <c r="S60" s="793"/>
      <c r="U60" s="1210"/>
      <c r="AC60" s="1211"/>
    </row>
    <row r="61" spans="1:29" ht="15" customHeight="1">
      <c r="A61" s="793"/>
      <c r="B61" s="2619" t="s">
        <v>1756</v>
      </c>
      <c r="C61" s="2619"/>
      <c r="D61" s="2619"/>
      <c r="E61" s="2619"/>
      <c r="F61" s="2619"/>
      <c r="G61" s="2619"/>
      <c r="H61" s="2619"/>
      <c r="I61" s="2619"/>
      <c r="J61" s="2619"/>
      <c r="K61" s="2619"/>
      <c r="L61" s="2619"/>
      <c r="M61" s="2619"/>
      <c r="N61" s="2619"/>
      <c r="O61" s="2619"/>
      <c r="P61" s="820"/>
      <c r="Q61" s="793"/>
      <c r="R61" s="793"/>
      <c r="S61" s="793"/>
      <c r="U61" s="265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1"/>
    </row>
    <row r="63" spans="1:29" ht="15" customHeight="1">
      <c r="A63" s="793"/>
      <c r="B63" s="807"/>
      <c r="C63" s="807"/>
      <c r="D63" s="807"/>
      <c r="E63" s="1281"/>
      <c r="F63" s="807"/>
      <c r="G63" s="807"/>
      <c r="H63" s="807"/>
      <c r="I63" s="1219"/>
      <c r="J63" s="2624" t="s">
        <v>2146</v>
      </c>
      <c r="K63" s="2625"/>
      <c r="L63" s="2625"/>
      <c r="M63" s="2625"/>
      <c r="N63" s="2625"/>
      <c r="O63" s="2625"/>
      <c r="P63" s="2625"/>
      <c r="Q63" s="2625"/>
      <c r="R63" s="2625"/>
      <c r="S63" s="793"/>
      <c r="U63" s="2650">
        <f>IF(J67="Non-rural project, Census Tract is High Resource (10 percentage points)",AC57,0)</f>
        <v>0</v>
      </c>
    </row>
    <row r="64" spans="1:29" ht="15" customHeight="1" thickBot="1">
      <c r="A64" s="793"/>
      <c r="B64" s="2620" t="s">
        <v>1766</v>
      </c>
      <c r="C64" s="2620"/>
      <c r="D64" s="807"/>
      <c r="F64" s="807"/>
      <c r="G64" s="1283" t="s">
        <v>2034</v>
      </c>
      <c r="H64" s="807"/>
      <c r="I64" s="1220"/>
      <c r="J64" s="2626"/>
      <c r="K64" s="2627"/>
      <c r="L64" s="2627"/>
      <c r="M64" s="2627"/>
      <c r="N64" s="2627"/>
      <c r="O64" s="2627"/>
      <c r="P64" s="2627"/>
      <c r="Q64" s="2627"/>
      <c r="R64" s="2627"/>
      <c r="S64" s="793"/>
      <c r="U64" s="2651"/>
    </row>
    <row r="65" spans="1:22" ht="15" customHeight="1">
      <c r="A65" s="793"/>
      <c r="B65" s="822" t="s">
        <v>1759</v>
      </c>
      <c r="C65" s="985" t="str">
        <f>IF(Application!M349="Yes","Yes","No")</f>
        <v>Yes</v>
      </c>
      <c r="E65" s="1284"/>
      <c r="F65" s="1284"/>
      <c r="G65" s="1285" t="s">
        <v>2036</v>
      </c>
      <c r="H65" s="807"/>
      <c r="I65" s="1220"/>
      <c r="J65" s="2626"/>
      <c r="K65" s="2627"/>
      <c r="L65" s="2627"/>
      <c r="M65" s="2627"/>
      <c r="N65" s="2627"/>
      <c r="O65" s="2627"/>
      <c r="P65" s="2627"/>
      <c r="Q65" s="2627"/>
      <c r="R65" s="2627"/>
      <c r="S65" s="793"/>
      <c r="U65" s="2650">
        <f>IF(J67="Rural project, Census Tract is Highest Resource (10 percentage points)",AC58,0)</f>
        <v>0</v>
      </c>
    </row>
    <row r="66" spans="1:22" ht="15" customHeight="1" thickBot="1">
      <c r="A66" s="793"/>
      <c r="B66" s="823" t="s">
        <v>1842</v>
      </c>
      <c r="C66" s="986">
        <f>Application!AG430-Application!AG431</f>
        <v>113</v>
      </c>
      <c r="D66" s="1284"/>
      <c r="E66" s="823" t="s">
        <v>2037</v>
      </c>
      <c r="F66" s="1284"/>
      <c r="G66" s="1033"/>
      <c r="H66" s="824"/>
      <c r="I66" s="1221"/>
      <c r="J66" s="2626"/>
      <c r="K66" s="2627"/>
      <c r="L66" s="2627"/>
      <c r="M66" s="2627"/>
      <c r="N66" s="2627"/>
      <c r="O66" s="2627"/>
      <c r="P66" s="2627"/>
      <c r="Q66" s="2627"/>
      <c r="R66" s="2627"/>
      <c r="S66" s="793"/>
      <c r="U66" s="2651"/>
    </row>
    <row r="67" spans="1:22" ht="15" customHeight="1">
      <c r="A67" s="793"/>
      <c r="B67" s="823" t="s">
        <v>1753</v>
      </c>
      <c r="C67" s="987">
        <f>MIN(IF(AND(C65="Yes",G67&gt;=50),(0.75+(G67/200)),1),1.5)</f>
        <v>1.3149999999999999</v>
      </c>
      <c r="D67" s="824"/>
      <c r="E67" s="823" t="s">
        <v>1843</v>
      </c>
      <c r="G67" s="986">
        <f>C66+G66</f>
        <v>113</v>
      </c>
      <c r="H67" s="824"/>
      <c r="I67" s="1221"/>
      <c r="J67" s="2623" t="s">
        <v>134</v>
      </c>
      <c r="K67" s="2623"/>
      <c r="L67" s="2623"/>
      <c r="M67" s="2623"/>
      <c r="N67" s="2623"/>
      <c r="O67" s="2623"/>
      <c r="P67" s="2623"/>
      <c r="Q67" s="2623"/>
      <c r="R67" s="2623"/>
      <c r="S67" s="793"/>
      <c r="U67" s="265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4">
        <f>SUM(U61:U68)</f>
        <v>0</v>
      </c>
    </row>
    <row r="70" spans="1:22" ht="15" customHeight="1" thickBot="1">
      <c r="A70" s="793"/>
      <c r="B70" s="2621" t="s">
        <v>1763</v>
      </c>
      <c r="C70" s="2621"/>
      <c r="D70" s="794"/>
      <c r="E70" s="794"/>
      <c r="F70" s="794"/>
      <c r="G70" s="794"/>
      <c r="H70" s="793"/>
      <c r="I70" s="793"/>
      <c r="J70" s="793"/>
      <c r="K70" s="793"/>
      <c r="L70" s="793"/>
      <c r="M70" s="793"/>
      <c r="N70" s="793"/>
      <c r="O70" s="793"/>
      <c r="P70" s="793"/>
      <c r="Q70" s="793"/>
      <c r="R70" s="793"/>
      <c r="S70" s="793"/>
      <c r="U70" s="2655"/>
      <c r="V70" s="620" t="s">
        <v>1969</v>
      </c>
    </row>
    <row r="71" spans="1:22" ht="15" customHeight="1">
      <c r="A71" s="793"/>
      <c r="B71" s="2622" t="s">
        <v>1767</v>
      </c>
      <c r="C71" s="2622"/>
      <c r="D71" s="2622"/>
      <c r="E71" s="794"/>
      <c r="F71" s="794"/>
      <c r="G71" s="808">
        <f>G53*(1-J58)</f>
        <v>21485174</v>
      </c>
      <c r="H71" s="793"/>
      <c r="I71" s="793"/>
      <c r="J71" s="826"/>
      <c r="K71" s="1117" t="s">
        <v>1769</v>
      </c>
      <c r="L71" s="1117"/>
      <c r="M71" s="1117"/>
      <c r="N71" s="1117"/>
      <c r="O71" s="1117"/>
      <c r="P71" s="793"/>
      <c r="Q71" s="2609">
        <f>'Basis &amp; Credits'!T23+'Basis &amp; Credits'!Y23+'Basis &amp; Credits'!AD23+'Basis &amp; Credits'!AI23</f>
        <v>27777778</v>
      </c>
      <c r="R71" s="2609"/>
      <c r="S71" s="793"/>
    </row>
    <row r="72" spans="1:22" ht="15" customHeight="1">
      <c r="A72" s="793"/>
      <c r="B72" s="2611" t="s">
        <v>1768</v>
      </c>
      <c r="C72" s="2611"/>
      <c r="D72" s="2611"/>
      <c r="E72" s="794"/>
      <c r="F72" s="794"/>
      <c r="G72" s="808">
        <f>G71*C67</f>
        <v>28253003.809999999</v>
      </c>
      <c r="H72" s="793"/>
      <c r="I72" s="793"/>
      <c r="J72" s="826"/>
      <c r="K72" s="1223"/>
      <c r="L72" s="1223"/>
      <c r="M72" s="1223"/>
      <c r="N72" s="1223"/>
      <c r="O72" s="1223"/>
      <c r="P72" s="793"/>
      <c r="Q72" s="2603"/>
      <c r="R72" s="260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2">
        <f>$G$72</f>
        <v>28253003.809999999</v>
      </c>
      <c r="C75" s="2613"/>
      <c r="D75" s="2613"/>
      <c r="E75" s="2613"/>
      <c r="F75" s="2613"/>
      <c r="G75" s="2613"/>
      <c r="H75" s="827"/>
      <c r="I75" s="2614" t="s">
        <v>153</v>
      </c>
      <c r="J75" s="2606" t="s">
        <v>1074</v>
      </c>
      <c r="K75" s="2614">
        <v>1</v>
      </c>
      <c r="L75" s="793"/>
      <c r="M75" s="799"/>
      <c r="N75" s="825"/>
      <c r="O75" s="1035">
        <f>$Q$71</f>
        <v>27777778</v>
      </c>
      <c r="P75" s="2606" t="s">
        <v>2145</v>
      </c>
      <c r="Q75" s="2615" t="s">
        <v>152</v>
      </c>
      <c r="R75" s="2652">
        <f>((B75/B76)+((1-(O75/O76))/2))+U69</f>
        <v>0.74891456528122191</v>
      </c>
    </row>
    <row r="76" spans="1:22" ht="15" customHeight="1" thickBot="1">
      <c r="A76" s="793"/>
      <c r="B76" s="2616">
        <f>'Sources and Uses Budget'!$C$104+$Q$46-($E$50+$E$51)*(1-$J$58)</f>
        <v>57707008</v>
      </c>
      <c r="C76" s="2617"/>
      <c r="D76" s="2617"/>
      <c r="E76" s="2617"/>
      <c r="F76" s="2617"/>
      <c r="G76" s="2616"/>
      <c r="H76" s="793"/>
      <c r="I76" s="2614"/>
      <c r="J76" s="2606"/>
      <c r="K76" s="2614"/>
      <c r="L76" s="793"/>
      <c r="M76" s="1016"/>
      <c r="N76" s="793"/>
      <c r="O76" s="1034">
        <f>B76</f>
        <v>57707008</v>
      </c>
      <c r="P76" s="2606"/>
      <c r="Q76" s="2615"/>
      <c r="R76" s="265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07"/>
      <c r="R84" s="2607"/>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07"/>
      <c r="R89" s="2607"/>
      <c r="S89" s="793"/>
    </row>
    <row r="90" spans="1:19" ht="15" customHeight="1">
      <c r="A90" s="579"/>
      <c r="B90" s="771" t="s">
        <v>676</v>
      </c>
      <c r="C90" s="772"/>
      <c r="D90" s="773"/>
      <c r="E90" s="774"/>
      <c r="F90" s="838"/>
      <c r="G90" s="831">
        <f>MAX(($E90-$D90)*$C90*12,0)</f>
        <v>0</v>
      </c>
      <c r="H90" s="793"/>
      <c r="I90" s="810"/>
      <c r="J90" s="793"/>
      <c r="K90" s="1213" t="s">
        <v>1778</v>
      </c>
      <c r="L90" s="1114"/>
      <c r="M90" s="1114"/>
      <c r="N90" s="1114"/>
      <c r="O90" s="1114"/>
      <c r="P90" s="1114"/>
      <c r="Q90" s="2610"/>
      <c r="R90" s="2610"/>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08">
        <f>IFERROR(Q89/Q90,0)</f>
        <v>0</v>
      </c>
      <c r="R91" s="2608"/>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09">
        <f>MAX(Q84,Q91)</f>
        <v>0</v>
      </c>
      <c r="R93" s="2609"/>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40" workbookViewId="0">
      <selection activeCell="E26" sqref="E2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1535076</v>
      </c>
      <c r="F4" s="592"/>
      <c r="G4" s="592">
        <f>E4*$C$4</f>
        <v>1573452.9</v>
      </c>
      <c r="H4" s="592"/>
      <c r="I4" s="592">
        <f>G4*$C$4</f>
        <v>1612789.2224999997</v>
      </c>
      <c r="J4" s="592"/>
      <c r="K4" s="592">
        <f>I4*$C$4</f>
        <v>1653108.9530624996</v>
      </c>
      <c r="L4" s="592"/>
      <c r="M4" s="592">
        <f>K4*$C$4</f>
        <v>1694436.6768890619</v>
      </c>
      <c r="N4" s="592"/>
      <c r="O4" s="592">
        <f>M4*$C$4</f>
        <v>1736797.5938112882</v>
      </c>
      <c r="P4" s="592"/>
      <c r="Q4" s="592">
        <f>O4*$C$4</f>
        <v>1780217.5336565704</v>
      </c>
      <c r="R4" s="592"/>
      <c r="S4" s="592">
        <f>Q4*$C$4</f>
        <v>1824722.9719979845</v>
      </c>
      <c r="T4" s="592"/>
      <c r="U4" s="592">
        <f>S4*$C$4</f>
        <v>1870341.0462979339</v>
      </c>
      <c r="V4" s="592"/>
      <c r="W4" s="592">
        <f>U4*$C$4</f>
        <v>1917099.572455382</v>
      </c>
      <c r="X4" s="592"/>
      <c r="Y4" s="592">
        <f>W4*$C$4</f>
        <v>1965027.0617667662</v>
      </c>
      <c r="Z4" s="592"/>
      <c r="AA4" s="592">
        <f>Y4*$C$4</f>
        <v>2014152.7383109352</v>
      </c>
      <c r="AB4" s="592"/>
      <c r="AC4" s="592">
        <f>AA4*$C$4</f>
        <v>2064506.5567687084</v>
      </c>
      <c r="AD4" s="592"/>
      <c r="AE4" s="592">
        <f>AC4*$C$4</f>
        <v>2116119.2206879258</v>
      </c>
      <c r="AF4" s="592"/>
      <c r="AG4" s="592">
        <f>AE4*$C$4</f>
        <v>2169022.2012051237</v>
      </c>
      <c r="AH4" s="592"/>
    </row>
    <row r="5" spans="1:34" ht="14.25">
      <c r="A5" s="582"/>
      <c r="B5" s="582" t="s">
        <v>1070</v>
      </c>
      <c r="C5" s="617">
        <f>IF(Application!$D$214="Special Needs",0.1,0.05)</f>
        <v>0.05</v>
      </c>
      <c r="D5" s="582"/>
      <c r="E5" s="594">
        <f>-E4*$C$5</f>
        <v>-76753.8</v>
      </c>
      <c r="F5" s="594"/>
      <c r="G5" s="594">
        <f>-G4*$C$5</f>
        <v>-78672.645000000004</v>
      </c>
      <c r="H5" s="594"/>
      <c r="I5" s="594">
        <f>-I4*$C$5</f>
        <v>-80639.461124999987</v>
      </c>
      <c r="J5" s="594"/>
      <c r="K5" s="594">
        <f>-K4*$C$5</f>
        <v>-82655.447653124982</v>
      </c>
      <c r="L5" s="594"/>
      <c r="M5" s="594">
        <f>-M4*$C$5</f>
        <v>-84721.833844453096</v>
      </c>
      <c r="N5" s="594"/>
      <c r="O5" s="594">
        <f>-O4*$C$5</f>
        <v>-86839.879690564412</v>
      </c>
      <c r="P5" s="594"/>
      <c r="Q5" s="594">
        <f>-Q4*$C$5</f>
        <v>-89010.87668282853</v>
      </c>
      <c r="R5" s="594"/>
      <c r="S5" s="594">
        <f>-S4*$C$5</f>
        <v>-91236.148599899228</v>
      </c>
      <c r="T5" s="594"/>
      <c r="U5" s="594">
        <f>-U4*$C$5</f>
        <v>-93517.052314896704</v>
      </c>
      <c r="V5" s="594"/>
      <c r="W5" s="594">
        <f>-W4*$C$5</f>
        <v>-95854.978622769107</v>
      </c>
      <c r="X5" s="594"/>
      <c r="Y5" s="594">
        <f>-Y4*$C$5</f>
        <v>-98251.353088338321</v>
      </c>
      <c r="Z5" s="594"/>
      <c r="AA5" s="594">
        <f>-AA4*$C$5</f>
        <v>-100707.63691554677</v>
      </c>
      <c r="AB5" s="594"/>
      <c r="AC5" s="594">
        <f>-AC4*$C$5</f>
        <v>-103225.32783843542</v>
      </c>
      <c r="AD5" s="594"/>
      <c r="AE5" s="594">
        <f>-AE4*$C$5</f>
        <v>-105805.9610343963</v>
      </c>
      <c r="AF5" s="594"/>
      <c r="AG5" s="594">
        <f>-AG4*$C$5</f>
        <v>-108451.11006025619</v>
      </c>
      <c r="AH5" s="582"/>
    </row>
    <row r="6" spans="1:34" ht="14.25">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287</v>
      </c>
      <c r="B8" s="582"/>
      <c r="C8" s="616">
        <v>1.0249999999999999</v>
      </c>
      <c r="D8" s="582"/>
      <c r="E8" s="595">
        <f>Application!Z795</f>
        <v>16272</v>
      </c>
      <c r="F8" s="595"/>
      <c r="G8" s="595">
        <f>E8*$C$8</f>
        <v>16678.8</v>
      </c>
      <c r="H8" s="595"/>
      <c r="I8" s="595">
        <f>G8*$C$8</f>
        <v>17095.769999999997</v>
      </c>
      <c r="J8" s="595"/>
      <c r="K8" s="595">
        <f>I8*$C$8</f>
        <v>17523.164249999994</v>
      </c>
      <c r="L8" s="595"/>
      <c r="M8" s="595">
        <f>K8*$C$8</f>
        <v>17961.243356249994</v>
      </c>
      <c r="N8" s="595"/>
      <c r="O8" s="595">
        <f>M8*$C$8</f>
        <v>18410.274440156241</v>
      </c>
      <c r="P8" s="595"/>
      <c r="Q8" s="595">
        <f>O8*$C$8</f>
        <v>18870.531301160147</v>
      </c>
      <c r="R8" s="595"/>
      <c r="S8" s="595">
        <f>Q8*$C$8</f>
        <v>19342.294583689149</v>
      </c>
      <c r="T8" s="595"/>
      <c r="U8" s="595">
        <f>S8*$C$8</f>
        <v>19825.851948281375</v>
      </c>
      <c r="V8" s="595"/>
      <c r="W8" s="595">
        <f>U8*$C$8</f>
        <v>20321.498246988409</v>
      </c>
      <c r="X8" s="595"/>
      <c r="Y8" s="595">
        <f>W8*$C$8</f>
        <v>20829.535703163117</v>
      </c>
      <c r="Z8" s="595"/>
      <c r="AA8" s="595">
        <f>Y8*$C$8</f>
        <v>21350.274095742192</v>
      </c>
      <c r="AB8" s="595"/>
      <c r="AC8" s="595">
        <f>AA8*$C$8</f>
        <v>21884.030948135744</v>
      </c>
      <c r="AD8" s="595"/>
      <c r="AE8" s="595">
        <f>AC8*$C$8</f>
        <v>22431.131721839134</v>
      </c>
      <c r="AF8" s="595"/>
      <c r="AG8" s="595">
        <f>AE8*$C$8</f>
        <v>22991.91001488511</v>
      </c>
      <c r="AH8" s="582"/>
    </row>
    <row r="9" spans="1:34" ht="14.25">
      <c r="A9" s="582"/>
      <c r="B9" s="582" t="s">
        <v>1070</v>
      </c>
      <c r="C9" s="617">
        <f>IF(Application!$D$214="Special Needs",0.1,0.05)</f>
        <v>0.05</v>
      </c>
      <c r="D9" s="582"/>
      <c r="E9" s="614">
        <f>-E8*$C$9</f>
        <v>-813.6</v>
      </c>
      <c r="F9" s="594"/>
      <c r="G9" s="614">
        <f>-G8*$C$9</f>
        <v>-833.94</v>
      </c>
      <c r="H9" s="594"/>
      <c r="I9" s="614">
        <f>-I8*$C$9</f>
        <v>-854.78849999999989</v>
      </c>
      <c r="J9" s="594"/>
      <c r="K9" s="614">
        <f>-K8*$C$9</f>
        <v>-876.15821249999976</v>
      </c>
      <c r="L9" s="594"/>
      <c r="M9" s="614">
        <f>-M8*$C$9</f>
        <v>-898.06216781249975</v>
      </c>
      <c r="N9" s="594"/>
      <c r="O9" s="614">
        <f>-O8*$C$9</f>
        <v>-920.51372200781213</v>
      </c>
      <c r="P9" s="594"/>
      <c r="Q9" s="614">
        <f>-Q8*$C$9</f>
        <v>-943.52656505800735</v>
      </c>
      <c r="R9" s="594"/>
      <c r="S9" s="614">
        <f>-S8*$C$9</f>
        <v>-967.11472918445747</v>
      </c>
      <c r="T9" s="594"/>
      <c r="U9" s="614">
        <f>-U8*$C$9</f>
        <v>-991.29259741406884</v>
      </c>
      <c r="V9" s="594"/>
      <c r="W9" s="614">
        <f>-W8*$C$9</f>
        <v>-1016.0749123494205</v>
      </c>
      <c r="X9" s="594"/>
      <c r="Y9" s="614">
        <f>-Y8*$C$9</f>
        <v>-1041.476785158156</v>
      </c>
      <c r="Z9" s="594"/>
      <c r="AA9" s="614">
        <f>-AA8*$C$9</f>
        <v>-1067.5137047871096</v>
      </c>
      <c r="AB9" s="594"/>
      <c r="AC9" s="614">
        <f>-AC8*$C$9</f>
        <v>-1094.2015474067873</v>
      </c>
      <c r="AD9" s="594"/>
      <c r="AE9" s="614">
        <f>-AE8*$C$9</f>
        <v>-1121.5565860919567</v>
      </c>
      <c r="AF9" s="594"/>
      <c r="AG9" s="614">
        <f>-AG8*$C$9</f>
        <v>-1149.5955007442556</v>
      </c>
      <c r="AH9" s="582"/>
    </row>
    <row r="10" spans="1:34" ht="15">
      <c r="A10" s="596" t="s">
        <v>1162</v>
      </c>
      <c r="B10" s="596"/>
      <c r="C10" s="587"/>
      <c r="D10" s="596"/>
      <c r="E10" s="596">
        <f>SUM(E4:E9)</f>
        <v>1473780.5999999999</v>
      </c>
      <c r="F10" s="596"/>
      <c r="G10" s="596">
        <f>SUM(G4:G9)</f>
        <v>1510625.115</v>
      </c>
      <c r="H10" s="596"/>
      <c r="I10" s="596">
        <f>SUM(I4:I9)</f>
        <v>1548390.7428749998</v>
      </c>
      <c r="J10" s="596"/>
      <c r="K10" s="596">
        <f>SUM(K4:K9)</f>
        <v>1587100.5114468746</v>
      </c>
      <c r="L10" s="596"/>
      <c r="M10" s="596">
        <f>SUM(M4:M9)</f>
        <v>1626778.0242330462</v>
      </c>
      <c r="N10" s="596"/>
      <c r="O10" s="596">
        <f>SUM(O4:O9)</f>
        <v>1667447.4748388722</v>
      </c>
      <c r="P10" s="596"/>
      <c r="Q10" s="596">
        <f>SUM(Q4:Q9)</f>
        <v>1709133.6617098441</v>
      </c>
      <c r="R10" s="596"/>
      <c r="S10" s="596">
        <f>SUM(S4:S9)</f>
        <v>1751862.0032525901</v>
      </c>
      <c r="T10" s="596"/>
      <c r="U10" s="596">
        <f>SUM(U4:U9)</f>
        <v>1795658.5533339046</v>
      </c>
      <c r="V10" s="596"/>
      <c r="W10" s="596">
        <f>SUM(W4:W9)</f>
        <v>1840550.017167252</v>
      </c>
      <c r="X10" s="596"/>
      <c r="Y10" s="596">
        <f>SUM(Y4:Y9)</f>
        <v>1886563.7675964329</v>
      </c>
      <c r="Z10" s="596"/>
      <c r="AA10" s="596">
        <f>SUM(AA4:AA9)</f>
        <v>1933727.8617863436</v>
      </c>
      <c r="AB10" s="596"/>
      <c r="AC10" s="596">
        <f>SUM(AC4:AC9)</f>
        <v>1982071.058331002</v>
      </c>
      <c r="AD10" s="596"/>
      <c r="AE10" s="596">
        <f>SUM(AE4:AE9)</f>
        <v>2031622.8347892768</v>
      </c>
      <c r="AF10" s="596"/>
      <c r="AG10" s="596">
        <f>SUM(AG4:AG9)</f>
        <v>2082413.4056590083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78476</v>
      </c>
      <c r="F14" s="592"/>
      <c r="G14" s="592">
        <f t="shared" ref="G14:G20" si="0">E14*$C$13</f>
        <v>81222.659999999989</v>
      </c>
      <c r="H14" s="592"/>
      <c r="I14" s="592">
        <f t="shared" ref="I14:I20" si="1">G14*$C$13</f>
        <v>84065.453099999984</v>
      </c>
      <c r="J14" s="592"/>
      <c r="K14" s="592">
        <f t="shared" ref="K14:K20" si="2">I14*$C$13</f>
        <v>87007.743958499981</v>
      </c>
      <c r="L14" s="592"/>
      <c r="M14" s="592">
        <f t="shared" ref="M14:M20" si="3">K14*$C$13</f>
        <v>90053.014997047474</v>
      </c>
      <c r="N14" s="592"/>
      <c r="O14" s="592">
        <f t="shared" ref="O14:O20" si="4">M14*$C$13</f>
        <v>93204.870521944133</v>
      </c>
      <c r="P14" s="592"/>
      <c r="Q14" s="592">
        <f t="shared" ref="Q14:Q20" si="5">O14*$C$13</f>
        <v>96467.040990212176</v>
      </c>
      <c r="R14" s="592"/>
      <c r="S14" s="592">
        <f t="shared" ref="S14:S20" si="6">Q14*$C$13</f>
        <v>99843.387424869594</v>
      </c>
      <c r="T14" s="592"/>
      <c r="U14" s="592">
        <f t="shared" ref="U14:U20" si="7">S14*$C$13</f>
        <v>103337.90598474002</v>
      </c>
      <c r="V14" s="592"/>
      <c r="W14" s="592">
        <f t="shared" ref="W14:W20" si="8">U14*$C$13</f>
        <v>106954.73269420592</v>
      </c>
      <c r="X14" s="592"/>
      <c r="Y14" s="592">
        <f t="shared" ref="Y14:Y20" si="9">W14*$C$13</f>
        <v>110698.14833850312</v>
      </c>
      <c r="Z14" s="592"/>
      <c r="AA14" s="592">
        <f t="shared" ref="AA14:AA20" si="10">Y14*$C$13</f>
        <v>114572.58353035072</v>
      </c>
      <c r="AB14" s="592"/>
      <c r="AC14" s="592">
        <f t="shared" ref="AC14:AC20" si="11">AA14*$C$13</f>
        <v>118582.62395391299</v>
      </c>
      <c r="AD14" s="592"/>
      <c r="AE14" s="592">
        <f t="shared" ref="AE14:AE20" si="12">AC14*$C$13</f>
        <v>122733.01579229994</v>
      </c>
      <c r="AF14" s="592"/>
      <c r="AG14" s="592">
        <f t="shared" ref="AG14:AG20" si="13">AE14*$C$13</f>
        <v>127028.67134503042</v>
      </c>
      <c r="AH14" s="592"/>
    </row>
    <row r="15" spans="1:34" ht="14.25">
      <c r="A15" s="582" t="s">
        <v>513</v>
      </c>
      <c r="B15" s="582"/>
      <c r="C15" s="606"/>
      <c r="D15" s="582"/>
      <c r="E15" s="595">
        <f>Application!W827</f>
        <v>83520</v>
      </c>
      <c r="F15" s="595"/>
      <c r="G15" s="595">
        <f t="shared" si="0"/>
        <v>86443.199999999997</v>
      </c>
      <c r="H15" s="595"/>
      <c r="I15" s="595">
        <f t="shared" si="1"/>
        <v>89468.711999999985</v>
      </c>
      <c r="J15" s="595"/>
      <c r="K15" s="595">
        <f t="shared" si="2"/>
        <v>92600.116919999971</v>
      </c>
      <c r="L15" s="595"/>
      <c r="M15" s="595">
        <f t="shared" si="3"/>
        <v>95841.121012199961</v>
      </c>
      <c r="N15" s="595"/>
      <c r="O15" s="595">
        <f t="shared" si="4"/>
        <v>99195.560247626956</v>
      </c>
      <c r="P15" s="595"/>
      <c r="Q15" s="595">
        <f t="shared" si="5"/>
        <v>102667.4048562939</v>
      </c>
      <c r="R15" s="595"/>
      <c r="S15" s="595">
        <f t="shared" si="6"/>
        <v>106260.76402626418</v>
      </c>
      <c r="T15" s="595"/>
      <c r="U15" s="595">
        <f t="shared" si="7"/>
        <v>109979.89076718342</v>
      </c>
      <c r="V15" s="595"/>
      <c r="W15" s="595">
        <f t="shared" si="8"/>
        <v>113829.18694403482</v>
      </c>
      <c r="X15" s="595"/>
      <c r="Y15" s="595">
        <f t="shared" si="9"/>
        <v>117813.20848707603</v>
      </c>
      <c r="Z15" s="595"/>
      <c r="AA15" s="595">
        <f t="shared" si="10"/>
        <v>121936.67078412368</v>
      </c>
      <c r="AB15" s="595"/>
      <c r="AC15" s="595">
        <f t="shared" si="11"/>
        <v>126204.454261568</v>
      </c>
      <c r="AD15" s="595"/>
      <c r="AE15" s="595">
        <f t="shared" si="12"/>
        <v>130621.61016072286</v>
      </c>
      <c r="AF15" s="595"/>
      <c r="AG15" s="595">
        <f t="shared" si="13"/>
        <v>135193.36651634815</v>
      </c>
      <c r="AH15" s="582"/>
    </row>
    <row r="16" spans="1:34" ht="14.25">
      <c r="A16" s="582" t="s">
        <v>795</v>
      </c>
      <c r="B16" s="582"/>
      <c r="C16" s="606"/>
      <c r="D16" s="582"/>
      <c r="E16" s="595">
        <f>Application!W833</f>
        <v>148113</v>
      </c>
      <c r="F16" s="595"/>
      <c r="G16" s="595">
        <f t="shared" si="0"/>
        <v>153296.95499999999</v>
      </c>
      <c r="H16" s="595"/>
      <c r="I16" s="595">
        <f t="shared" si="1"/>
        <v>158662.34842499997</v>
      </c>
      <c r="J16" s="595"/>
      <c r="K16" s="595">
        <f t="shared" si="2"/>
        <v>164215.53061987497</v>
      </c>
      <c r="L16" s="595"/>
      <c r="M16" s="595">
        <f t="shared" si="3"/>
        <v>169963.07419157057</v>
      </c>
      <c r="N16" s="595"/>
      <c r="O16" s="595">
        <f t="shared" si="4"/>
        <v>175911.78178827552</v>
      </c>
      <c r="P16" s="595"/>
      <c r="Q16" s="595">
        <f t="shared" si="5"/>
        <v>182068.69415086514</v>
      </c>
      <c r="R16" s="595"/>
      <c r="S16" s="595">
        <f t="shared" si="6"/>
        <v>188441.09844614539</v>
      </c>
      <c r="T16" s="595"/>
      <c r="U16" s="595">
        <f t="shared" si="7"/>
        <v>195036.53689176048</v>
      </c>
      <c r="V16" s="595"/>
      <c r="W16" s="595">
        <f t="shared" si="8"/>
        <v>201862.81568297208</v>
      </c>
      <c r="X16" s="595"/>
      <c r="Y16" s="595">
        <f t="shared" si="9"/>
        <v>208928.01423187609</v>
      </c>
      <c r="Z16" s="595"/>
      <c r="AA16" s="595">
        <f t="shared" si="10"/>
        <v>216240.49472999174</v>
      </c>
      <c r="AB16" s="595"/>
      <c r="AC16" s="595">
        <f t="shared" si="11"/>
        <v>223808.91204554142</v>
      </c>
      <c r="AD16" s="595"/>
      <c r="AE16" s="595">
        <f t="shared" si="12"/>
        <v>231642.22396713536</v>
      </c>
      <c r="AF16" s="595"/>
      <c r="AG16" s="595">
        <f t="shared" si="13"/>
        <v>239749.70180598507</v>
      </c>
      <c r="AH16" s="582"/>
    </row>
    <row r="17" spans="1:33" ht="14.25">
      <c r="A17" s="582" t="s">
        <v>1166</v>
      </c>
      <c r="B17" s="582"/>
      <c r="C17" s="606"/>
      <c r="D17" s="582"/>
      <c r="E17" s="595">
        <f>Application!W840</f>
        <v>242957</v>
      </c>
      <c r="F17" s="595"/>
      <c r="G17" s="595">
        <f t="shared" si="0"/>
        <v>251460.49499999997</v>
      </c>
      <c r="H17" s="595"/>
      <c r="I17" s="595">
        <f t="shared" si="1"/>
        <v>260261.61232499994</v>
      </c>
      <c r="J17" s="595"/>
      <c r="K17" s="595">
        <f t="shared" si="2"/>
        <v>269370.76875637489</v>
      </c>
      <c r="L17" s="595"/>
      <c r="M17" s="595">
        <f t="shared" si="3"/>
        <v>278798.745662848</v>
      </c>
      <c r="N17" s="595"/>
      <c r="O17" s="595">
        <f t="shared" si="4"/>
        <v>288556.70176104765</v>
      </c>
      <c r="P17" s="595"/>
      <c r="Q17" s="595">
        <f t="shared" si="5"/>
        <v>298656.18632268428</v>
      </c>
      <c r="R17" s="595"/>
      <c r="S17" s="595">
        <f t="shared" si="6"/>
        <v>309109.1528439782</v>
      </c>
      <c r="T17" s="595"/>
      <c r="U17" s="595">
        <f t="shared" si="7"/>
        <v>319927.97319351742</v>
      </c>
      <c r="V17" s="595"/>
      <c r="W17" s="595">
        <f t="shared" si="8"/>
        <v>331125.45225529053</v>
      </c>
      <c r="X17" s="595"/>
      <c r="Y17" s="595">
        <f t="shared" si="9"/>
        <v>342714.84308422566</v>
      </c>
      <c r="Z17" s="595"/>
      <c r="AA17" s="595">
        <f t="shared" si="10"/>
        <v>354709.86259217351</v>
      </c>
      <c r="AB17" s="595"/>
      <c r="AC17" s="595">
        <f t="shared" si="11"/>
        <v>367124.70778289955</v>
      </c>
      <c r="AD17" s="595"/>
      <c r="AE17" s="595">
        <f t="shared" si="12"/>
        <v>379974.07255530101</v>
      </c>
      <c r="AF17" s="595"/>
      <c r="AG17" s="595">
        <f t="shared" si="13"/>
        <v>393273.1650947365</v>
      </c>
    </row>
    <row r="18" spans="1:33" ht="14.25">
      <c r="A18" s="582" t="s">
        <v>1013</v>
      </c>
      <c r="B18" s="582"/>
      <c r="C18" s="606"/>
      <c r="D18" s="582"/>
      <c r="E18" s="595">
        <f>Application!W841</f>
        <v>74480</v>
      </c>
      <c r="F18" s="595"/>
      <c r="G18" s="595">
        <f t="shared" si="0"/>
        <v>77086.799999999988</v>
      </c>
      <c r="H18" s="595"/>
      <c r="I18" s="595">
        <f t="shared" si="1"/>
        <v>79784.837999999989</v>
      </c>
      <c r="J18" s="595"/>
      <c r="K18" s="595">
        <f t="shared" si="2"/>
        <v>82577.307329999981</v>
      </c>
      <c r="L18" s="595"/>
      <c r="M18" s="595">
        <f t="shared" si="3"/>
        <v>85467.513086549981</v>
      </c>
      <c r="N18" s="595"/>
      <c r="O18" s="595">
        <f t="shared" si="4"/>
        <v>88458.876044579229</v>
      </c>
      <c r="P18" s="595"/>
      <c r="Q18" s="595">
        <f t="shared" si="5"/>
        <v>91554.936706139488</v>
      </c>
      <c r="R18" s="595"/>
      <c r="S18" s="595">
        <f t="shared" si="6"/>
        <v>94759.35949085436</v>
      </c>
      <c r="T18" s="595"/>
      <c r="U18" s="595">
        <f t="shared" si="7"/>
        <v>98075.937073034249</v>
      </c>
      <c r="V18" s="595"/>
      <c r="W18" s="595">
        <f t="shared" si="8"/>
        <v>101508.59487059044</v>
      </c>
      <c r="X18" s="595"/>
      <c r="Y18" s="595">
        <f t="shared" si="9"/>
        <v>105061.3956910611</v>
      </c>
      <c r="Z18" s="595"/>
      <c r="AA18" s="595">
        <f t="shared" si="10"/>
        <v>108738.54454024823</v>
      </c>
      <c r="AB18" s="595"/>
      <c r="AC18" s="595">
        <f t="shared" si="11"/>
        <v>112544.3935991569</v>
      </c>
      <c r="AD18" s="595"/>
      <c r="AE18" s="595">
        <f t="shared" si="12"/>
        <v>116483.44737512739</v>
      </c>
      <c r="AF18" s="595"/>
      <c r="AG18" s="595">
        <f t="shared" si="13"/>
        <v>120560.36803325685</v>
      </c>
    </row>
    <row r="19" spans="1:33" ht="14.25">
      <c r="A19" s="582" t="s">
        <v>59</v>
      </c>
      <c r="B19" s="582"/>
      <c r="C19" s="606"/>
      <c r="D19" s="582"/>
      <c r="E19" s="595">
        <f>Application!W850</f>
        <v>137280</v>
      </c>
      <c r="F19" s="595"/>
      <c r="G19" s="595">
        <f t="shared" si="0"/>
        <v>142084.79999999999</v>
      </c>
      <c r="H19" s="595"/>
      <c r="I19" s="595">
        <f t="shared" si="1"/>
        <v>147057.76799999998</v>
      </c>
      <c r="J19" s="595"/>
      <c r="K19" s="595">
        <f t="shared" si="2"/>
        <v>152204.78987999997</v>
      </c>
      <c r="L19" s="595"/>
      <c r="M19" s="595">
        <f t="shared" si="3"/>
        <v>157531.95752579995</v>
      </c>
      <c r="N19" s="595"/>
      <c r="O19" s="595">
        <f t="shared" si="4"/>
        <v>163045.57603920295</v>
      </c>
      <c r="P19" s="595"/>
      <c r="Q19" s="595">
        <f t="shared" si="5"/>
        <v>168752.17120057505</v>
      </c>
      <c r="R19" s="595"/>
      <c r="S19" s="595">
        <f t="shared" si="6"/>
        <v>174658.49719259515</v>
      </c>
      <c r="T19" s="595"/>
      <c r="U19" s="595">
        <f t="shared" si="7"/>
        <v>180771.54459433598</v>
      </c>
      <c r="V19" s="595"/>
      <c r="W19" s="595">
        <f t="shared" si="8"/>
        <v>187098.54865513774</v>
      </c>
      <c r="X19" s="595"/>
      <c r="Y19" s="595">
        <f t="shared" si="9"/>
        <v>193646.99785806754</v>
      </c>
      <c r="Z19" s="595"/>
      <c r="AA19" s="595">
        <f t="shared" si="10"/>
        <v>200424.64278309987</v>
      </c>
      <c r="AB19" s="595"/>
      <c r="AC19" s="595">
        <f t="shared" si="11"/>
        <v>207439.50528050834</v>
      </c>
      <c r="AD19" s="595"/>
      <c r="AE19" s="595">
        <f t="shared" si="12"/>
        <v>214699.88796532611</v>
      </c>
      <c r="AF19" s="595"/>
      <c r="AG19" s="595">
        <f t="shared" si="13"/>
        <v>222214.38404411252</v>
      </c>
    </row>
    <row r="20" spans="1:33" ht="14.25">
      <c r="A20" s="746" t="s">
        <v>1318</v>
      </c>
      <c r="B20" s="746" t="s">
        <v>2463</v>
      </c>
      <c r="C20" s="606"/>
      <c r="D20" s="582"/>
      <c r="E20" s="605">
        <f>Application!W857</f>
        <v>2735</v>
      </c>
      <c r="F20" s="595"/>
      <c r="G20" s="605">
        <f t="shared" si="0"/>
        <v>2830.7249999999999</v>
      </c>
      <c r="H20" s="595"/>
      <c r="I20" s="605">
        <f t="shared" si="1"/>
        <v>2929.8003749999998</v>
      </c>
      <c r="J20" s="595"/>
      <c r="K20" s="605">
        <f t="shared" si="2"/>
        <v>3032.3433881249994</v>
      </c>
      <c r="L20" s="595"/>
      <c r="M20" s="605">
        <f t="shared" si="3"/>
        <v>3138.4754067093741</v>
      </c>
      <c r="N20" s="595"/>
      <c r="O20" s="605">
        <f t="shared" si="4"/>
        <v>3248.3220459442018</v>
      </c>
      <c r="P20" s="595"/>
      <c r="Q20" s="605">
        <f t="shared" si="5"/>
        <v>3362.0133175522487</v>
      </c>
      <c r="R20" s="595"/>
      <c r="S20" s="605">
        <f t="shared" si="6"/>
        <v>3479.6837836665773</v>
      </c>
      <c r="T20" s="595"/>
      <c r="U20" s="605">
        <f t="shared" si="7"/>
        <v>3601.4727160949074</v>
      </c>
      <c r="V20" s="595"/>
      <c r="W20" s="605">
        <f t="shared" si="8"/>
        <v>3727.5242611582289</v>
      </c>
      <c r="X20" s="595"/>
      <c r="Y20" s="605">
        <f t="shared" si="9"/>
        <v>3857.9876102987664</v>
      </c>
      <c r="Z20" s="595"/>
      <c r="AA20" s="605">
        <f t="shared" si="10"/>
        <v>3993.017176659223</v>
      </c>
      <c r="AB20" s="595"/>
      <c r="AC20" s="605">
        <f t="shared" si="11"/>
        <v>4132.772777842295</v>
      </c>
      <c r="AD20" s="595"/>
      <c r="AE20" s="605">
        <f t="shared" si="12"/>
        <v>4277.419825066775</v>
      </c>
      <c r="AF20" s="595"/>
      <c r="AG20" s="605">
        <f t="shared" si="13"/>
        <v>4427.1295189441116</v>
      </c>
    </row>
    <row r="21" spans="1:33" ht="15">
      <c r="A21" s="596" t="s">
        <v>1167</v>
      </c>
      <c r="B21" s="596"/>
      <c r="C21" s="606"/>
      <c r="D21" s="596"/>
      <c r="E21" s="596">
        <f>SUM(E14:E20)</f>
        <v>767561</v>
      </c>
      <c r="F21" s="596"/>
      <c r="G21" s="596">
        <f>SUM(G14:G20)</f>
        <v>794425.63499999989</v>
      </c>
      <c r="H21" s="596"/>
      <c r="I21" s="596">
        <f>SUM(I14:I20)</f>
        <v>822230.53222499986</v>
      </c>
      <c r="J21" s="596"/>
      <c r="K21" s="596">
        <f>SUM(K14:K20)</f>
        <v>851008.60085287469</v>
      </c>
      <c r="L21" s="596"/>
      <c r="M21" s="596">
        <f>SUM(M14:M20)</f>
        <v>880793.9018827253</v>
      </c>
      <c r="N21" s="596"/>
      <c r="O21" s="596">
        <f>SUM(O14:O20)</f>
        <v>911621.68844862061</v>
      </c>
      <c r="P21" s="596"/>
      <c r="Q21" s="596">
        <f>SUM(Q14:Q20)</f>
        <v>943528.44754432235</v>
      </c>
      <c r="R21" s="596"/>
      <c r="S21" s="596">
        <f>SUM(S14:S20)</f>
        <v>976551.94320837338</v>
      </c>
      <c r="T21" s="596"/>
      <c r="U21" s="596">
        <f>SUM(U14:U20)</f>
        <v>1010731.2612206665</v>
      </c>
      <c r="V21" s="596"/>
      <c r="W21" s="596">
        <f>SUM(W14:W20)</f>
        <v>1046106.8553633897</v>
      </c>
      <c r="X21" s="596"/>
      <c r="Y21" s="596">
        <f>SUM(Y14:Y20)</f>
        <v>1082720.5953011082</v>
      </c>
      <c r="Z21" s="596"/>
      <c r="AA21" s="596">
        <f>SUM(AA14:AA20)</f>
        <v>1120615.816136647</v>
      </c>
      <c r="AB21" s="596"/>
      <c r="AC21" s="596">
        <f>SUM(AC14:AC20)</f>
        <v>1159837.3697014295</v>
      </c>
      <c r="AD21" s="596"/>
      <c r="AE21" s="596">
        <f>SUM(AE14:AE20)</f>
        <v>1200431.6776409794</v>
      </c>
      <c r="AF21" s="596"/>
      <c r="AG21" s="596">
        <f>SUM(AG14:AG20)</f>
        <v>1242446.7863584135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42000</v>
      </c>
      <c r="F26" s="595"/>
      <c r="G26" s="595">
        <f>E26*$C$26</f>
        <v>43470</v>
      </c>
      <c r="H26" s="595"/>
      <c r="I26" s="595">
        <f>G26*$C$26</f>
        <v>44991.45</v>
      </c>
      <c r="J26" s="595"/>
      <c r="K26" s="595">
        <f>I26*$C$26</f>
        <v>46566.150749999993</v>
      </c>
      <c r="L26" s="595"/>
      <c r="M26" s="595">
        <f>K26*$C$26</f>
        <v>48195.966026249989</v>
      </c>
      <c r="N26" s="595"/>
      <c r="O26" s="595">
        <f>M26*$C$26</f>
        <v>49882.824837168737</v>
      </c>
      <c r="P26" s="595"/>
      <c r="Q26" s="595">
        <f>O26*$C$26</f>
        <v>51628.723706469638</v>
      </c>
      <c r="R26" s="595"/>
      <c r="S26" s="595">
        <f>Q26*$C$26</f>
        <v>53435.72903619607</v>
      </c>
      <c r="T26" s="595"/>
      <c r="U26" s="595">
        <f>S26*$C$26</f>
        <v>55305.97955246293</v>
      </c>
      <c r="V26" s="595"/>
      <c r="W26" s="595">
        <f>U26*$C$26</f>
        <v>57241.688836799127</v>
      </c>
      <c r="X26" s="595"/>
      <c r="Y26" s="595">
        <f>W26*$C$26</f>
        <v>59245.147946087091</v>
      </c>
      <c r="Z26" s="595"/>
      <c r="AA26" s="595">
        <f>Y26*$C$26</f>
        <v>61318.728124200134</v>
      </c>
      <c r="AB26" s="595"/>
      <c r="AC26" s="595">
        <f>AA26*$C$26</f>
        <v>63464.883608547134</v>
      </c>
      <c r="AD26" s="595"/>
      <c r="AE26" s="595">
        <f>AC26*$C$26</f>
        <v>65686.154534846282</v>
      </c>
      <c r="AF26" s="595"/>
      <c r="AG26" s="595">
        <f>AE26*$C$26</f>
        <v>67985.169943565896</v>
      </c>
    </row>
    <row r="27" spans="1:33" ht="14.25">
      <c r="A27" s="1353" t="s">
        <v>1169</v>
      </c>
      <c r="B27" s="582"/>
      <c r="C27" s="618"/>
      <c r="D27" s="582"/>
      <c r="E27" s="595">
        <f>Application!AC867</f>
        <v>56500</v>
      </c>
      <c r="F27" s="595"/>
      <c r="G27" s="595">
        <f>$E$27</f>
        <v>56500</v>
      </c>
      <c r="H27" s="595"/>
      <c r="I27" s="595">
        <f>$E$27</f>
        <v>56500</v>
      </c>
      <c r="J27" s="595"/>
      <c r="K27" s="595">
        <f>$E$27</f>
        <v>56500</v>
      </c>
      <c r="L27" s="595"/>
      <c r="M27" s="595">
        <f>$E$27</f>
        <v>56500</v>
      </c>
      <c r="N27" s="595"/>
      <c r="O27" s="595">
        <f>$E$27</f>
        <v>56500</v>
      </c>
      <c r="P27" s="595"/>
      <c r="Q27" s="595">
        <f>$E$27</f>
        <v>56500</v>
      </c>
      <c r="R27" s="595"/>
      <c r="S27" s="595">
        <f>$E$27</f>
        <v>56500</v>
      </c>
      <c r="T27" s="595"/>
      <c r="U27" s="595">
        <f>$E$27</f>
        <v>56500</v>
      </c>
      <c r="V27" s="595"/>
      <c r="W27" s="595">
        <f>$E$27</f>
        <v>56500</v>
      </c>
      <c r="X27" s="595"/>
      <c r="Y27" s="595">
        <f>$E$27</f>
        <v>56500</v>
      </c>
      <c r="Z27" s="595"/>
      <c r="AA27" s="595">
        <f>$E$27</f>
        <v>56500</v>
      </c>
      <c r="AB27" s="595"/>
      <c r="AC27" s="595">
        <f>$E$27</f>
        <v>56500</v>
      </c>
      <c r="AD27" s="595"/>
      <c r="AE27" s="595">
        <f>$E$27</f>
        <v>56500</v>
      </c>
      <c r="AF27" s="595"/>
      <c r="AG27" s="595">
        <f>$E$27</f>
        <v>56500</v>
      </c>
    </row>
    <row r="28" spans="1:33" s="1334" customFormat="1" ht="14.25">
      <c r="A28" s="1353"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1170</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4.25">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868061</v>
      </c>
      <c r="F34" s="596"/>
      <c r="G34" s="596">
        <f>SUM(G21:G32)</f>
        <v>896435.63499999989</v>
      </c>
      <c r="H34" s="596"/>
      <c r="I34" s="596">
        <f>SUM(I21:I32)</f>
        <v>925802.78222499986</v>
      </c>
      <c r="J34" s="596"/>
      <c r="K34" s="596">
        <f>SUM(K21:K32)</f>
        <v>956197.16760287469</v>
      </c>
      <c r="L34" s="596"/>
      <c r="M34" s="596">
        <f>SUM(M21:M32)</f>
        <v>987654.73222897539</v>
      </c>
      <c r="N34" s="596"/>
      <c r="O34" s="596">
        <f>SUM(O21:O32)</f>
        <v>1020212.6748921894</v>
      </c>
      <c r="P34" s="596"/>
      <c r="Q34" s="596">
        <f>SUM(Q21:Q32)</f>
        <v>1053909.4960893199</v>
      </c>
      <c r="R34" s="596"/>
      <c r="S34" s="596">
        <f>SUM(S21:S32)</f>
        <v>1088785.0435798678</v>
      </c>
      <c r="T34" s="596"/>
      <c r="U34" s="596">
        <f>SUM(U21:U32)</f>
        <v>1124880.5595351339</v>
      </c>
      <c r="V34" s="596"/>
      <c r="W34" s="596">
        <f>SUM(W21:W32)</f>
        <v>1162238.7293374336</v>
      </c>
      <c r="X34" s="596"/>
      <c r="Y34" s="596">
        <f>SUM(Y21:Y32)</f>
        <v>1200903.7320871849</v>
      </c>
      <c r="Z34" s="596"/>
      <c r="AA34" s="596">
        <f>SUM(AA21:AA32)</f>
        <v>1240921.2928776364</v>
      </c>
      <c r="AB34" s="596"/>
      <c r="AC34" s="596">
        <f>SUM(AC21:AC32)</f>
        <v>1282338.7368991016</v>
      </c>
      <c r="AD34" s="596"/>
      <c r="AE34" s="596">
        <f>SUM(AE21:AE32)</f>
        <v>1325205.0454367334</v>
      </c>
      <c r="AF34" s="596"/>
      <c r="AG34" s="596">
        <f>SUM(AG21:AG32)</f>
        <v>1369570.9138281052</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605719.59999999986</v>
      </c>
      <c r="F36" s="596"/>
      <c r="G36" s="596">
        <f>G10-G34</f>
        <v>614189.4800000001</v>
      </c>
      <c r="H36" s="596"/>
      <c r="I36" s="596">
        <f>I10-I34</f>
        <v>622587.96064999991</v>
      </c>
      <c r="J36" s="596"/>
      <c r="K36" s="596">
        <f>K10-K34</f>
        <v>630903.3438439999</v>
      </c>
      <c r="L36" s="596"/>
      <c r="M36" s="596">
        <f>M10-M34</f>
        <v>639123.29200407083</v>
      </c>
      <c r="N36" s="596"/>
      <c r="O36" s="596">
        <f>O10-O34</f>
        <v>647234.79994668276</v>
      </c>
      <c r="P36" s="596"/>
      <c r="Q36" s="596">
        <f>Q10-Q34</f>
        <v>655224.1656205242</v>
      </c>
      <c r="R36" s="596"/>
      <c r="S36" s="596">
        <f>S10-S34</f>
        <v>663076.95967272227</v>
      </c>
      <c r="T36" s="596"/>
      <c r="U36" s="596">
        <f>U10-U34</f>
        <v>670777.99379877071</v>
      </c>
      <c r="V36" s="596"/>
      <c r="W36" s="596">
        <f>W10-W34</f>
        <v>678311.28782981844</v>
      </c>
      <c r="X36" s="596"/>
      <c r="Y36" s="596">
        <f>Y10-Y34</f>
        <v>685660.03550924803</v>
      </c>
      <c r="Z36" s="596"/>
      <c r="AA36" s="596">
        <f>AA10-AA34</f>
        <v>692806.56890870724</v>
      </c>
      <c r="AB36" s="596"/>
      <c r="AC36" s="596">
        <f>AC10-AC34</f>
        <v>699732.32143190037</v>
      </c>
      <c r="AD36" s="596"/>
      <c r="AE36" s="596">
        <f>AE10-AE34</f>
        <v>706417.78935254342</v>
      </c>
      <c r="AF36" s="596"/>
      <c r="AG36" s="596">
        <f>AG10-AG34</f>
        <v>712842.49183090311</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JP Morgan Chase Bank, NA</v>
      </c>
      <c r="B39" s="599"/>
      <c r="C39" s="593"/>
      <c r="D39" s="582"/>
      <c r="E39" s="592">
        <f>Application!AF632</f>
        <v>466627</v>
      </c>
      <c r="F39" s="592"/>
      <c r="G39" s="592">
        <f>$E$39</f>
        <v>466627</v>
      </c>
      <c r="H39" s="592"/>
      <c r="I39" s="592">
        <f>$E$39</f>
        <v>466627</v>
      </c>
      <c r="J39" s="592"/>
      <c r="K39" s="592">
        <f>$E$39</f>
        <v>466627</v>
      </c>
      <c r="L39" s="592"/>
      <c r="M39" s="592">
        <f>$E$39</f>
        <v>466627</v>
      </c>
      <c r="N39" s="592"/>
      <c r="O39" s="592">
        <f>$E$39</f>
        <v>466627</v>
      </c>
      <c r="P39" s="592"/>
      <c r="Q39" s="592">
        <f>$E$39</f>
        <v>466627</v>
      </c>
      <c r="R39" s="592"/>
      <c r="S39" s="592">
        <f>$E$39</f>
        <v>466627</v>
      </c>
      <c r="T39" s="592"/>
      <c r="U39" s="592">
        <f>$E$39</f>
        <v>466627</v>
      </c>
      <c r="V39" s="592"/>
      <c r="W39" s="592">
        <f>$E$39</f>
        <v>466627</v>
      </c>
      <c r="X39" s="592"/>
      <c r="Y39" s="592">
        <f>$E$39</f>
        <v>466627</v>
      </c>
      <c r="Z39" s="592"/>
      <c r="AA39" s="592">
        <f>$E$39</f>
        <v>466627</v>
      </c>
      <c r="AB39" s="592"/>
      <c r="AC39" s="592">
        <f>$E$39</f>
        <v>466627</v>
      </c>
      <c r="AD39" s="592"/>
      <c r="AE39" s="592">
        <f>$E$39</f>
        <v>466627</v>
      </c>
      <c r="AF39" s="592"/>
      <c r="AG39" s="592">
        <f>$E$39</f>
        <v>466627</v>
      </c>
      <c r="AH39" s="582"/>
      <c r="AI39" s="582"/>
    </row>
    <row r="40" spans="1:35" ht="14.25">
      <c r="A40" s="598" t="s">
        <v>2440</v>
      </c>
      <c r="B40" s="599"/>
      <c r="C40" s="593"/>
      <c r="D40" s="582"/>
      <c r="E40" s="595">
        <v>60024</v>
      </c>
      <c r="F40" s="595"/>
      <c r="G40" s="595">
        <f>$E$40</f>
        <v>60024</v>
      </c>
      <c r="H40" s="595"/>
      <c r="I40" s="595">
        <f>$E$40</f>
        <v>60024</v>
      </c>
      <c r="J40" s="595"/>
      <c r="K40" s="595">
        <f>$E$40</f>
        <v>60024</v>
      </c>
      <c r="L40" s="595"/>
      <c r="M40" s="595">
        <f>$E$40</f>
        <v>60024</v>
      </c>
      <c r="N40" s="595"/>
      <c r="O40" s="595">
        <f>$E$40</f>
        <v>60024</v>
      </c>
      <c r="P40" s="595"/>
      <c r="Q40" s="595">
        <f>$E$40</f>
        <v>60024</v>
      </c>
      <c r="R40" s="595"/>
      <c r="S40" s="595">
        <f>$E$40</f>
        <v>60024</v>
      </c>
      <c r="T40" s="595"/>
      <c r="U40" s="595">
        <f>$E$40</f>
        <v>60024</v>
      </c>
      <c r="V40" s="595"/>
      <c r="W40" s="595">
        <f>$E$40</f>
        <v>60024</v>
      </c>
      <c r="X40" s="595"/>
      <c r="Y40" s="595">
        <f>$E$40</f>
        <v>60024</v>
      </c>
      <c r="Z40" s="595"/>
      <c r="AA40" s="595">
        <f>$E$40</f>
        <v>60024</v>
      </c>
      <c r="AB40" s="595"/>
      <c r="AC40" s="595">
        <f>$E$40</f>
        <v>60024</v>
      </c>
      <c r="AD40" s="595"/>
      <c r="AE40" s="595">
        <f>$E$40</f>
        <v>60024</v>
      </c>
      <c r="AF40" s="595"/>
      <c r="AG40" s="595">
        <f>$E$40</f>
        <v>60024</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526651</v>
      </c>
      <c r="F42" s="596"/>
      <c r="G42" s="596">
        <f>SUM(G39:G41)</f>
        <v>526651</v>
      </c>
      <c r="H42" s="596"/>
      <c r="I42" s="596">
        <f>SUM(I39:I41)</f>
        <v>526651</v>
      </c>
      <c r="J42" s="596"/>
      <c r="K42" s="596">
        <f>SUM(K39:K41)</f>
        <v>526651</v>
      </c>
      <c r="L42" s="596"/>
      <c r="M42" s="596">
        <f>SUM(M39:M41)</f>
        <v>526651</v>
      </c>
      <c r="N42" s="596"/>
      <c r="O42" s="596">
        <f>SUM(O39:O41)</f>
        <v>526651</v>
      </c>
      <c r="P42" s="596"/>
      <c r="Q42" s="596">
        <f>SUM(Q39:Q41)</f>
        <v>526651</v>
      </c>
      <c r="R42" s="596"/>
      <c r="S42" s="596">
        <f>SUM(S39:S41)</f>
        <v>526651</v>
      </c>
      <c r="T42" s="596"/>
      <c r="U42" s="596">
        <f>SUM(U39:U41)</f>
        <v>526651</v>
      </c>
      <c r="V42" s="596"/>
      <c r="W42" s="596">
        <f>SUM(W39:W41)</f>
        <v>526651</v>
      </c>
      <c r="X42" s="596"/>
      <c r="Y42" s="596">
        <f>SUM(Y39:Y41)</f>
        <v>526651</v>
      </c>
      <c r="Z42" s="596"/>
      <c r="AA42" s="596">
        <f>SUM(AA39:AA41)</f>
        <v>526651</v>
      </c>
      <c r="AB42" s="596"/>
      <c r="AC42" s="596">
        <f>SUM(AC39:AC41)</f>
        <v>526651</v>
      </c>
      <c r="AD42" s="596"/>
      <c r="AE42" s="596">
        <f>SUM(AE39:AE41)</f>
        <v>526651</v>
      </c>
      <c r="AF42" s="596"/>
      <c r="AG42" s="596">
        <f>SUM(AG39:AG41)</f>
        <v>526651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79068.59999999986</v>
      </c>
      <c r="F44" s="596"/>
      <c r="G44" s="596">
        <f>G36-G42</f>
        <v>87538.480000000098</v>
      </c>
      <c r="H44" s="596"/>
      <c r="I44" s="596">
        <f>I36-I42</f>
        <v>95936.960649999906</v>
      </c>
      <c r="J44" s="596"/>
      <c r="K44" s="596">
        <f>K36-K42</f>
        <v>104252.3438439999</v>
      </c>
      <c r="L44" s="596"/>
      <c r="M44" s="596">
        <f>M36-M42</f>
        <v>112472.29200407083</v>
      </c>
      <c r="N44" s="596"/>
      <c r="O44" s="596">
        <f>O36-O42</f>
        <v>120583.79994668276</v>
      </c>
      <c r="P44" s="596"/>
      <c r="Q44" s="596">
        <f>Q36-Q42</f>
        <v>128573.1656205242</v>
      </c>
      <c r="R44" s="596"/>
      <c r="S44" s="596">
        <f>S36-S42</f>
        <v>136425.95967272227</v>
      </c>
      <c r="T44" s="596"/>
      <c r="U44" s="596">
        <f>U36-U42</f>
        <v>144126.99379877071</v>
      </c>
      <c r="V44" s="596"/>
      <c r="W44" s="596">
        <f>W36-W42</f>
        <v>151660.28782981844</v>
      </c>
      <c r="X44" s="596"/>
      <c r="Y44" s="596">
        <f>Y36-Y42</f>
        <v>159009.03550924803</v>
      </c>
      <c r="Z44" s="596"/>
      <c r="AA44" s="596">
        <f>AA36-AA42</f>
        <v>166155.56890870724</v>
      </c>
      <c r="AB44" s="596"/>
      <c r="AC44" s="596">
        <f>AC36-AC42</f>
        <v>173081.32143190037</v>
      </c>
      <c r="AD44" s="596"/>
      <c r="AE44" s="596">
        <f>AE36-AE42</f>
        <v>179766.78935254342</v>
      </c>
      <c r="AF44" s="596"/>
      <c r="AG44" s="596">
        <f>AG36-AG42</f>
        <v>186191.49183090311</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5.0967674564314301E-2</v>
      </c>
      <c r="F46" s="600"/>
      <c r="G46" s="600">
        <f>G44/(G4+G6+G8)</f>
        <v>5.5051087906743887E-2</v>
      </c>
      <c r="H46" s="600"/>
      <c r="I46" s="600">
        <f>I44/(I4+I6+I8)</f>
        <v>5.886118412738249E-2</v>
      </c>
      <c r="J46" s="600"/>
      <c r="K46" s="600">
        <f>K44/(K4+K6+K8)</f>
        <v>6.2402932856162142E-2</v>
      </c>
      <c r="L46" s="600"/>
      <c r="M46" s="600">
        <f>M44/(M4+M6+M8)</f>
        <v>6.5681165968689365E-2</v>
      </c>
      <c r="N46" s="600"/>
      <c r="O46" s="600">
        <f>O44/(O4+O6+O8)</f>
        <v>6.8700580784662013E-2</v>
      </c>
      <c r="P46" s="600"/>
      <c r="Q46" s="600">
        <f>Q44/(Q4+Q6+Q8)</f>
        <v>7.1465743186698877E-2</v>
      </c>
      <c r="R46" s="600"/>
      <c r="S46" s="600">
        <f>S44/(S4+S6+S8)</f>
        <v>7.3981090661511012E-2</v>
      </c>
      <c r="T46" s="600"/>
      <c r="U46" s="600">
        <f>U44/(U4+U6+U8)</f>
        <v>7.6250935265292419E-2</v>
      </c>
      <c r="V46" s="600"/>
      <c r="W46" s="600">
        <f>W44/(W4+W6+W8)</f>
        <v>7.8279466515163501E-2</v>
      </c>
      <c r="X46" s="600"/>
      <c r="Y46" s="600">
        <f>Y44/(Y4+Y6+Y8)</f>
        <v>8.0070754208452263E-2</v>
      </c>
      <c r="Z46" s="600"/>
      <c r="AA46" s="600">
        <f>AA44/(AA4+AA6+AA8)</f>
        <v>8.1628751171560862E-2</v>
      </c>
      <c r="AB46" s="600"/>
      <c r="AC46" s="600">
        <f>AC44/(AC4+AC6+AC8)</f>
        <v>8.2957295940116763E-2</v>
      </c>
      <c r="AD46" s="600"/>
      <c r="AE46" s="600">
        <f>AE44/(AE4+AE6+AE8)</f>
        <v>8.406011537206888E-2</v>
      </c>
      <c r="AF46" s="600"/>
      <c r="AG46" s="600">
        <f>AG44/(AG4+AG6+AG8)</f>
        <v>8.4940827195348012E-2</v>
      </c>
      <c r="AH46" s="600"/>
      <c r="AI46" s="600"/>
    </row>
    <row r="47" spans="1:35" ht="14.25">
      <c r="A47" s="600" t="s">
        <v>1176</v>
      </c>
      <c r="B47" s="600"/>
      <c r="C47" s="593"/>
      <c r="D47" s="600"/>
      <c r="E47" s="600">
        <f>E44/E42</f>
        <v>0.15013471919734295</v>
      </c>
      <c r="F47" s="600"/>
      <c r="G47" s="600">
        <f>G44/G42</f>
        <v>0.16621724823459957</v>
      </c>
      <c r="H47" s="600"/>
      <c r="I47" s="600">
        <f>I44/I42</f>
        <v>0.182164204852929</v>
      </c>
      <c r="J47" s="600"/>
      <c r="K47" s="600">
        <f>K44/K42</f>
        <v>0.19795337679791722</v>
      </c>
      <c r="L47" s="600"/>
      <c r="M47" s="600">
        <f>M44/M42</f>
        <v>0.21356133759182233</v>
      </c>
      <c r="N47" s="600"/>
      <c r="O47" s="600">
        <f>O44/O42</f>
        <v>0.22896339311362318</v>
      </c>
      <c r="P47" s="600"/>
      <c r="Q47" s="600">
        <f>Q44/Q42</f>
        <v>0.24413352603626348</v>
      </c>
      <c r="R47" s="600"/>
      <c r="S47" s="600">
        <f>S44/S42</f>
        <v>0.25904433803927507</v>
      </c>
      <c r="T47" s="600"/>
      <c r="U47" s="600">
        <f>U44/U42</f>
        <v>0.27366698971191683</v>
      </c>
      <c r="V47" s="600"/>
      <c r="W47" s="600">
        <f>W44/W42</f>
        <v>0.28797113805882535</v>
      </c>
      <c r="X47" s="600"/>
      <c r="Y47" s="600">
        <f>Y44/Y42</f>
        <v>0.30192487151690217</v>
      </c>
      <c r="Z47" s="600"/>
      <c r="AA47" s="600">
        <f>AA44/AA42</f>
        <v>0.31549464238880631</v>
      </c>
      <c r="AB47" s="600"/>
      <c r="AC47" s="600">
        <f>AC44/AC42</f>
        <v>0.32864519659489944</v>
      </c>
      <c r="AD47" s="600"/>
      <c r="AE47" s="600">
        <f>AE44/AE42</f>
        <v>0.34133950064187368</v>
      </c>
      <c r="AF47" s="600"/>
      <c r="AG47" s="600">
        <f>AG44/AG42</f>
        <v>0.35353866570252995</v>
      </c>
      <c r="AH47" s="600"/>
      <c r="AI47" s="600"/>
    </row>
    <row r="48" spans="1:35" ht="14.25">
      <c r="A48" s="601" t="s">
        <v>1177</v>
      </c>
      <c r="B48" s="601"/>
      <c r="C48" s="602"/>
      <c r="D48" s="601"/>
      <c r="E48" s="601">
        <f>E36/E42</f>
        <v>1.150134719197343</v>
      </c>
      <c r="F48" s="601"/>
      <c r="G48" s="601">
        <f>G36/G42</f>
        <v>1.1662172482345996</v>
      </c>
      <c r="H48" s="601"/>
      <c r="I48" s="601">
        <f>I36/I42</f>
        <v>1.1821642048529291</v>
      </c>
      <c r="J48" s="601"/>
      <c r="K48" s="601">
        <f>K36/K42</f>
        <v>1.1979533767979171</v>
      </c>
      <c r="L48" s="601"/>
      <c r="M48" s="601">
        <f>M36/M42</f>
        <v>1.2135613375918224</v>
      </c>
      <c r="N48" s="601"/>
      <c r="O48" s="601">
        <f>O36/O42</f>
        <v>1.2289633931136232</v>
      </c>
      <c r="P48" s="601"/>
      <c r="Q48" s="601">
        <f>Q36/Q42</f>
        <v>1.2441335260362636</v>
      </c>
      <c r="R48" s="601"/>
      <c r="S48" s="601">
        <f>S36/S42</f>
        <v>1.2590443380392751</v>
      </c>
      <c r="T48" s="601"/>
      <c r="U48" s="601">
        <f>U36/U42</f>
        <v>1.2736669897119168</v>
      </c>
      <c r="V48" s="601"/>
      <c r="W48" s="601">
        <f>W36/W42</f>
        <v>1.2879711380588255</v>
      </c>
      <c r="X48" s="601"/>
      <c r="Y48" s="601">
        <f>Y36/Y42</f>
        <v>1.3019248715169021</v>
      </c>
      <c r="Z48" s="601"/>
      <c r="AA48" s="601">
        <f>AA36/AA42</f>
        <v>1.3154946423888063</v>
      </c>
      <c r="AB48" s="601"/>
      <c r="AC48" s="601">
        <f>AC36/AC42</f>
        <v>1.3286451965948993</v>
      </c>
      <c r="AD48" s="601"/>
      <c r="AE48" s="601">
        <f>AE36/AE42</f>
        <v>1.3413395006418738</v>
      </c>
      <c r="AF48" s="601"/>
      <c r="AG48" s="601">
        <f>AG36/AG42</f>
        <v>1.3535386657025299</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1.03</v>
      </c>
      <c r="D52" s="580"/>
      <c r="E52" s="609">
        <v>29378</v>
      </c>
      <c r="F52" s="580"/>
      <c r="G52" s="1358">
        <f>E52*$C$52</f>
        <v>30259.34</v>
      </c>
      <c r="H52" s="1358"/>
      <c r="I52" s="1358">
        <f>G52*$C$52</f>
        <v>31167.120200000001</v>
      </c>
      <c r="J52" s="1358"/>
      <c r="K52" s="1358">
        <f>I52*$C$52</f>
        <v>32102.133806000002</v>
      </c>
      <c r="L52" s="1358"/>
      <c r="M52" s="1358">
        <f>K52*$C$52</f>
        <v>33065.197820180001</v>
      </c>
      <c r="N52" s="1358"/>
      <c r="O52" s="1358">
        <f>M52*$C$52</f>
        <v>34057.153754785402</v>
      </c>
      <c r="P52" s="1358"/>
      <c r="Q52" s="1358">
        <f>O52*$C$52</f>
        <v>35078.868367428964</v>
      </c>
      <c r="R52" s="1358"/>
      <c r="S52" s="1358">
        <f>Q52*$C$52</f>
        <v>36131.234418451837</v>
      </c>
      <c r="T52" s="1358"/>
      <c r="U52" s="1358">
        <f>S52*$C$52</f>
        <v>37215.171451005393</v>
      </c>
      <c r="V52" s="1358"/>
      <c r="W52" s="1358">
        <f>U52*$C$52</f>
        <v>38331.626594535555</v>
      </c>
      <c r="X52" s="1358"/>
      <c r="Y52" s="1358">
        <f>W52*$C$52</f>
        <v>39481.575392371626</v>
      </c>
      <c r="Z52" s="1358"/>
      <c r="AA52" s="1358">
        <f>Y52*$C$52</f>
        <v>40666.022654142776</v>
      </c>
      <c r="AB52" s="1358"/>
      <c r="AC52" s="1358">
        <f>AA52*$C$52</f>
        <v>41886.003333767061</v>
      </c>
      <c r="AD52" s="1358"/>
      <c r="AE52" s="1358">
        <f>AC52*$C$52</f>
        <v>43142.583433780077</v>
      </c>
      <c r="AF52" s="1358"/>
      <c r="AG52" s="1358">
        <f>AE52*$C$52</f>
        <v>44436.860936793477</v>
      </c>
      <c r="AH52" s="580"/>
      <c r="AI52" s="580"/>
    </row>
    <row r="53" spans="1:35">
      <c r="A53" s="564" t="s">
        <v>1180</v>
      </c>
      <c r="B53" s="564"/>
      <c r="C53" s="619">
        <v>1.03</v>
      </c>
      <c r="D53" s="564"/>
      <c r="E53" s="610">
        <v>7500</v>
      </c>
      <c r="F53" s="589"/>
      <c r="G53" s="1357">
        <f t="shared" ref="G53:AG56" si="14">E53*$C$52</f>
        <v>7725</v>
      </c>
      <c r="H53" s="1357"/>
      <c r="I53" s="1357">
        <f t="shared" si="14"/>
        <v>7956.75</v>
      </c>
      <c r="J53" s="1357"/>
      <c r="K53" s="1357">
        <f t="shared" si="14"/>
        <v>8195.4524999999994</v>
      </c>
      <c r="L53" s="1357"/>
      <c r="M53" s="1357">
        <f t="shared" si="14"/>
        <v>8441.3160749999988</v>
      </c>
      <c r="N53" s="1357"/>
      <c r="O53" s="1357">
        <f t="shared" si="14"/>
        <v>8694.5555572499998</v>
      </c>
      <c r="P53" s="1357"/>
      <c r="Q53" s="1357">
        <f t="shared" si="14"/>
        <v>8955.3922239674994</v>
      </c>
      <c r="R53" s="1357"/>
      <c r="S53" s="1357">
        <f t="shared" si="14"/>
        <v>9224.0539906865251</v>
      </c>
      <c r="T53" s="1357"/>
      <c r="U53" s="1357">
        <f t="shared" si="14"/>
        <v>9500.7756104071213</v>
      </c>
      <c r="V53" s="1357"/>
      <c r="W53" s="1357">
        <f t="shared" si="14"/>
        <v>9785.7988787193353</v>
      </c>
      <c r="X53" s="1357"/>
      <c r="Y53" s="1357">
        <f t="shared" si="14"/>
        <v>10079.372845080916</v>
      </c>
      <c r="Z53" s="1357"/>
      <c r="AA53" s="1357">
        <f t="shared" si="14"/>
        <v>10381.754030433343</v>
      </c>
      <c r="AB53" s="1357"/>
      <c r="AC53" s="1357">
        <f t="shared" si="14"/>
        <v>10693.206651346343</v>
      </c>
      <c r="AD53" s="1357"/>
      <c r="AE53" s="1357">
        <f t="shared" si="14"/>
        <v>11014.002850886734</v>
      </c>
      <c r="AF53" s="1357"/>
      <c r="AG53" s="1357">
        <f t="shared" si="14"/>
        <v>11344.422936413337</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36878</v>
      </c>
      <c r="F57" s="589"/>
      <c r="G57" s="589">
        <f>SUM(G52:G56)</f>
        <v>37984.339999999997</v>
      </c>
      <c r="H57" s="589"/>
      <c r="I57" s="589">
        <f>SUM(I52:I56)</f>
        <v>39123.870200000005</v>
      </c>
      <c r="J57" s="589"/>
      <c r="K57" s="589">
        <f>SUM(K52:K56)</f>
        <v>40297.586305999997</v>
      </c>
      <c r="L57" s="589"/>
      <c r="M57" s="589">
        <f>SUM(M52:M56)</f>
        <v>41506.513895180004</v>
      </c>
      <c r="N57" s="589"/>
      <c r="O57" s="589">
        <f>SUM(O52:O56)</f>
        <v>42751.709312035404</v>
      </c>
      <c r="P57" s="589"/>
      <c r="Q57" s="589">
        <f>SUM(Q52:Q56)</f>
        <v>44034.260591396465</v>
      </c>
      <c r="R57" s="589"/>
      <c r="S57" s="589">
        <f>SUM(S52:S56)</f>
        <v>45355.28840913836</v>
      </c>
      <c r="T57" s="589"/>
      <c r="U57" s="589">
        <f>SUM(U52:U56)</f>
        <v>46715.947061412517</v>
      </c>
      <c r="V57" s="589"/>
      <c r="W57" s="589">
        <f>SUM(W52:W56)</f>
        <v>48117.425473254887</v>
      </c>
      <c r="X57" s="589"/>
      <c r="Y57" s="589">
        <f>SUM(Y52:Y56)</f>
        <v>49560.94823745254</v>
      </c>
      <c r="Z57" s="589"/>
      <c r="AA57" s="589">
        <f>SUM(AA52:AA56)</f>
        <v>51047.776684576122</v>
      </c>
      <c r="AB57" s="589"/>
      <c r="AC57" s="589">
        <f>SUM(AC52:AC56)</f>
        <v>52579.209985113404</v>
      </c>
      <c r="AD57" s="589"/>
      <c r="AE57" s="589">
        <f>SUM(AE52:AE56)</f>
        <v>54156.58628466681</v>
      </c>
      <c r="AF57" s="589"/>
      <c r="AG57" s="589">
        <f>SUM(AG52:AG56)</f>
        <v>55781.283873206812</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42190.59999999986</v>
      </c>
      <c r="F59" s="580"/>
      <c r="G59" s="580">
        <f>G44-G57</f>
        <v>49554.140000000101</v>
      </c>
      <c r="H59" s="580"/>
      <c r="I59" s="580">
        <f>I44-I57</f>
        <v>56813.090449999901</v>
      </c>
      <c r="J59" s="580"/>
      <c r="K59" s="580">
        <f>K44-K57</f>
        <v>63954.757537999903</v>
      </c>
      <c r="L59" s="580"/>
      <c r="M59" s="580">
        <f>M44-M57</f>
        <v>70965.778108890823</v>
      </c>
      <c r="N59" s="580"/>
      <c r="O59" s="580">
        <f>O44-O57</f>
        <v>77832.090634647349</v>
      </c>
      <c r="P59" s="580"/>
      <c r="Q59" s="580">
        <f>Q44-Q57</f>
        <v>84538.905029127738</v>
      </c>
      <c r="R59" s="580"/>
      <c r="S59" s="580">
        <f>S44-S57</f>
        <v>91070.671263583907</v>
      </c>
      <c r="T59" s="580"/>
      <c r="U59" s="580">
        <f>U44-U57</f>
        <v>97411.046737358192</v>
      </c>
      <c r="V59" s="580"/>
      <c r="W59" s="580">
        <f>W44-W57</f>
        <v>103542.86235656355</v>
      </c>
      <c r="X59" s="580"/>
      <c r="Y59" s="580">
        <f>Y44-Y57</f>
        <v>109448.08727179549</v>
      </c>
      <c r="Z59" s="580"/>
      <c r="AA59" s="580">
        <f>AA44-AA57</f>
        <v>115107.79222413112</v>
      </c>
      <c r="AB59" s="580"/>
      <c r="AC59" s="580">
        <f>AC44-AC57</f>
        <v>120502.11144678696</v>
      </c>
      <c r="AD59" s="580"/>
      <c r="AE59" s="580">
        <f>AE44-AE57</f>
        <v>125610.2030678766</v>
      </c>
      <c r="AF59" s="580"/>
      <c r="AG59" s="580">
        <f>AG44-AG57</f>
        <v>130410.20795769629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c r="B65" s="609"/>
      <c r="C65" s="607"/>
      <c r="D65" s="580"/>
      <c r="E65" s="609"/>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1517"/>
      <c r="B66" s="610"/>
      <c r="C66" s="590"/>
      <c r="D66" s="589"/>
      <c r="E66" s="610"/>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1516"/>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42190.59999999986</v>
      </c>
      <c r="F71" s="589"/>
      <c r="G71" s="580">
        <f>G59-G61-G69</f>
        <v>49554.140000000101</v>
      </c>
      <c r="H71" s="589"/>
      <c r="I71" s="580">
        <f>I59-I61-I69</f>
        <v>56813.090449999901</v>
      </c>
      <c r="J71" s="589"/>
      <c r="K71" s="580">
        <f>K59-K61-K69</f>
        <v>63954.757537999903</v>
      </c>
      <c r="L71" s="589"/>
      <c r="M71" s="580">
        <f>M59-M61-M69</f>
        <v>70965.778108890823</v>
      </c>
      <c r="N71" s="589"/>
      <c r="O71" s="580">
        <f>O59-O61-O69</f>
        <v>77832.090634647349</v>
      </c>
      <c r="P71" s="589"/>
      <c r="Q71" s="580">
        <f>Q59-Q61-Q69</f>
        <v>84538.905029127738</v>
      </c>
      <c r="R71" s="589"/>
      <c r="S71" s="580">
        <f>S59-S61-S69</f>
        <v>91070.671263583907</v>
      </c>
      <c r="T71" s="589"/>
      <c r="U71" s="580">
        <f>U59-U61-U69</f>
        <v>97411.046737358192</v>
      </c>
      <c r="V71" s="589"/>
      <c r="W71" s="580">
        <f>W59-W61-W69</f>
        <v>103542.86235656355</v>
      </c>
      <c r="X71" s="589"/>
      <c r="Y71" s="580">
        <f>Y59-Y61-Y69</f>
        <v>109448.08727179549</v>
      </c>
      <c r="Z71" s="589"/>
      <c r="AA71" s="580">
        <f>AA59-AA61-AA69</f>
        <v>115107.79222413112</v>
      </c>
      <c r="AB71" s="589"/>
      <c r="AC71" s="580">
        <f>AC59-AC61-AC69</f>
        <v>120502.11144678696</v>
      </c>
      <c r="AD71" s="589"/>
      <c r="AE71" s="580">
        <f>AE59-AE61-AE69</f>
        <v>125610.2030678766</v>
      </c>
      <c r="AF71" s="589"/>
      <c r="AG71" s="580">
        <f>AG59-AG61-AG69</f>
        <v>130410.20795769629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1186</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7" t="s">
        <v>1264</v>
      </c>
      <c r="B1" s="2657"/>
      <c r="C1" s="2657"/>
      <c r="D1" s="2657"/>
      <c r="E1" s="2657"/>
      <c r="F1" s="2657"/>
      <c r="G1" s="2657"/>
      <c r="H1" s="2657"/>
      <c r="I1" s="2657"/>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20</v>
      </c>
      <c r="C4" s="913">
        <f>Application!$O706</f>
        <v>596</v>
      </c>
      <c r="D4" s="914"/>
      <c r="E4" s="717"/>
      <c r="F4" s="915">
        <f>$E4*$B4</f>
        <v>0</v>
      </c>
      <c r="G4" s="916"/>
      <c r="H4" s="913">
        <f>IF($E4=0,0,MAX($E4-$C4,0))</f>
        <v>0</v>
      </c>
      <c r="I4" s="915">
        <f>IF($H4=0,0,($H4*$B4))</f>
        <v>0</v>
      </c>
    </row>
    <row r="5" spans="1:9">
      <c r="A5" s="913" t="str">
        <f>Application!$B707</f>
        <v>2 Bedrooms</v>
      </c>
      <c r="B5" s="921">
        <f>Application!$G707</f>
        <v>3</v>
      </c>
      <c r="C5" s="913">
        <f>Application!$O707</f>
        <v>710</v>
      </c>
      <c r="D5" s="914"/>
      <c r="E5" s="717"/>
      <c r="F5" s="915">
        <f t="shared" ref="F5:F28" si="0">$E5*$B5</f>
        <v>0</v>
      </c>
      <c r="G5" s="916"/>
      <c r="H5" s="913">
        <f t="shared" ref="H5:H28" si="1">IF($E5=0,0,MAX($E5-$C5,0))</f>
        <v>0</v>
      </c>
      <c r="I5" s="915">
        <f t="shared" ref="I5:I28" si="2">IF($H5=0,0,($H5*$B5))</f>
        <v>0</v>
      </c>
    </row>
    <row r="6" spans="1:9">
      <c r="A6" s="913" t="str">
        <f>Application!$B708</f>
        <v>3 Bedrooms</v>
      </c>
      <c r="B6" s="921">
        <f>Application!$G708</f>
        <v>3</v>
      </c>
      <c r="C6" s="913">
        <f>Application!$O708</f>
        <v>813</v>
      </c>
      <c r="D6" s="914"/>
      <c r="E6" s="717"/>
      <c r="F6" s="915">
        <f t="shared" si="0"/>
        <v>0</v>
      </c>
      <c r="G6" s="916"/>
      <c r="H6" s="913">
        <f t="shared" si="1"/>
        <v>0</v>
      </c>
      <c r="I6" s="915">
        <f t="shared" si="2"/>
        <v>0</v>
      </c>
    </row>
    <row r="7" spans="1:9">
      <c r="A7" s="913" t="str">
        <f>Application!$B709</f>
        <v>2 Bedrooms</v>
      </c>
      <c r="B7" s="921">
        <f>Application!$G709</f>
        <v>4</v>
      </c>
      <c r="C7" s="913">
        <f>Application!$O709</f>
        <v>978</v>
      </c>
      <c r="D7" s="914"/>
      <c r="E7" s="717"/>
      <c r="F7" s="915">
        <f t="shared" si="0"/>
        <v>0</v>
      </c>
      <c r="G7" s="916"/>
      <c r="H7" s="913">
        <f t="shared" si="1"/>
        <v>0</v>
      </c>
      <c r="I7" s="915">
        <f t="shared" si="2"/>
        <v>0</v>
      </c>
    </row>
    <row r="8" spans="1:9">
      <c r="A8" s="913" t="str">
        <f>Application!$B710</f>
        <v>3 Bedrooms</v>
      </c>
      <c r="B8" s="921">
        <f>Application!$G710</f>
        <v>4</v>
      </c>
      <c r="C8" s="913">
        <f>Application!$O710</f>
        <v>1123</v>
      </c>
      <c r="D8" s="914"/>
      <c r="E8" s="717"/>
      <c r="F8" s="915">
        <f t="shared" si="0"/>
        <v>0</v>
      </c>
      <c r="G8" s="916"/>
      <c r="H8" s="913">
        <f t="shared" si="1"/>
        <v>0</v>
      </c>
      <c r="I8" s="915">
        <f t="shared" si="2"/>
        <v>0</v>
      </c>
    </row>
    <row r="9" spans="1:9">
      <c r="A9" s="913" t="str">
        <f>Application!$B711</f>
        <v>1 Bedroom</v>
      </c>
      <c r="B9" s="921">
        <f>Application!$G711</f>
        <v>26</v>
      </c>
      <c r="C9" s="913">
        <f>Application!$O711</f>
        <v>1042</v>
      </c>
      <c r="D9" s="914"/>
      <c r="E9" s="717"/>
      <c r="F9" s="915">
        <f t="shared" si="0"/>
        <v>0</v>
      </c>
      <c r="G9" s="916"/>
      <c r="H9" s="913">
        <f t="shared" si="1"/>
        <v>0</v>
      </c>
      <c r="I9" s="915">
        <f t="shared" si="2"/>
        <v>0</v>
      </c>
    </row>
    <row r="10" spans="1:9">
      <c r="A10" s="913" t="str">
        <f>Application!$B712</f>
        <v>2 Bedrooms</v>
      </c>
      <c r="B10" s="921">
        <f>Application!$G712</f>
        <v>9</v>
      </c>
      <c r="C10" s="913">
        <f>Application!$O712</f>
        <v>1246</v>
      </c>
      <c r="D10" s="914"/>
      <c r="E10" s="717"/>
      <c r="F10" s="915">
        <f t="shared" si="0"/>
        <v>0</v>
      </c>
      <c r="G10" s="916"/>
      <c r="H10" s="913">
        <f t="shared" si="1"/>
        <v>0</v>
      </c>
      <c r="I10" s="915">
        <f t="shared" si="2"/>
        <v>0</v>
      </c>
    </row>
    <row r="11" spans="1:9">
      <c r="A11" s="913" t="str">
        <f>Application!$B713</f>
        <v>3 Bedrooms</v>
      </c>
      <c r="B11" s="921">
        <f>Application!$G713</f>
        <v>11</v>
      </c>
      <c r="C11" s="913">
        <f>Application!$O713</f>
        <v>1432</v>
      </c>
      <c r="D11" s="914"/>
      <c r="E11" s="717"/>
      <c r="F11" s="915">
        <f t="shared" si="0"/>
        <v>0</v>
      </c>
      <c r="G11" s="916"/>
      <c r="H11" s="913">
        <f t="shared" si="1"/>
        <v>0</v>
      </c>
      <c r="I11" s="915">
        <f t="shared" si="2"/>
        <v>0</v>
      </c>
    </row>
    <row r="12" spans="1:9">
      <c r="A12" s="913" t="str">
        <f>Application!$B714</f>
        <v>1 Bedroom</v>
      </c>
      <c r="B12" s="921">
        <f>Application!$G714</f>
        <v>8</v>
      </c>
      <c r="C12" s="913">
        <f>Application!$O714</f>
        <v>1266</v>
      </c>
      <c r="D12" s="914"/>
      <c r="E12" s="717"/>
      <c r="F12" s="915">
        <f t="shared" si="0"/>
        <v>0</v>
      </c>
      <c r="G12" s="916"/>
      <c r="H12" s="913">
        <f t="shared" si="1"/>
        <v>0</v>
      </c>
      <c r="I12" s="915">
        <f t="shared" si="2"/>
        <v>0</v>
      </c>
    </row>
    <row r="13" spans="1:9">
      <c r="A13" s="913" t="str">
        <f>Application!$B715</f>
        <v>2 Bedrooms</v>
      </c>
      <c r="B13" s="921">
        <f>Application!$G715</f>
        <v>13</v>
      </c>
      <c r="C13" s="913">
        <f>Application!$O715</f>
        <v>1514</v>
      </c>
      <c r="D13" s="914"/>
      <c r="E13" s="717"/>
      <c r="F13" s="915">
        <f t="shared" si="0"/>
        <v>0</v>
      </c>
      <c r="G13" s="916"/>
      <c r="H13" s="913">
        <f t="shared" si="1"/>
        <v>0</v>
      </c>
      <c r="I13" s="915">
        <f t="shared" si="2"/>
        <v>0</v>
      </c>
    </row>
    <row r="14" spans="1:9">
      <c r="A14" s="913" t="str">
        <f>Application!$B716</f>
        <v>3 Bedrooms</v>
      </c>
      <c r="B14" s="921">
        <f>Application!$G716</f>
        <v>11</v>
      </c>
      <c r="C14" s="913">
        <f>Application!$O716</f>
        <v>1742</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1535076</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C5:F11"/>
  <sheetViews>
    <sheetView workbookViewId="0">
      <selection activeCell="F11" sqref="F11"/>
    </sheetView>
  </sheetViews>
  <sheetFormatPr defaultColWidth="9.140625" defaultRowHeight="12.75"/>
  <cols>
    <col min="1" max="16384" width="9.140625" style="515"/>
  </cols>
  <sheetData>
    <row r="5" spans="3:6">
      <c r="C5" s="515" t="s">
        <v>2406</v>
      </c>
      <c r="D5" s="515">
        <v>1</v>
      </c>
      <c r="E5" s="515">
        <v>9477</v>
      </c>
      <c r="F5" s="515">
        <f>E5*D5</f>
        <v>9477</v>
      </c>
    </row>
    <row r="6" spans="3:6">
      <c r="C6" s="515" t="s">
        <v>2403</v>
      </c>
      <c r="D6" s="515">
        <v>5</v>
      </c>
      <c r="E6" s="515">
        <v>7412</v>
      </c>
      <c r="F6" s="515">
        <f t="shared" ref="F6:F9" si="0">E6*D6</f>
        <v>37060</v>
      </c>
    </row>
    <row r="7" spans="3:6">
      <c r="C7" s="515" t="s">
        <v>2404</v>
      </c>
      <c r="D7" s="515">
        <v>6</v>
      </c>
      <c r="E7" s="515">
        <v>7868</v>
      </c>
      <c r="F7" s="515">
        <f t="shared" si="0"/>
        <v>47208</v>
      </c>
    </row>
    <row r="8" spans="3:6">
      <c r="C8" s="515" t="s">
        <v>2405</v>
      </c>
      <c r="D8" s="515">
        <v>3</v>
      </c>
      <c r="E8" s="515">
        <v>8783</v>
      </c>
      <c r="F8" s="515">
        <f t="shared" si="0"/>
        <v>26349</v>
      </c>
    </row>
    <row r="9" spans="3:6">
      <c r="C9" s="515">
        <v>3</v>
      </c>
      <c r="D9" s="515">
        <v>2</v>
      </c>
      <c r="E9" s="515">
        <v>4134</v>
      </c>
      <c r="F9" s="515">
        <f t="shared" si="0"/>
        <v>8268</v>
      </c>
    </row>
    <row r="10" spans="3:6">
      <c r="D10" s="515">
        <f>SUM(D5:D9)</f>
        <v>17</v>
      </c>
      <c r="F10" s="515">
        <f>SUM(F5:F9)</f>
        <v>128362</v>
      </c>
    </row>
    <row r="11" spans="3:6">
      <c r="F11" s="515">
        <f>F10-1267</f>
        <v>127095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1187</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53607623</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832</v>
      </c>
      <c r="D14" s="2263"/>
      <c r="E14" s="2263"/>
      <c r="F14" s="2263"/>
      <c r="G14" s="2263"/>
      <c r="H14" s="2263"/>
      <c r="I14" s="2263"/>
      <c r="J14" s="2263"/>
      <c r="K14" s="2263"/>
      <c r="L14" s="2263"/>
      <c r="M14" s="2263"/>
      <c r="N14" s="2263"/>
      <c r="O14" s="2263"/>
      <c r="P14" s="2263"/>
      <c r="Q14" s="2263"/>
      <c r="R14" s="2263"/>
      <c r="S14" s="2264"/>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3" t="s">
        <v>833</v>
      </c>
      <c r="D15" s="2263"/>
      <c r="E15" s="2263"/>
      <c r="F15" s="2263"/>
      <c r="G15" s="2263"/>
      <c r="H15" s="2263"/>
      <c r="I15" s="2263"/>
      <c r="J15" s="2263"/>
      <c r="K15" s="2263"/>
      <c r="L15" s="2263"/>
      <c r="M15" s="2263"/>
      <c r="N15" s="2263"/>
      <c r="O15" s="2263"/>
      <c r="P15" s="2263"/>
      <c r="Q15" s="2263"/>
      <c r="R15" s="2263"/>
      <c r="S15" s="2264"/>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2" t="s">
        <v>1095</v>
      </c>
      <c r="D16" s="2262"/>
      <c r="E16" s="2262"/>
      <c r="F16" s="2262"/>
      <c r="G16" s="2262"/>
      <c r="H16" s="2262"/>
      <c r="I16" s="2262"/>
      <c r="J16" s="2262"/>
      <c r="K16" s="2262"/>
      <c r="L16" s="2262"/>
      <c r="M16" s="2262"/>
      <c r="N16" s="2262"/>
      <c r="O16" s="2262"/>
      <c r="P16" s="2262"/>
      <c r="Q16" s="2262"/>
      <c r="R16" s="2262"/>
      <c r="S16" s="2265"/>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3" t="s">
        <v>834</v>
      </c>
      <c r="D17" s="2263"/>
      <c r="E17" s="2263"/>
      <c r="F17" s="2263"/>
      <c r="G17" s="2263"/>
      <c r="H17" s="2263"/>
      <c r="I17" s="2263"/>
      <c r="J17" s="2263"/>
      <c r="K17" s="2263"/>
      <c r="L17" s="2263"/>
      <c r="M17" s="2263"/>
      <c r="N17" s="2263"/>
      <c r="O17" s="2263"/>
      <c r="P17" s="2263"/>
      <c r="Q17" s="2263"/>
      <c r="R17" s="2263"/>
      <c r="S17" s="2264"/>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2" t="s">
        <v>1485</v>
      </c>
      <c r="D18" s="2263"/>
      <c r="E18" s="2263"/>
      <c r="F18" s="2263"/>
      <c r="G18" s="2263"/>
      <c r="H18" s="2263"/>
      <c r="I18" s="2263"/>
      <c r="J18" s="2263"/>
      <c r="K18" s="2263"/>
      <c r="L18" s="2263"/>
      <c r="M18" s="2263"/>
      <c r="N18" s="2263"/>
      <c r="O18" s="2263"/>
      <c r="P18" s="2263"/>
      <c r="Q18" s="2263"/>
      <c r="R18" s="2263"/>
      <c r="S18" s="2264"/>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1874</v>
      </c>
      <c r="C21" s="2227"/>
      <c r="D21" s="2227"/>
      <c r="E21" s="2227"/>
      <c r="F21" s="2227"/>
      <c r="G21" s="2227"/>
      <c r="H21" s="2227"/>
      <c r="I21" s="2227"/>
      <c r="J21" s="2227"/>
      <c r="K21" s="2227"/>
      <c r="L21" s="2227"/>
      <c r="M21" s="2227"/>
      <c r="N21" s="2227"/>
      <c r="O21" s="2227"/>
      <c r="P21" s="2227"/>
      <c r="Q21" s="2227"/>
      <c r="R21" s="2227"/>
      <c r="S21" s="2228"/>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0</v>
      </c>
      <c r="AJ21" s="1723"/>
      <c r="AK21" s="1723"/>
      <c r="AL21" s="1723"/>
      <c r="AM21" s="1723"/>
    </row>
    <row r="22" spans="1:39" ht="12.75">
      <c r="B22" s="2226" t="s">
        <v>836</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86" t="s">
        <v>837</v>
      </c>
      <c r="C23" s="2287"/>
      <c r="D23" s="2287"/>
      <c r="E23" s="2287"/>
      <c r="F23" s="2287"/>
      <c r="G23" s="2287"/>
      <c r="H23" s="2287"/>
      <c r="I23" s="2287"/>
      <c r="J23" s="2287"/>
      <c r="K23" s="2287"/>
      <c r="L23" s="2287"/>
      <c r="M23" s="2287"/>
      <c r="N23" s="2287"/>
      <c r="O23" s="2287"/>
      <c r="P23" s="2287"/>
      <c r="Q23" s="2287"/>
      <c r="R23" s="2287"/>
      <c r="S23" s="2288"/>
      <c r="T23" s="2221">
        <f>T11+T22</f>
        <v>53607623</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2.75">
      <c r="B24" s="2226" t="s">
        <v>1317</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2.75">
      <c r="B26" s="2226" t="s">
        <v>838</v>
      </c>
      <c r="C26" s="2227"/>
      <c r="D26" s="2227"/>
      <c r="E26" s="2227"/>
      <c r="F26" s="2227"/>
      <c r="G26" s="2227"/>
      <c r="H26" s="2227"/>
      <c r="I26" s="2227"/>
      <c r="J26" s="2227"/>
      <c r="K26" s="2227"/>
      <c r="L26" s="2227"/>
      <c r="M26" s="2227"/>
      <c r="N26" s="2227"/>
      <c r="O26" s="2227"/>
      <c r="P26" s="2227"/>
      <c r="Q26" s="2227"/>
      <c r="R26" s="2227"/>
      <c r="S26" s="2228"/>
      <c r="T26" s="2276">
        <f>T23*T25</f>
        <v>53607623</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53607623</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2.75">
      <c r="B29" s="2226" t="s">
        <v>684</v>
      </c>
      <c r="C29" s="2227"/>
      <c r="D29" s="2227"/>
      <c r="E29" s="2227"/>
      <c r="F29" s="2227"/>
      <c r="G29" s="2227"/>
      <c r="H29" s="2227"/>
      <c r="I29" s="2227"/>
      <c r="J29" s="2227"/>
      <c r="K29" s="2227"/>
      <c r="L29" s="2227"/>
      <c r="M29" s="2227"/>
      <c r="N29" s="2227"/>
      <c r="O29" s="2227"/>
      <c r="P29" s="2227"/>
      <c r="Q29" s="2227"/>
      <c r="R29" s="2227"/>
      <c r="S29" s="2228"/>
      <c r="T29" s="2289">
        <f>T28+Y28+AD28+AI28</f>
        <v>53607623</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828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7">
        <f>'Sources and Uses Budget'!B104-'Sources and Uses Budget'!$B$15</f>
        <v>57707008</v>
      </c>
      <c r="AC46" s="2218"/>
      <c r="AD46" s="2218"/>
      <c r="AE46" s="2218"/>
      <c r="AF46" s="2219"/>
    </row>
    <row r="47" spans="1:40" ht="12.75" customHeight="1">
      <c r="D47" s="6" t="s">
        <v>910</v>
      </c>
      <c r="AB47" s="2217">
        <f>Application!AG644-MIN('Sources and Uses Budget'!B15,Application!AG385)</f>
        <v>0</v>
      </c>
      <c r="AC47" s="2218"/>
      <c r="AD47" s="2218"/>
      <c r="AE47" s="2218"/>
      <c r="AF47" s="2219"/>
    </row>
    <row r="48" spans="1:40" ht="12.75">
      <c r="D48" s="6" t="s">
        <v>418</v>
      </c>
      <c r="AB48" s="2217">
        <f>AB46-AB47</f>
        <v>57707008</v>
      </c>
      <c r="AC48" s="2218"/>
      <c r="AD48" s="2218"/>
      <c r="AE48" s="2218"/>
      <c r="AF48" s="2219"/>
    </row>
    <row r="49" spans="1:40" ht="12.75">
      <c r="D49" s="6" t="s">
        <v>949</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617</v>
      </c>
      <c r="AB54" s="2217">
        <f>(AB53/10)</f>
        <v>0</v>
      </c>
      <c r="AC54" s="2218"/>
      <c r="AD54" s="2218"/>
      <c r="AE54" s="2218"/>
      <c r="AF54" s="2219"/>
    </row>
    <row r="55" spans="1:40" ht="12.75">
      <c r="D55" s="6" t="s">
        <v>377</v>
      </c>
      <c r="AB55" s="2244">
        <f>(IF((Y41&lt;AB54),Y41,AB54))</f>
        <v>0</v>
      </c>
      <c r="AC55" s="2245"/>
      <c r="AD55" s="2245"/>
      <c r="AE55" s="2245"/>
      <c r="AF55" s="2246"/>
    </row>
    <row r="56" spans="1:40" ht="12.75">
      <c r="D56" s="6" t="s">
        <v>117</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57707008</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68">
        <f>Y28</f>
        <v>0</v>
      </c>
      <c r="Z63" s="2239"/>
      <c r="AA63" s="2239"/>
      <c r="AB63" s="2239"/>
      <c r="AC63" s="2239"/>
      <c r="AD63" s="1868">
        <f>AI28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2.75">
      <c r="C67" s="6"/>
      <c r="D67" s="6" t="s">
        <v>1023</v>
      </c>
      <c r="Y67" s="1868">
        <f>ROUND(Y63*Y66,0)</f>
        <v>0</v>
      </c>
      <c r="Z67" s="2239"/>
      <c r="AA67" s="2239"/>
      <c r="AB67" s="2239"/>
      <c r="AC67" s="2239"/>
      <c r="AD67" s="1868" t="str">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4">
        <f>ROUND(IF(ISERROR((AB58/AB70)),0,(AB58/AB70)),0)</f>
        <v>0</v>
      </c>
      <c r="AC75" s="2234"/>
      <c r="AD75" s="2234"/>
      <c r="AE75" s="2234"/>
      <c r="AF75" s="2234"/>
    </row>
    <row r="76" spans="1:40" ht="12.75" customHeight="1">
      <c r="C76" s="6"/>
      <c r="D76" s="6" t="s">
        <v>115</v>
      </c>
      <c r="AB76" s="2231">
        <f>IF((Y67+AD67&lt;AB75),Y67+AD67,AB75)</f>
        <v>0</v>
      </c>
      <c r="AC76" s="2232"/>
      <c r="AD76" s="2232"/>
      <c r="AE76" s="2232"/>
      <c r="AF76" s="2233"/>
    </row>
    <row r="77" spans="1:40" ht="12.75" customHeight="1">
      <c r="C77" s="6"/>
      <c r="D77" s="6" t="s">
        <v>1024</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57707008</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1474</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53607623</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832</v>
      </c>
      <c r="D14" s="2263"/>
      <c r="E14" s="2263"/>
      <c r="F14" s="2263"/>
      <c r="G14" s="2263"/>
      <c r="H14" s="2263"/>
      <c r="I14" s="2263"/>
      <c r="J14" s="2263"/>
      <c r="K14" s="2263"/>
      <c r="L14" s="2263"/>
      <c r="M14" s="2263"/>
      <c r="N14" s="2263"/>
      <c r="O14" s="2263"/>
      <c r="P14" s="2263"/>
      <c r="Q14" s="2263"/>
      <c r="R14" s="2263"/>
      <c r="S14" s="2264"/>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3" t="s">
        <v>833</v>
      </c>
      <c r="D15" s="2263"/>
      <c r="E15" s="2263"/>
      <c r="F15" s="2263"/>
      <c r="G15" s="2263"/>
      <c r="H15" s="2263"/>
      <c r="I15" s="2263"/>
      <c r="J15" s="2263"/>
      <c r="K15" s="2263"/>
      <c r="L15" s="2263"/>
      <c r="M15" s="2263"/>
      <c r="N15" s="2263"/>
      <c r="O15" s="2263"/>
      <c r="P15" s="2263"/>
      <c r="Q15" s="2263"/>
      <c r="R15" s="2263"/>
      <c r="S15" s="2264"/>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2" t="s">
        <v>1095</v>
      </c>
      <c r="D16" s="2262"/>
      <c r="E16" s="2262"/>
      <c r="F16" s="2262"/>
      <c r="G16" s="2262"/>
      <c r="H16" s="2262"/>
      <c r="I16" s="2262"/>
      <c r="J16" s="2262"/>
      <c r="K16" s="2262"/>
      <c r="L16" s="2262"/>
      <c r="M16" s="2262"/>
      <c r="N16" s="2262"/>
      <c r="O16" s="2262"/>
      <c r="P16" s="2262"/>
      <c r="Q16" s="2262"/>
      <c r="R16" s="2262"/>
      <c r="S16" s="2265"/>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3" t="s">
        <v>834</v>
      </c>
      <c r="D17" s="2263"/>
      <c r="E17" s="2263"/>
      <c r="F17" s="2263"/>
      <c r="G17" s="2263"/>
      <c r="H17" s="2263"/>
      <c r="I17" s="2263"/>
      <c r="J17" s="2263"/>
      <c r="K17" s="2263"/>
      <c r="L17" s="2263"/>
      <c r="M17" s="2263"/>
      <c r="N17" s="2263"/>
      <c r="O17" s="2263"/>
      <c r="P17" s="2263"/>
      <c r="Q17" s="2263"/>
      <c r="R17" s="2263"/>
      <c r="S17" s="2264"/>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2" t="s">
        <v>1485</v>
      </c>
      <c r="D18" s="2263"/>
      <c r="E18" s="2263"/>
      <c r="F18" s="2263"/>
      <c r="G18" s="2263"/>
      <c r="H18" s="2263"/>
      <c r="I18" s="2263"/>
      <c r="J18" s="2263"/>
      <c r="K18" s="2263"/>
      <c r="L18" s="2263"/>
      <c r="M18" s="2263"/>
      <c r="N18" s="2263"/>
      <c r="O18" s="2263"/>
      <c r="P18" s="2263"/>
      <c r="Q18" s="2263"/>
      <c r="R18" s="2263"/>
      <c r="S18" s="2264"/>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1874</v>
      </c>
      <c r="C21" s="2227"/>
      <c r="D21" s="2227"/>
      <c r="E21" s="2227"/>
      <c r="F21" s="2227"/>
      <c r="G21" s="2227"/>
      <c r="H21" s="2227"/>
      <c r="I21" s="2227"/>
      <c r="J21" s="2227"/>
      <c r="K21" s="2227"/>
      <c r="L21" s="2227"/>
      <c r="M21" s="2227"/>
      <c r="N21" s="2227"/>
      <c r="O21" s="2227"/>
      <c r="P21" s="2227"/>
      <c r="Q21" s="2227"/>
      <c r="R21" s="2227"/>
      <c r="S21" s="2228"/>
      <c r="T21" s="1720">
        <f>'Basis &amp; Credits'!T21</f>
        <v>0</v>
      </c>
      <c r="U21" s="1723"/>
      <c r="V21" s="1723"/>
      <c r="W21" s="1723"/>
      <c r="X21" s="1723"/>
      <c r="Y21" s="1720">
        <f>'Basis &amp; Credits'!Y21</f>
        <v>25829845</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2.75">
      <c r="B22" s="2226" t="s">
        <v>836</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-25829845</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86" t="s">
        <v>837</v>
      </c>
      <c r="C23" s="2287"/>
      <c r="D23" s="2287"/>
      <c r="E23" s="2287"/>
      <c r="F23" s="2287"/>
      <c r="G23" s="2287"/>
      <c r="H23" s="2287"/>
      <c r="I23" s="2287"/>
      <c r="J23" s="2287"/>
      <c r="K23" s="2287"/>
      <c r="L23" s="2287"/>
      <c r="M23" s="2287"/>
      <c r="N23" s="2287"/>
      <c r="O23" s="2287"/>
      <c r="P23" s="2287"/>
      <c r="Q23" s="2287"/>
      <c r="R23" s="2287"/>
      <c r="S23" s="2288"/>
      <c r="T23" s="2221">
        <f>T11+T22</f>
        <v>53607623</v>
      </c>
      <c r="U23" s="2222"/>
      <c r="V23" s="2222"/>
      <c r="W23" s="2222"/>
      <c r="X23" s="2222"/>
      <c r="Y23" s="2221">
        <f>Y11+Y22</f>
        <v>-25829845</v>
      </c>
      <c r="Z23" s="2222"/>
      <c r="AA23" s="2222"/>
      <c r="AB23" s="2222"/>
      <c r="AC23" s="2222"/>
      <c r="AD23" s="2221">
        <f>AD11+AD22</f>
        <v>0</v>
      </c>
      <c r="AE23" s="2222"/>
      <c r="AF23" s="2222"/>
      <c r="AG23" s="2222"/>
      <c r="AH23" s="2222"/>
      <c r="AI23" s="2221">
        <f>AI11+AI22</f>
        <v>0</v>
      </c>
      <c r="AJ23" s="2222"/>
      <c r="AK23" s="2222"/>
      <c r="AL23" s="2222"/>
      <c r="AM23" s="2222"/>
    </row>
    <row r="24" spans="1:39" ht="12.75">
      <c r="B24" s="2226" t="s">
        <v>1317</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26" t="s">
        <v>838</v>
      </c>
      <c r="C26" s="2227"/>
      <c r="D26" s="2227"/>
      <c r="E26" s="2227"/>
      <c r="F26" s="2227"/>
      <c r="G26" s="2227"/>
      <c r="H26" s="2227"/>
      <c r="I26" s="2227"/>
      <c r="J26" s="2227"/>
      <c r="K26" s="2227"/>
      <c r="L26" s="2227"/>
      <c r="M26" s="2227"/>
      <c r="N26" s="2227"/>
      <c r="O26" s="2227"/>
      <c r="P26" s="2227"/>
      <c r="Q26" s="2227"/>
      <c r="R26" s="2227"/>
      <c r="S26" s="2228"/>
      <c r="T26" s="2276">
        <f>T23*T25</f>
        <v>53607623</v>
      </c>
      <c r="U26" s="2277"/>
      <c r="V26" s="2277"/>
      <c r="W26" s="2277"/>
      <c r="X26" s="2277"/>
      <c r="Y26" s="2276">
        <f>Y23*Y25</f>
        <v>-25829845</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53607623</v>
      </c>
      <c r="U28" s="2243"/>
      <c r="V28" s="2243"/>
      <c r="W28" s="2243"/>
      <c r="X28" s="2243"/>
      <c r="Y28" s="1797">
        <f>IF(ISERROR((Y26*Y27)),0,(Y26*Y27))</f>
        <v>-25829845</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2.75">
      <c r="B29" s="2226" t="s">
        <v>684</v>
      </c>
      <c r="C29" s="2227"/>
      <c r="D29" s="2227"/>
      <c r="E29" s="2227"/>
      <c r="F29" s="2227"/>
      <c r="G29" s="2227"/>
      <c r="H29" s="2227"/>
      <c r="I29" s="2227"/>
      <c r="J29" s="2227"/>
      <c r="K29" s="2227"/>
      <c r="L29" s="2227"/>
      <c r="M29" s="2227"/>
      <c r="N29" s="2227"/>
      <c r="O29" s="2227"/>
      <c r="P29" s="2227"/>
      <c r="Q29" s="2227"/>
      <c r="R29" s="2227"/>
      <c r="S29" s="2228"/>
      <c r="T29" s="2289">
        <f>T28+Y28+AD28+AI28</f>
        <v>27777778</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828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7">
        <f>'Sources and Uses Budget'!B104-'Sources and Uses Budget'!$B$15</f>
        <v>57707008</v>
      </c>
      <c r="AC46" s="2218"/>
      <c r="AD46" s="2218"/>
      <c r="AE46" s="2218"/>
      <c r="AF46" s="2219"/>
    </row>
    <row r="47" spans="1:40" ht="12.75" customHeight="1">
      <c r="D47" s="6" t="s">
        <v>910</v>
      </c>
      <c r="AB47" s="2217">
        <f>Application!AG644-MIN('Sources and Uses Budget'!B15,Application!AG385)</f>
        <v>0</v>
      </c>
      <c r="AC47" s="2218"/>
      <c r="AD47" s="2218"/>
      <c r="AE47" s="2218"/>
      <c r="AF47" s="2219"/>
    </row>
    <row r="48" spans="1:40" ht="12.75">
      <c r="D48" s="6" t="s">
        <v>418</v>
      </c>
      <c r="AB48" s="2217">
        <f>AB46-AB47</f>
        <v>57707008</v>
      </c>
      <c r="AC48" s="2218"/>
      <c r="AD48" s="2218"/>
      <c r="AE48" s="2218"/>
      <c r="AF48" s="2219"/>
    </row>
    <row r="49" spans="1:40" ht="12.75">
      <c r="D49" s="6" t="s">
        <v>949</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617</v>
      </c>
      <c r="AB54" s="2217">
        <f>(AB53/10)</f>
        <v>0</v>
      </c>
      <c r="AC54" s="2218"/>
      <c r="AD54" s="2218"/>
      <c r="AE54" s="2218"/>
      <c r="AF54" s="2219"/>
    </row>
    <row r="55" spans="1:40" ht="12.75">
      <c r="D55" s="6" t="s">
        <v>377</v>
      </c>
      <c r="AB55" s="2244">
        <f>(IF((Y41&lt;AB54),Y41,AB54))</f>
        <v>0</v>
      </c>
      <c r="AC55" s="2245"/>
      <c r="AD55" s="2245"/>
      <c r="AE55" s="2245"/>
      <c r="AF55" s="2246"/>
    </row>
    <row r="56" spans="1:40" ht="12.75">
      <c r="D56" s="6" t="s">
        <v>117</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57707008</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68">
        <f>Y28</f>
        <v>-25829845</v>
      </c>
      <c r="Z63" s="2239"/>
      <c r="AA63" s="2239"/>
      <c r="AB63" s="2239"/>
      <c r="AC63" s="2239"/>
      <c r="AD63" s="1868">
        <f>AI28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2.75">
      <c r="C67" s="6"/>
      <c r="D67" s="6" t="s">
        <v>1023</v>
      </c>
      <c r="Y67" s="1868">
        <f>ROUND(Y63*Y66,0)</f>
        <v>-7748954</v>
      </c>
      <c r="Z67" s="2239"/>
      <c r="AA67" s="2239"/>
      <c r="AB67" s="2239"/>
      <c r="AC67" s="2239"/>
      <c r="AD67" s="1868" t="str">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4">
        <f>ROUND(IF(ISERROR((AB58/AB70)),0,(AB58/AB70)),0)</f>
        <v>0</v>
      </c>
      <c r="AC75" s="2234"/>
      <c r="AD75" s="2234"/>
      <c r="AE75" s="2234"/>
      <c r="AF75" s="2234"/>
    </row>
    <row r="76" spans="1:40" ht="12.75" customHeight="1">
      <c r="C76" s="6"/>
      <c r="D76" s="6" t="s">
        <v>115</v>
      </c>
      <c r="AB76" s="2231">
        <f>IF((Y67+AD67&lt;AB75),Y67+AD67,AB75)</f>
        <v>-7748954</v>
      </c>
      <c r="AC76" s="2232"/>
      <c r="AD76" s="2232"/>
      <c r="AE76" s="2232"/>
      <c r="AF76" s="2233"/>
    </row>
    <row r="77" spans="1:40" ht="12.75" customHeight="1">
      <c r="C77" s="6"/>
      <c r="D77" s="6" t="s">
        <v>1024</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57707008</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42" t="s">
        <v>379</v>
      </c>
      <c r="B4" s="503"/>
      <c r="C4" s="503"/>
      <c r="D4" s="503"/>
      <c r="E4" s="503"/>
      <c r="F4" s="503"/>
      <c r="G4" s="503"/>
    </row>
    <row r="5" spans="1:7" s="876" customFormat="1" ht="12.75">
      <c r="A5" s="1443" t="s">
        <v>1038</v>
      </c>
      <c r="B5" s="505">
        <f>'Sources and Uses Budget'!C4</f>
        <v>1800000</v>
      </c>
      <c r="C5" s="505">
        <f>'Sources and Uses Budget'!C4</f>
        <v>1800000</v>
      </c>
      <c r="D5" s="505">
        <f>'Sources and Uses Budget'!C4</f>
        <v>1800000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380</v>
      </c>
      <c r="B7" s="505">
        <f>'Sources and Uses Budget'!C6</f>
        <v>70000</v>
      </c>
      <c r="C7" s="505">
        <f>'Sources and Uses Budget'!C6</f>
        <v>70000</v>
      </c>
      <c r="D7" s="505">
        <f>'Sources and Uses Budget'!C6</f>
        <v>70000</v>
      </c>
      <c r="E7" s="507">
        <f t="shared" si="0"/>
        <v>0</v>
      </c>
      <c r="F7" s="506"/>
      <c r="G7" s="506"/>
    </row>
    <row r="8" spans="1:7" s="876" customFormat="1" ht="12.75">
      <c r="A8" s="1443" t="s">
        <v>308</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1870000</v>
      </c>
      <c r="C9" s="507">
        <f>SUM(C5:C8)</f>
        <v>1870000</v>
      </c>
      <c r="D9" s="507">
        <f>SUM(D5:D8)</f>
        <v>1870000</v>
      </c>
      <c r="E9" s="507">
        <f t="shared" si="0"/>
        <v>0</v>
      </c>
      <c r="F9" s="506"/>
      <c r="G9" s="506"/>
    </row>
    <row r="10" spans="1:7" s="876" customFormat="1" ht="12.75">
      <c r="A10" s="1443" t="s">
        <v>641</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642</v>
      </c>
      <c r="B12" s="507">
        <f>SUM(B10:B11)</f>
        <v>0</v>
      </c>
      <c r="C12" s="507">
        <f>SUM(C10:C11)</f>
        <v>0</v>
      </c>
      <c r="D12" s="507">
        <f>SUM(D10:D11)</f>
        <v>0</v>
      </c>
      <c r="E12" s="507">
        <f t="shared" si="0"/>
        <v>0</v>
      </c>
      <c r="F12" s="506"/>
      <c r="G12" s="506"/>
    </row>
    <row r="13" spans="1:7" s="876" customFormat="1" ht="12.75">
      <c r="A13" s="1444" t="s">
        <v>772</v>
      </c>
      <c r="B13" s="507">
        <f>SUM(B9+B12)</f>
        <v>1870000</v>
      </c>
      <c r="C13" s="507">
        <f>SUM(C9+C12)</f>
        <v>1870000</v>
      </c>
      <c r="D13" s="507">
        <f>SUM(D9+D12)</f>
        <v>1870000</v>
      </c>
      <c r="E13" s="507">
        <f t="shared" si="0"/>
        <v>0</v>
      </c>
      <c r="F13" s="506"/>
      <c r="G13" s="506"/>
    </row>
    <row r="14" spans="1:7" s="876" customFormat="1" ht="12.75">
      <c r="A14" s="1445" t="s">
        <v>1197</v>
      </c>
      <c r="B14" s="505">
        <f>'Sources and Uses Budget'!C13</f>
        <v>85549</v>
      </c>
      <c r="C14" s="505">
        <f>'Sources and Uses Budget'!C13</f>
        <v>85549</v>
      </c>
      <c r="D14" s="505">
        <f>'Sources and Uses Budget'!C13</f>
        <v>85549</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1840</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2163</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3600000</v>
      </c>
      <c r="C30" s="505">
        <f>'Sources and Uses Budget'!C29</f>
        <v>3600000</v>
      </c>
      <c r="D30" s="505">
        <f>'Sources and Uses Budget'!C29</f>
        <v>3600000</v>
      </c>
      <c r="E30" s="507">
        <f t="shared" si="0"/>
        <v>0</v>
      </c>
      <c r="F30" s="506"/>
      <c r="G30" s="506"/>
    </row>
    <row r="31" spans="1:7" s="876" customFormat="1" ht="12.75">
      <c r="A31" s="369" t="s">
        <v>993</v>
      </c>
      <c r="B31" s="505">
        <f>'Sources and Uses Budget'!C30</f>
        <v>27980177</v>
      </c>
      <c r="C31" s="505">
        <f>'Sources and Uses Budget'!C30</f>
        <v>27980177</v>
      </c>
      <c r="D31" s="505">
        <f>'Sources and Uses Budget'!C30</f>
        <v>27980177</v>
      </c>
      <c r="E31" s="507">
        <f t="shared" si="0"/>
        <v>0</v>
      </c>
      <c r="F31" s="506"/>
      <c r="G31" s="506"/>
    </row>
    <row r="32" spans="1:7" s="876" customFormat="1" ht="12.75">
      <c r="A32" s="369" t="s">
        <v>994</v>
      </c>
      <c r="B32" s="505">
        <f>'Sources and Uses Budget'!C31</f>
        <v>2014868</v>
      </c>
      <c r="C32" s="505">
        <f>'Sources and Uses Budget'!C31</f>
        <v>2014868</v>
      </c>
      <c r="D32" s="505">
        <f>'Sources and Uses Budget'!C31</f>
        <v>2014868</v>
      </c>
      <c r="E32" s="507">
        <f t="shared" si="0"/>
        <v>0</v>
      </c>
      <c r="F32" s="506"/>
      <c r="G32" s="506"/>
    </row>
    <row r="33" spans="1:7" s="876" customFormat="1" ht="12.75">
      <c r="A33" s="369" t="s">
        <v>995</v>
      </c>
      <c r="B33" s="505">
        <f>'Sources and Uses Budget'!C32</f>
        <v>2636741</v>
      </c>
      <c r="C33" s="505">
        <f>'Sources and Uses Budget'!C32</f>
        <v>2636741</v>
      </c>
      <c r="D33" s="505">
        <f>'Sources and Uses Budget'!C32</f>
        <v>2636741</v>
      </c>
      <c r="E33" s="507">
        <f t="shared" si="0"/>
        <v>0</v>
      </c>
      <c r="F33" s="506"/>
      <c r="G33" s="506"/>
    </row>
    <row r="34" spans="1:7" s="876" customFormat="1" ht="12.75">
      <c r="A34" s="369" t="s">
        <v>996</v>
      </c>
      <c r="B34" s="505">
        <f>'Sources and Uses Budget'!C33</f>
        <v>0</v>
      </c>
      <c r="C34" s="505">
        <f>'Sources and Uses Budget'!C33</f>
        <v>0</v>
      </c>
      <c r="D34" s="505">
        <f>'Sources and Uses Budget'!C33</f>
        <v>0</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753920</v>
      </c>
      <c r="C36" s="505">
        <f>'Sources and Uses Budget'!C35</f>
        <v>753920</v>
      </c>
      <c r="D36" s="505">
        <f>'Sources and Uses Budget'!C35</f>
        <v>753920</v>
      </c>
      <c r="E36" s="507">
        <f t="shared" si="0"/>
        <v>0</v>
      </c>
      <c r="F36" s="506"/>
      <c r="G36" s="506"/>
    </row>
    <row r="37" spans="1:7" s="876" customFormat="1" ht="12.75">
      <c r="A37" s="700" t="s">
        <v>2163</v>
      </c>
      <c r="B37" s="505">
        <f>'Sources and Uses Budget'!C36</f>
        <v>266000</v>
      </c>
      <c r="C37" s="505">
        <f>'Sources and Uses Budget'!C36</f>
        <v>266000</v>
      </c>
      <c r="D37" s="505">
        <f>'Sources and Uses Budget'!C36</f>
        <v>266000</v>
      </c>
      <c r="E37" s="507">
        <f t="shared" si="0"/>
        <v>0</v>
      </c>
      <c r="F37" s="506"/>
      <c r="G37" s="506"/>
    </row>
    <row r="38" spans="1:7" s="876" customFormat="1" ht="12.75">
      <c r="A38" s="380" t="s">
        <v>588</v>
      </c>
      <c r="B38" s="505">
        <f>'Sources and Uses Budget'!C37</f>
        <v>2100000</v>
      </c>
      <c r="C38" s="505">
        <f>'Sources and Uses Budget'!C37</f>
        <v>2100000</v>
      </c>
      <c r="D38" s="505">
        <f>'Sources and Uses Budget'!C37</f>
        <v>2100000</v>
      </c>
      <c r="E38" s="507">
        <f>C38-B38</f>
        <v>0</v>
      </c>
      <c r="F38" s="506"/>
      <c r="G38" s="506"/>
    </row>
    <row r="39" spans="1:7" s="876" customFormat="1" ht="12.75">
      <c r="A39" s="1447" t="s">
        <v>1001</v>
      </c>
      <c r="B39" s="1454">
        <f>'Sources and Uses Budget'!C38</f>
        <v>39351706</v>
      </c>
      <c r="C39" s="1454">
        <f>'Sources and Uses Budget'!C38</f>
        <v>39351706</v>
      </c>
      <c r="D39" s="1454">
        <f>'Sources and Uses Budget'!C38</f>
        <v>39351706</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2035636</v>
      </c>
      <c r="C41" s="505">
        <f>'Sources and Uses Budget'!C40</f>
        <v>2035636</v>
      </c>
      <c r="D41" s="505">
        <f>'Sources and Uses Budget'!C40</f>
        <v>2035636</v>
      </c>
      <c r="E41" s="507">
        <f>C41-B41</f>
        <v>0</v>
      </c>
      <c r="F41" s="506"/>
      <c r="G41" s="506"/>
    </row>
    <row r="42" spans="1:7" s="876" customFormat="1" ht="12.75">
      <c r="A42" s="1448" t="s">
        <v>1004</v>
      </c>
      <c r="B42" s="505">
        <f>'Sources and Uses Budget'!C41</f>
        <v>80000</v>
      </c>
      <c r="C42" s="505">
        <f>'Sources and Uses Budget'!C41</f>
        <v>80000</v>
      </c>
      <c r="D42" s="505">
        <f>'Sources and Uses Budget'!C41</f>
        <v>80000</v>
      </c>
      <c r="E42" s="507">
        <f>C42-B42</f>
        <v>0</v>
      </c>
      <c r="F42" s="506"/>
      <c r="G42" s="506"/>
    </row>
    <row r="43" spans="1:7" s="876" customFormat="1" ht="12" customHeight="1">
      <c r="A43" s="1447" t="s">
        <v>1005</v>
      </c>
      <c r="B43" s="1454">
        <f>'Sources and Uses Budget'!C42</f>
        <v>2115636</v>
      </c>
      <c r="C43" s="1454">
        <f>'Sources and Uses Budget'!C42</f>
        <v>2115636</v>
      </c>
      <c r="D43" s="1454">
        <f>'Sources and Uses Budget'!C42</f>
        <v>2115636</v>
      </c>
      <c r="E43" s="507">
        <f>C43-B43</f>
        <v>0</v>
      </c>
      <c r="F43" s="506"/>
      <c r="G43" s="506"/>
    </row>
    <row r="44" spans="1:7" s="876" customFormat="1" ht="12.75">
      <c r="A44" s="1447" t="s">
        <v>1006</v>
      </c>
      <c r="B44" s="505">
        <f>'Sources and Uses Budget'!C43</f>
        <v>235000</v>
      </c>
      <c r="C44" s="505">
        <f>'Sources and Uses Budget'!C43</f>
        <v>235000</v>
      </c>
      <c r="D44" s="505">
        <f>'Sources and Uses Budget'!C43</f>
        <v>235000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3256995</v>
      </c>
      <c r="C46" s="505">
        <f>'Sources and Uses Budget'!C45</f>
        <v>3256995</v>
      </c>
      <c r="D46" s="505">
        <f>'Sources and Uses Budget'!C45</f>
        <v>3256995</v>
      </c>
      <c r="E46" s="507">
        <f t="shared" si="0"/>
        <v>0</v>
      </c>
      <c r="F46" s="506"/>
      <c r="G46" s="506"/>
    </row>
    <row r="47" spans="1:7" s="876" customFormat="1" ht="12.75">
      <c r="A47" s="369" t="s">
        <v>1009</v>
      </c>
      <c r="B47" s="505">
        <f>'Sources and Uses Budget'!C46</f>
        <v>347738</v>
      </c>
      <c r="C47" s="505">
        <f>'Sources and Uses Budget'!C46</f>
        <v>347738</v>
      </c>
      <c r="D47" s="505">
        <f>'Sources and Uses Budget'!C46</f>
        <v>347738</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40000</v>
      </c>
      <c r="C50" s="505">
        <f>'Sources and Uses Budget'!C49</f>
        <v>40000</v>
      </c>
      <c r="D50" s="505">
        <f>'Sources and Uses Budget'!C49</f>
        <v>40000</v>
      </c>
      <c r="E50" s="507">
        <f t="shared" si="0"/>
        <v>0</v>
      </c>
      <c r="F50" s="506"/>
      <c r="G50" s="506"/>
    </row>
    <row r="51" spans="1:7" s="876" customFormat="1" ht="12.75">
      <c r="A51" s="369" t="s">
        <v>1012</v>
      </c>
      <c r="B51" s="505">
        <f>'Sources and Uses Budget'!C50</f>
        <v>72767</v>
      </c>
      <c r="C51" s="505">
        <f>'Sources and Uses Budget'!C50</f>
        <v>72767</v>
      </c>
      <c r="D51" s="505">
        <f>'Sources and Uses Budget'!C50</f>
        <v>72767</v>
      </c>
      <c r="E51" s="507">
        <f t="shared" si="0"/>
        <v>0</v>
      </c>
      <c r="F51" s="506"/>
      <c r="G51" s="506"/>
    </row>
    <row r="52" spans="1:7" s="877" customFormat="1" ht="12.75">
      <c r="A52" s="369" t="s">
        <v>1013</v>
      </c>
      <c r="B52" s="505">
        <f>'Sources and Uses Budget'!C51</f>
        <v>673604</v>
      </c>
      <c r="C52" s="505">
        <f>'Sources and Uses Budget'!C51</f>
        <v>673604</v>
      </c>
      <c r="D52" s="505">
        <f>'Sources and Uses Budget'!C51</f>
        <v>673604</v>
      </c>
      <c r="E52" s="507">
        <f t="shared" si="0"/>
        <v>0</v>
      </c>
      <c r="F52" s="506"/>
      <c r="G52" s="506"/>
    </row>
    <row r="53" spans="1:7" s="876" customFormat="1" ht="12.75">
      <c r="A53" s="376" t="s">
        <v>588</v>
      </c>
      <c r="B53" s="505">
        <f>'Sources and Uses Budget'!C52</f>
        <v>40000</v>
      </c>
      <c r="C53" s="505">
        <f>'Sources and Uses Budget'!C52</f>
        <v>40000</v>
      </c>
      <c r="D53" s="505">
        <f>'Sources and Uses Budget'!C52</f>
        <v>40000</v>
      </c>
      <c r="E53" s="507">
        <f t="shared" si="0"/>
        <v>0</v>
      </c>
      <c r="F53" s="506"/>
      <c r="G53" s="506"/>
    </row>
    <row r="54" spans="1:7" s="876" customFormat="1" ht="12.75">
      <c r="A54" s="373" t="s">
        <v>1015</v>
      </c>
      <c r="B54" s="1454">
        <f>'Sources and Uses Budget'!C53</f>
        <v>4431104</v>
      </c>
      <c r="C54" s="1454">
        <f>'Sources and Uses Budget'!C53</f>
        <v>4431104</v>
      </c>
      <c r="D54" s="1454">
        <f>'Sources and Uses Budget'!C53</f>
        <v>4431104</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1016</v>
      </c>
      <c r="B56" s="505">
        <f>'Sources and Uses Budget'!C55</f>
        <v>63210</v>
      </c>
      <c r="C56" s="505">
        <f>'Sources and Uses Budget'!C55</f>
        <v>63210</v>
      </c>
      <c r="D56" s="505">
        <f>'Sources and Uses Budget'!C55</f>
        <v>63210</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10000</v>
      </c>
      <c r="C58" s="505">
        <f>'Sources and Uses Budget'!C57</f>
        <v>10000</v>
      </c>
      <c r="D58" s="505">
        <f>'Sources and Uses Budget'!C57</f>
        <v>10000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4.1" customHeight="1">
      <c r="A61" s="1449" t="s">
        <v>588</v>
      </c>
      <c r="B61" s="505">
        <f>'Sources and Uses Budget'!C60</f>
        <v>55000</v>
      </c>
      <c r="C61" s="505">
        <f>'Sources and Uses Budget'!C60</f>
        <v>55000</v>
      </c>
      <c r="D61" s="505">
        <f>'Sources and Uses Budget'!C60</f>
        <v>55000</v>
      </c>
      <c r="E61" s="507">
        <f t="shared" si="0"/>
        <v>0</v>
      </c>
      <c r="F61" s="506"/>
      <c r="G61" s="506"/>
    </row>
    <row r="62" spans="1:7" s="876" customFormat="1" ht="12.75">
      <c r="A62" s="1447" t="s">
        <v>545</v>
      </c>
      <c r="B62" s="1454">
        <f>'Sources and Uses Budget'!C61</f>
        <v>128210</v>
      </c>
      <c r="C62" s="1454">
        <f>'Sources and Uses Budget'!C61</f>
        <v>128210</v>
      </c>
      <c r="D62" s="1454">
        <f>'Sources and Uses Budget'!C61</f>
        <v>128210</v>
      </c>
      <c r="E62" s="507">
        <f t="shared" si="0"/>
        <v>0</v>
      </c>
      <c r="F62" s="506"/>
      <c r="G62" s="506"/>
    </row>
    <row r="63" spans="1:7" s="876" customFormat="1" ht="12.75">
      <c r="A63" s="1450" t="s">
        <v>546</v>
      </c>
      <c r="B63" s="1454">
        <f>'Sources and Uses Budget'!C62</f>
        <v>48217205</v>
      </c>
      <c r="C63" s="1454">
        <f>'Sources and Uses Budget'!C62</f>
        <v>48217205</v>
      </c>
      <c r="D63" s="1454">
        <f>'Sources and Uses Budget'!C62</f>
        <v>48217205</v>
      </c>
      <c r="E63" s="507">
        <f t="shared" si="0"/>
        <v>0</v>
      </c>
      <c r="F63" s="506"/>
      <c r="G63" s="506"/>
    </row>
    <row r="64" spans="1:7" s="876" customFormat="1" ht="24">
      <c r="A64" s="365" t="s">
        <v>2164</v>
      </c>
      <c r="B64" s="503"/>
      <c r="C64" s="503"/>
      <c r="D64" s="503"/>
      <c r="E64" s="503"/>
      <c r="F64" s="503"/>
      <c r="G64" s="503"/>
    </row>
    <row r="65" spans="1:7" s="876" customFormat="1" ht="12.75">
      <c r="A65" s="369" t="s">
        <v>310</v>
      </c>
      <c r="B65" s="505">
        <f>'Sources and Uses Budget'!C64</f>
        <v>50000</v>
      </c>
      <c r="C65" s="505">
        <f>'Sources and Uses Budget'!C64</f>
        <v>50000</v>
      </c>
      <c r="D65" s="505">
        <f>'Sources and Uses Budget'!C64</f>
        <v>50000</v>
      </c>
      <c r="E65" s="507">
        <f t="shared" si="0"/>
        <v>0</v>
      </c>
      <c r="F65" s="506"/>
      <c r="G65" s="506"/>
    </row>
    <row r="66" spans="1:7" s="876" customFormat="1" ht="24">
      <c r="A66" s="369" t="s">
        <v>2165</v>
      </c>
      <c r="B66" s="505">
        <f>'Sources and Uses Budget'!C65</f>
        <v>0</v>
      </c>
      <c r="C66" s="505">
        <f>'Sources and Uses Budget'!C65</f>
        <v>0</v>
      </c>
      <c r="D66" s="505">
        <f>'Sources and Uses Budget'!C65</f>
        <v>0</v>
      </c>
      <c r="E66" s="507">
        <f t="shared" si="0"/>
        <v>0</v>
      </c>
      <c r="F66" s="506"/>
      <c r="G66" s="506"/>
    </row>
    <row r="67" spans="1:7" s="876" customFormat="1" ht="24">
      <c r="A67" s="369" t="s">
        <v>2166</v>
      </c>
      <c r="B67" s="505">
        <f>'Sources and Uses Budget'!C66</f>
        <v>0</v>
      </c>
      <c r="C67" s="505">
        <f>'Sources and Uses Budget'!C66</f>
        <v>0</v>
      </c>
      <c r="D67" s="505">
        <f>'Sources and Uses Budget'!C66</f>
        <v>0</v>
      </c>
      <c r="E67" s="507">
        <f t="shared" si="0"/>
        <v>0</v>
      </c>
      <c r="F67" s="506"/>
      <c r="G67" s="506"/>
    </row>
    <row r="68" spans="1:7" s="876" customFormat="1" ht="12.75">
      <c r="A68" s="369" t="s">
        <v>2167</v>
      </c>
      <c r="B68" s="505">
        <f>'Sources and Uses Budget'!C67</f>
        <v>13487</v>
      </c>
      <c r="C68" s="505">
        <f>'Sources and Uses Budget'!C67</f>
        <v>13487</v>
      </c>
      <c r="D68" s="505">
        <f>'Sources and Uses Budget'!C67</f>
        <v>13487</v>
      </c>
      <c r="E68" s="507">
        <f t="shared" si="0"/>
        <v>0</v>
      </c>
      <c r="F68" s="506"/>
      <c r="G68" s="506"/>
    </row>
    <row r="69" spans="1:7" s="876" customFormat="1" ht="12.75">
      <c r="A69" s="380" t="s">
        <v>2233</v>
      </c>
      <c r="B69" s="505">
        <f>'Sources and Uses Budget'!C68</f>
        <v>60000</v>
      </c>
      <c r="C69" s="505">
        <f>'Sources and Uses Budget'!C68</f>
        <v>60000</v>
      </c>
      <c r="D69" s="505">
        <f>'Sources and Uses Budget'!C68</f>
        <v>60000</v>
      </c>
      <c r="E69" s="507">
        <f t="shared" si="0"/>
        <v>0</v>
      </c>
      <c r="F69" s="506"/>
      <c r="G69" s="506"/>
    </row>
    <row r="70" spans="1:7" s="876" customFormat="1" ht="12.75">
      <c r="A70" s="373" t="s">
        <v>2168</v>
      </c>
      <c r="B70" s="1454">
        <f>'Sources and Uses Budget'!C69</f>
        <v>123487</v>
      </c>
      <c r="C70" s="1454">
        <f>'Sources and Uses Budget'!C69</f>
        <v>123487</v>
      </c>
      <c r="D70" s="1454">
        <f>'Sources and Uses Budget'!C69</f>
        <v>123487</v>
      </c>
      <c r="E70" s="507">
        <f t="shared" si="0"/>
        <v>0</v>
      </c>
      <c r="F70" s="506"/>
      <c r="G70" s="506"/>
    </row>
    <row r="71" spans="1:7" s="876" customFormat="1" ht="12.75">
      <c r="A71" s="1442" t="s">
        <v>311</v>
      </c>
      <c r="B71" s="503"/>
      <c r="C71" s="503"/>
      <c r="D71" s="503"/>
      <c r="E71" s="503"/>
      <c r="F71" s="503"/>
      <c r="G71" s="503"/>
    </row>
    <row r="72" spans="1:7" s="876" customFormat="1" ht="12.75">
      <c r="A72" s="1448" t="s">
        <v>312</v>
      </c>
      <c r="B72" s="505">
        <f>'Sources and Uses Budget'!C71</f>
        <v>0</v>
      </c>
      <c r="C72" s="505">
        <f>'Sources and Uses Budget'!C71</f>
        <v>0</v>
      </c>
      <c r="D72" s="505">
        <f>'Sources and Uses Budget'!C71</f>
        <v>0</v>
      </c>
      <c r="E72" s="507">
        <f t="shared" si="0"/>
        <v>0</v>
      </c>
      <c r="F72" s="506"/>
      <c r="G72" s="506"/>
    </row>
    <row r="73" spans="1:7" s="876" customFormat="1" ht="12.75">
      <c r="A73" s="1448" t="s">
        <v>313</v>
      </c>
      <c r="B73" s="505">
        <f>'Sources and Uses Budget'!C72</f>
        <v>0</v>
      </c>
      <c r="C73" s="505">
        <f>'Sources and Uses Budget'!C72</f>
        <v>0</v>
      </c>
      <c r="D73" s="505">
        <f>'Sources and Uses Budget'!C72</f>
        <v>0</v>
      </c>
      <c r="E73" s="507">
        <f t="shared" si="0"/>
        <v>0</v>
      </c>
      <c r="F73" s="506"/>
      <c r="G73" s="506"/>
    </row>
    <row r="74" spans="1:7" s="876" customFormat="1" ht="12.75">
      <c r="A74" s="1451" t="s">
        <v>1340</v>
      </c>
      <c r="B74" s="505">
        <f>'Sources and Uses Budget'!C73</f>
        <v>0</v>
      </c>
      <c r="C74" s="505">
        <f>'Sources and Uses Budget'!C73</f>
        <v>0</v>
      </c>
      <c r="D74" s="505">
        <f>'Sources and Uses Budget'!C73</f>
        <v>0</v>
      </c>
      <c r="E74" s="507">
        <f>C74-B74</f>
        <v>0</v>
      </c>
      <c r="F74" s="506"/>
      <c r="G74" s="506"/>
    </row>
    <row r="75" spans="1:7" s="876" customFormat="1" ht="12.75">
      <c r="A75" s="1448" t="s">
        <v>314</v>
      </c>
      <c r="B75" s="505">
        <f>'Sources and Uses Budget'!C74</f>
        <v>350929</v>
      </c>
      <c r="C75" s="505">
        <f>'Sources and Uses Budget'!C74</f>
        <v>350929</v>
      </c>
      <c r="D75" s="505">
        <f>'Sources and Uses Budget'!C74</f>
        <v>350929</v>
      </c>
      <c r="E75" s="507">
        <f>C75-B75</f>
        <v>0</v>
      </c>
      <c r="F75" s="506"/>
      <c r="G75" s="506"/>
    </row>
    <row r="76" spans="1:7" s="876" customFormat="1" ht="12.75">
      <c r="A76" s="1452" t="s">
        <v>588</v>
      </c>
      <c r="B76" s="505">
        <f>'Sources and Uses Budget'!C75</f>
        <v>0</v>
      </c>
      <c r="C76" s="505">
        <f>'Sources and Uses Budget'!C75</f>
        <v>0</v>
      </c>
      <c r="D76" s="505">
        <f>'Sources and Uses Budget'!C75</f>
        <v>0</v>
      </c>
      <c r="E76" s="507">
        <f>C76-B76</f>
        <v>0</v>
      </c>
      <c r="F76" s="506"/>
      <c r="G76" s="506"/>
    </row>
    <row r="77" spans="1:7" s="876" customFormat="1" ht="12.75">
      <c r="A77" s="1447" t="s">
        <v>315</v>
      </c>
      <c r="B77" s="1454">
        <f>'Sources and Uses Budget'!C76</f>
        <v>350929</v>
      </c>
      <c r="C77" s="1454">
        <f>'Sources and Uses Budget'!C76</f>
        <v>350929</v>
      </c>
      <c r="D77" s="1454">
        <f>'Sources and Uses Budget'!C76</f>
        <v>350929</v>
      </c>
      <c r="E77" s="507">
        <f>C77-B77</f>
        <v>0</v>
      </c>
      <c r="F77" s="506"/>
      <c r="G77" s="506"/>
    </row>
    <row r="78" spans="1:7" s="876" customFormat="1" ht="12.75">
      <c r="A78" s="1442" t="s">
        <v>1908</v>
      </c>
      <c r="B78" s="503"/>
      <c r="C78" s="503"/>
      <c r="D78" s="503"/>
      <c r="E78" s="503"/>
      <c r="F78" s="503"/>
      <c r="G78" s="503"/>
    </row>
    <row r="79" spans="1:7" s="876" customFormat="1" ht="14.1" customHeight="1">
      <c r="A79" s="1448" t="s">
        <v>1906</v>
      </c>
      <c r="B79" s="505">
        <f>'Sources and Uses Budget'!C78</f>
        <v>2619761</v>
      </c>
      <c r="C79" s="505">
        <f>'Sources and Uses Budget'!C78</f>
        <v>2619761</v>
      </c>
      <c r="D79" s="505">
        <f>'Sources and Uses Budget'!C78</f>
        <v>2619761</v>
      </c>
      <c r="E79" s="507">
        <f t="shared" ref="E79:E105" si="2">C79-B79</f>
        <v>0</v>
      </c>
      <c r="F79" s="506"/>
      <c r="G79" s="506"/>
    </row>
    <row r="80" spans="1:7" s="876" customFormat="1" ht="12.75">
      <c r="A80" s="1448" t="s">
        <v>593</v>
      </c>
      <c r="B80" s="505">
        <f>'Sources and Uses Budget'!C79</f>
        <v>362707</v>
      </c>
      <c r="C80" s="505">
        <f>'Sources and Uses Budget'!C79</f>
        <v>362707</v>
      </c>
      <c r="D80" s="505">
        <f>'Sources and Uses Budget'!C79</f>
        <v>362707</v>
      </c>
      <c r="E80" s="507">
        <f t="shared" si="2"/>
        <v>0</v>
      </c>
      <c r="F80" s="506"/>
      <c r="G80" s="506"/>
    </row>
    <row r="81" spans="1:7" s="876" customFormat="1" ht="12.75">
      <c r="A81" s="1447" t="s">
        <v>1907</v>
      </c>
      <c r="B81" s="1454">
        <f>'Sources and Uses Budget'!C80</f>
        <v>2982468</v>
      </c>
      <c r="C81" s="1454">
        <f>'Sources and Uses Budget'!C80</f>
        <v>2982468</v>
      </c>
      <c r="D81" s="1454">
        <f>'Sources and Uses Budget'!C80</f>
        <v>2982468</v>
      </c>
      <c r="E81" s="507">
        <f t="shared" si="2"/>
        <v>0</v>
      </c>
      <c r="F81" s="506"/>
      <c r="G81" s="506"/>
    </row>
    <row r="82" spans="1:7" s="876" customFormat="1" ht="12.75">
      <c r="A82" s="1442" t="s">
        <v>569</v>
      </c>
      <c r="B82" s="503"/>
      <c r="C82" s="503"/>
      <c r="D82" s="503"/>
      <c r="E82" s="503"/>
      <c r="F82" s="503"/>
      <c r="G82" s="503"/>
    </row>
    <row r="83" spans="1:7" s="876" customFormat="1" ht="12.75">
      <c r="A83" s="369" t="s">
        <v>570</v>
      </c>
      <c r="B83" s="505">
        <f>'Sources and Uses Budget'!C82</f>
        <v>148330</v>
      </c>
      <c r="C83" s="505">
        <f>'Sources and Uses Budget'!C82</f>
        <v>148330</v>
      </c>
      <c r="D83" s="505">
        <f>'Sources and Uses Budget'!C82</f>
        <v>148330</v>
      </c>
      <c r="E83" s="507">
        <f t="shared" si="2"/>
        <v>0</v>
      </c>
      <c r="F83" s="506"/>
      <c r="G83" s="506"/>
    </row>
    <row r="84" spans="1:7" s="876" customFormat="1" ht="12.75">
      <c r="A84" s="369" t="s">
        <v>571</v>
      </c>
      <c r="B84" s="505">
        <f>'Sources and Uses Budget'!C83</f>
        <v>210000</v>
      </c>
      <c r="C84" s="505">
        <f>'Sources and Uses Budget'!C83</f>
        <v>210000</v>
      </c>
      <c r="D84" s="505">
        <f>'Sources and Uses Budget'!C83</f>
        <v>210000</v>
      </c>
      <c r="E84" s="507">
        <f t="shared" si="2"/>
        <v>0</v>
      </c>
      <c r="F84" s="506"/>
      <c r="G84" s="506"/>
    </row>
    <row r="85" spans="1:7" s="876" customFormat="1" ht="12.75">
      <c r="A85" s="369" t="s">
        <v>572</v>
      </c>
      <c r="B85" s="505">
        <f>'Sources and Uses Budget'!C84</f>
        <v>1808493</v>
      </c>
      <c r="C85" s="505">
        <f>'Sources and Uses Budget'!C84</f>
        <v>1808493</v>
      </c>
      <c r="D85" s="505">
        <f>'Sources and Uses Budget'!C84</f>
        <v>1808493</v>
      </c>
      <c r="E85" s="507">
        <f t="shared" si="2"/>
        <v>0</v>
      </c>
      <c r="F85" s="506"/>
      <c r="G85" s="506"/>
    </row>
    <row r="86" spans="1:7" s="876" customFormat="1" ht="12.75">
      <c r="A86" s="369" t="s">
        <v>573</v>
      </c>
      <c r="B86" s="505">
        <f>'Sources and Uses Budget'!C85</f>
        <v>881772</v>
      </c>
      <c r="C86" s="505">
        <f>'Sources and Uses Budget'!C85</f>
        <v>881772</v>
      </c>
      <c r="D86" s="505">
        <f>'Sources and Uses Budget'!C85</f>
        <v>881772</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84750</v>
      </c>
      <c r="C88" s="505">
        <f>'Sources and Uses Budget'!C87</f>
        <v>84750</v>
      </c>
      <c r="D88" s="505">
        <f>'Sources and Uses Budget'!C87</f>
        <v>84750</v>
      </c>
      <c r="E88" s="507">
        <f t="shared" si="2"/>
        <v>0</v>
      </c>
      <c r="F88" s="506"/>
      <c r="G88" s="506"/>
    </row>
    <row r="89" spans="1:7" s="876" customFormat="1" ht="12.75">
      <c r="A89" s="369" t="s">
        <v>576</v>
      </c>
      <c r="B89" s="505">
        <f>'Sources and Uses Budget'!C88</f>
        <v>118000</v>
      </c>
      <c r="C89" s="505">
        <f>'Sources and Uses Budget'!C88</f>
        <v>118000</v>
      </c>
      <c r="D89" s="505">
        <f>'Sources and Uses Budget'!C88</f>
        <v>118000</v>
      </c>
      <c r="E89" s="507">
        <f t="shared" si="2"/>
        <v>0</v>
      </c>
      <c r="F89" s="506"/>
      <c r="G89" s="506"/>
    </row>
    <row r="90" spans="1:7" s="876" customFormat="1" ht="12.75">
      <c r="A90" s="369" t="s">
        <v>577</v>
      </c>
      <c r="B90" s="505">
        <f>'Sources and Uses Budget'!C89</f>
        <v>12500</v>
      </c>
      <c r="C90" s="505">
        <f>'Sources and Uses Budget'!C89</f>
        <v>12500</v>
      </c>
      <c r="D90" s="505">
        <f>'Sources and Uses Budget'!C89</f>
        <v>12500</v>
      </c>
      <c r="E90" s="507">
        <f t="shared" si="2"/>
        <v>0</v>
      </c>
      <c r="F90" s="506"/>
      <c r="G90" s="506"/>
    </row>
    <row r="91" spans="1:7" s="876" customFormat="1" ht="12.75">
      <c r="A91" s="380" t="s">
        <v>1422</v>
      </c>
      <c r="B91" s="505">
        <f>'Sources and Uses Budget'!C90</f>
        <v>0</v>
      </c>
      <c r="C91" s="505">
        <f>'Sources and Uses Budget'!C90</f>
        <v>0</v>
      </c>
      <c r="D91" s="505">
        <f>'Sources and Uses Budget'!C90</f>
        <v>0</v>
      </c>
      <c r="E91" s="507">
        <f t="shared" si="2"/>
        <v>0</v>
      </c>
      <c r="F91" s="506"/>
      <c r="G91" s="506"/>
    </row>
    <row r="92" spans="1:7" s="876" customFormat="1" ht="12.75">
      <c r="A92" s="380" t="s">
        <v>1905</v>
      </c>
      <c r="B92" s="505">
        <f>'Sources and Uses Budget'!C91</f>
        <v>23000</v>
      </c>
      <c r="C92" s="505">
        <f>'Sources and Uses Budget'!C91</f>
        <v>23000</v>
      </c>
      <c r="D92" s="505">
        <f>'Sources and Uses Budget'!C91</f>
        <v>23000</v>
      </c>
      <c r="E92" s="507">
        <f t="shared" si="2"/>
        <v>0</v>
      </c>
      <c r="F92" s="506"/>
      <c r="G92" s="506"/>
    </row>
    <row r="93" spans="1:7" s="876" customFormat="1" ht="12.75">
      <c r="A93" s="376" t="s">
        <v>588</v>
      </c>
      <c r="B93" s="505">
        <f>'Sources and Uses Budget'!C92</f>
        <v>203400</v>
      </c>
      <c r="C93" s="505">
        <f>'Sources and Uses Budget'!C92</f>
        <v>203400</v>
      </c>
      <c r="D93" s="505">
        <f>'Sources and Uses Budget'!C92</f>
        <v>203400</v>
      </c>
      <c r="E93" s="507">
        <f t="shared" si="2"/>
        <v>0</v>
      </c>
      <c r="F93" s="506"/>
      <c r="G93" s="506"/>
    </row>
    <row r="94" spans="1:7" s="876" customFormat="1" ht="12.75">
      <c r="A94" s="376" t="s">
        <v>588</v>
      </c>
      <c r="B94" s="505">
        <f>'Sources and Uses Budget'!C93</f>
        <v>292674</v>
      </c>
      <c r="C94" s="505">
        <f>'Sources and Uses Budget'!C93</f>
        <v>292674</v>
      </c>
      <c r="D94" s="505">
        <f>'Sources and Uses Budget'!C93</f>
        <v>292674</v>
      </c>
      <c r="E94" s="507">
        <f t="shared" si="2"/>
        <v>0</v>
      </c>
      <c r="F94" s="506"/>
      <c r="G94" s="506"/>
    </row>
    <row r="95" spans="1:7" s="876" customFormat="1" ht="12.75">
      <c r="A95" s="376" t="s">
        <v>588</v>
      </c>
      <c r="B95" s="505">
        <f>'Sources and Uses Budget'!C94</f>
        <v>50000</v>
      </c>
      <c r="C95" s="505">
        <f>'Sources and Uses Budget'!C94</f>
        <v>50000</v>
      </c>
      <c r="D95" s="505">
        <f>'Sources and Uses Budget'!C94</f>
        <v>50000</v>
      </c>
      <c r="E95" s="507">
        <f t="shared" si="2"/>
        <v>0</v>
      </c>
      <c r="F95" s="506"/>
      <c r="G95" s="506"/>
    </row>
    <row r="96" spans="1:7" s="876" customFormat="1" ht="12.75">
      <c r="A96" s="373" t="s">
        <v>578</v>
      </c>
      <c r="B96" s="1454">
        <f>'Sources and Uses Budget'!C95</f>
        <v>3832919</v>
      </c>
      <c r="C96" s="1454">
        <f>'Sources and Uses Budget'!C95</f>
        <v>3832919</v>
      </c>
      <c r="D96" s="1454">
        <f>'Sources and Uses Budget'!C95</f>
        <v>3832919</v>
      </c>
      <c r="E96" s="507">
        <f t="shared" si="2"/>
        <v>0</v>
      </c>
      <c r="F96" s="506"/>
      <c r="G96" s="506"/>
    </row>
    <row r="97" spans="1:7" s="875" customFormat="1" ht="12.75">
      <c r="A97" s="373" t="s">
        <v>579</v>
      </c>
      <c r="B97" s="1454">
        <f>'Sources and Uses Budget'!C96</f>
        <v>55507008</v>
      </c>
      <c r="C97" s="1454">
        <f>'Sources and Uses Budget'!C96</f>
        <v>55507008</v>
      </c>
      <c r="D97" s="1454">
        <f>'Sources and Uses Budget'!C96</f>
        <v>55507008</v>
      </c>
      <c r="E97" s="507">
        <f t="shared" si="2"/>
        <v>0</v>
      </c>
      <c r="F97" s="506"/>
      <c r="G97" s="506"/>
    </row>
    <row r="98" spans="1:7" s="875" customFormat="1" ht="12.75">
      <c r="A98" s="1442"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2232</v>
      </c>
      <c r="B102" s="505">
        <f>'Sources and Uses Budget'!C101</f>
        <v>0</v>
      </c>
      <c r="C102" s="505">
        <f>'Sources and Uses Budget'!C101</f>
        <v>0</v>
      </c>
      <c r="D102" s="505">
        <f>'Sources and Uses Budget'!C101</f>
        <v>0</v>
      </c>
      <c r="E102" s="507">
        <f t="shared" si="2"/>
        <v>0</v>
      </c>
      <c r="F102" s="506"/>
      <c r="G102" s="506"/>
    </row>
    <row r="103" spans="1:7" s="875" customFormat="1" ht="12.75">
      <c r="A103" s="1449" t="s">
        <v>588</v>
      </c>
      <c r="B103" s="505">
        <f>'Sources and Uses Budget'!C102</f>
        <v>0</v>
      </c>
      <c r="C103" s="505">
        <f>'Sources and Uses Budget'!C102</f>
        <v>0</v>
      </c>
      <c r="D103" s="505">
        <f>'Sources and Uses Budget'!C102</f>
        <v>0</v>
      </c>
      <c r="E103" s="507">
        <f t="shared" si="2"/>
        <v>0</v>
      </c>
      <c r="F103" s="506"/>
      <c r="G103" s="506"/>
    </row>
    <row r="104" spans="1:7" s="875" customFormat="1" ht="12.75">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584</v>
      </c>
      <c r="B105" s="1454">
        <f>'Sources and Uses Budget'!C104</f>
        <v>57707008</v>
      </c>
      <c r="C105" s="1454">
        <f>'Sources and Uses Budget'!C104</f>
        <v>57707008</v>
      </c>
      <c r="D105" s="1454">
        <f>'Sources and Uses Budget'!C104</f>
        <v>57707008</v>
      </c>
      <c r="E105" s="507">
        <f t="shared" si="2"/>
        <v>0</v>
      </c>
      <c r="F105" s="506"/>
      <c r="G105" s="1453"/>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6" ma:contentTypeDescription="Create a new document." ma:contentTypeScope="" ma:versionID="962bb285dbcb20739f96e5709e769a95">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265f9375cbeada827eefe2d20241aad8"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1a74ff-36c4-49d4-9d21-decd248f7864" xsi:nil="true"/>
    <lcf76f155ced4ddcb4097134ff3c332f xmlns="d29b5238-3b6c-4837-8167-90d975a60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5EB4E7-37CF-4DA2-B95C-9E4515B48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24F4CD-EB31-4CEE-BA60-95D325691963}">
  <ds:schemaRefs>
    <ds:schemaRef ds:uri="http://schemas.microsoft.com/sharepoint/v3/contenttype/forms"/>
  </ds:schemaRefs>
</ds:datastoreItem>
</file>

<file path=customXml/itemProps3.xml><?xml version="1.0" encoding="utf-8"?>
<ds:datastoreItem xmlns:ds="http://schemas.openxmlformats.org/officeDocument/2006/customXml" ds:itemID="{AB8841F2-C41A-4D34-9D7D-8EE52CD75371}">
  <ds:schemaRefs>
    <ds:schemaRef ds:uri="http://schemas.openxmlformats.org/package/2006/metadata/core-properties"/>
    <ds:schemaRef ds:uri="http://purl.org/dc/terms/"/>
    <ds:schemaRef ds:uri="411a74ff-36c4-49d4-9d21-decd248f7864"/>
    <ds:schemaRef ds:uri="http://purl.org/dc/elements/1.1/"/>
    <ds:schemaRef ds:uri="http://schemas.microsoft.com/office/infopath/2007/PartnerControls"/>
    <ds:schemaRef ds:uri="http://schemas.microsoft.com/office/2006/documentManagement/types"/>
    <ds:schemaRef ds:uri="http://schemas.microsoft.com/office/2006/metadata/properties"/>
    <ds:schemaRef ds:uri="d29b5238-3b6c-4837-8167-90d975a603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Anna Slaby</cp:lastModifiedBy>
  <cp:lastPrinted>2021-01-13T01:22:16Z</cp:lastPrinted>
  <dcterms:created xsi:type="dcterms:W3CDTF">2007-12-27T18:26:28Z</dcterms:created>
  <dcterms:modified xsi:type="dcterms:W3CDTF">2022-06-30T15:50:27Z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